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lobal Major Events" sheetId="1" r:id="rId4"/>
    <sheet state="visible" name="US Emergency Proclamations" sheetId="2" r:id="rId5"/>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quot;/&quot;d&quot;/&quot;yy"/>
    <numFmt numFmtId="166" formatCode="m/yyyy"/>
    <numFmt numFmtId="167" formatCode="m/d/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2" numFmtId="0" xfId="0" applyFont="1"/>
    <xf borderId="0" fillId="0" fontId="1" numFmtId="165" xfId="0" applyFont="1" applyNumberFormat="1"/>
    <xf borderId="0" fillId="0" fontId="1" numFmtId="166" xfId="0" applyFont="1" applyNumberFormat="1"/>
    <xf borderId="0" fillId="0" fontId="1"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nbcnews.com/health/health-news/coronavirus-timeline-tracking-critical-moments-covid-19-n1154341" TargetMode="External"/><Relationship Id="rId194" Type="http://schemas.openxmlformats.org/officeDocument/2006/relationships/hyperlink" Target="https://www.nbcnews.com/health/health-news/coronavirus-timeline-tracking-critical-moments-covid-19-n1154341" TargetMode="External"/><Relationship Id="rId193" Type="http://schemas.openxmlformats.org/officeDocument/2006/relationships/hyperlink" Target="https://www.nbcnews.com/health/health-news/coronavirus-timeline-tracking-critical-moments-covid-19-n1154341" TargetMode="External"/><Relationship Id="rId192" Type="http://schemas.openxmlformats.org/officeDocument/2006/relationships/hyperlink" Target="https://www.nbcnews.com/health/health-news/coronavirus-timeline-tracking-critical-moments-covid-19-n1154341" TargetMode="External"/><Relationship Id="rId191" Type="http://schemas.openxmlformats.org/officeDocument/2006/relationships/hyperlink" Target="https://www.nbcnews.com/health/health-news/coronavirus-timeline-tracking-critical-moments-covid-19-n1154341" TargetMode="External"/><Relationship Id="rId187" Type="http://schemas.openxmlformats.org/officeDocument/2006/relationships/hyperlink" Target="https://www.nbcnews.com/health/health-news/coronavirus-timeline-tracking-critical-moments-covid-19-n1154341" TargetMode="External"/><Relationship Id="rId186" Type="http://schemas.openxmlformats.org/officeDocument/2006/relationships/hyperlink" Target="https://www.nbcnews.com/health/health-news/coronavirus-timeline-tracking-critical-moments-covid-19-n1154341" TargetMode="External"/><Relationship Id="rId185" Type="http://schemas.openxmlformats.org/officeDocument/2006/relationships/hyperlink" Target="https://www.nbcnews.com/health/health-news/coronavirus-timeline-tracking-critical-moments-covid-19-n1154341" TargetMode="External"/><Relationship Id="rId184" Type="http://schemas.openxmlformats.org/officeDocument/2006/relationships/hyperlink" Target="https://www.nbcnews.com/health/health-news/coronavirus-timeline-tracking-critical-moments-covid-19-n1154341" TargetMode="External"/><Relationship Id="rId189" Type="http://schemas.openxmlformats.org/officeDocument/2006/relationships/hyperlink" Target="https://www.nbcnews.com/health/health-news/coronavirus-timeline-tracking-critical-moments-covid-19-n1154341" TargetMode="External"/><Relationship Id="rId188" Type="http://schemas.openxmlformats.org/officeDocument/2006/relationships/hyperlink" Target="https://www.nbcnews.com/health/health-news/coronavirus-timeline-tracking-critical-moments-covid-19-n1154341" TargetMode="External"/><Relationship Id="rId183" Type="http://schemas.openxmlformats.org/officeDocument/2006/relationships/hyperlink" Target="https://www.nbcnews.com/health/health-news/coronavirus-timeline-tracking-critical-moments-covid-19-n1154341" TargetMode="External"/><Relationship Id="rId182" Type="http://schemas.openxmlformats.org/officeDocument/2006/relationships/hyperlink" Target="https://www.nbcnews.com/health/health-news/coronavirus-timeline-tracking-critical-moments-covid-19-n1154341" TargetMode="External"/><Relationship Id="rId181" Type="http://schemas.openxmlformats.org/officeDocument/2006/relationships/hyperlink" Target="https://www.nbcnews.com/health/health-news/coronavirus-timeline-tracking-critical-moments-covid-19-n1154341" TargetMode="External"/><Relationship Id="rId180" Type="http://schemas.openxmlformats.org/officeDocument/2006/relationships/hyperlink" Target="https://www.nbcnews.com/health/health-news/coronavirus-timeline-tracking-critical-moments-covid-19-n1154341" TargetMode="External"/><Relationship Id="rId176" Type="http://schemas.openxmlformats.org/officeDocument/2006/relationships/hyperlink" Target="https://www.nbcnews.com/health/health-news/coronavirus-timeline-tracking-critical-moments-covid-19-n1154341" TargetMode="External"/><Relationship Id="rId297" Type="http://schemas.openxmlformats.org/officeDocument/2006/relationships/hyperlink" Target="https://www.nbcnews.com/health/health-news/coronavirus-timeline-tracking-critical-moments-covid-19-n1154341" TargetMode="External"/><Relationship Id="rId175" Type="http://schemas.openxmlformats.org/officeDocument/2006/relationships/hyperlink" Target="https://www.nbcnews.com/health/health-news/coronavirus-timeline-tracking-critical-moments-covid-19-n1154341" TargetMode="External"/><Relationship Id="rId296" Type="http://schemas.openxmlformats.org/officeDocument/2006/relationships/hyperlink" Target="https://www.nbcnews.com/health/health-news/coronavirus-timeline-tracking-critical-moments-covid-19-n1154341" TargetMode="External"/><Relationship Id="rId174" Type="http://schemas.openxmlformats.org/officeDocument/2006/relationships/hyperlink" Target="https://www.nbcnews.com/health/health-news/coronavirus-timeline-tracking-critical-moments-covid-19-n1154341" TargetMode="External"/><Relationship Id="rId295" Type="http://schemas.openxmlformats.org/officeDocument/2006/relationships/hyperlink" Target="https://www.nbcnews.com/health/health-news/coronavirus-timeline-tracking-critical-moments-covid-19-n1154341" TargetMode="External"/><Relationship Id="rId173" Type="http://schemas.openxmlformats.org/officeDocument/2006/relationships/hyperlink" Target="https://www.nbcnews.com/health/health-news/coronavirus-timeline-tracking-critical-moments-covid-19-n1154341" TargetMode="External"/><Relationship Id="rId294" Type="http://schemas.openxmlformats.org/officeDocument/2006/relationships/hyperlink" Target="https://www.nbcnews.com/health/health-news/coronavirus-timeline-tracking-critical-moments-covid-19-n1154341" TargetMode="External"/><Relationship Id="rId179" Type="http://schemas.openxmlformats.org/officeDocument/2006/relationships/hyperlink" Target="https://www.nbcnews.com/health/health-news/coronavirus-timeline-tracking-critical-moments-covid-19-n1154341" TargetMode="External"/><Relationship Id="rId178" Type="http://schemas.openxmlformats.org/officeDocument/2006/relationships/hyperlink" Target="https://www.nbcnews.com/health/health-news/coronavirus-timeline-tracking-critical-moments-covid-19-n1154341" TargetMode="External"/><Relationship Id="rId299" Type="http://schemas.openxmlformats.org/officeDocument/2006/relationships/hyperlink" Target="https://www.nbcnews.com/health/health-news/coronavirus-timeline-tracking-critical-moments-covid-19-n1154341" TargetMode="External"/><Relationship Id="rId177" Type="http://schemas.openxmlformats.org/officeDocument/2006/relationships/hyperlink" Target="https://www.nbcnews.com/health/health-news/coronavirus-timeline-tracking-critical-moments-covid-19-n1154341" TargetMode="External"/><Relationship Id="rId298" Type="http://schemas.openxmlformats.org/officeDocument/2006/relationships/hyperlink" Target="https://www.nbcnews.com/health/health-news/coronavirus-timeline-tracking-critical-moments-covid-19-n1154341" TargetMode="External"/><Relationship Id="rId198" Type="http://schemas.openxmlformats.org/officeDocument/2006/relationships/hyperlink" Target="https://www.nbcnews.com/health/health-news/coronavirus-timeline-tracking-critical-moments-covid-19-n1154341" TargetMode="External"/><Relationship Id="rId197" Type="http://schemas.openxmlformats.org/officeDocument/2006/relationships/hyperlink" Target="https://www.nbcnews.com/health/health-news/coronavirus-timeline-tracking-critical-moments-covid-19-n1154341" TargetMode="External"/><Relationship Id="rId196" Type="http://schemas.openxmlformats.org/officeDocument/2006/relationships/hyperlink" Target="https://www.nbcnews.com/health/health-news/coronavirus-timeline-tracking-critical-moments-covid-19-n1154341" TargetMode="External"/><Relationship Id="rId195" Type="http://schemas.openxmlformats.org/officeDocument/2006/relationships/hyperlink" Target="https://www.nbcnews.com/health/health-news/coronavirus-timeline-tracking-critical-moments-covid-19-n1154341" TargetMode="External"/><Relationship Id="rId199" Type="http://schemas.openxmlformats.org/officeDocument/2006/relationships/hyperlink" Target="https://www.nbcnews.com/health/health-news/coronavirus-timeline-tracking-critical-moments-covid-19-n1154341" TargetMode="External"/><Relationship Id="rId150" Type="http://schemas.openxmlformats.org/officeDocument/2006/relationships/hyperlink" Target="https://www.nbcnews.com/health/health-news/coronavirus-timeline-tracking-critical-moments-covid-19-n1154341" TargetMode="External"/><Relationship Id="rId271" Type="http://schemas.openxmlformats.org/officeDocument/2006/relationships/hyperlink" Target="https://www.nbcnews.com/health/health-news/coronavirus-timeline-tracking-critical-moments-covid-19-n1154341" TargetMode="External"/><Relationship Id="rId392" Type="http://schemas.openxmlformats.org/officeDocument/2006/relationships/hyperlink" Target="https://www.defense.gov/Explore/Spotlight/Coronavirus-DOD-Response/Timeline/" TargetMode="External"/><Relationship Id="rId270" Type="http://schemas.openxmlformats.org/officeDocument/2006/relationships/hyperlink" Target="https://www.nbcnews.com/health/health-news/coronavirus-timeline-tracking-critical-moments-covid-19-n1154341" TargetMode="External"/><Relationship Id="rId391" Type="http://schemas.openxmlformats.org/officeDocument/2006/relationships/hyperlink" Target="https://www.defense.gov/Explore/Spotlight/Coronavirus-DOD-Response/Timeline/" TargetMode="External"/><Relationship Id="rId390" Type="http://schemas.openxmlformats.org/officeDocument/2006/relationships/hyperlink" Target="https://storymaps.arcgis.com/stories/463f2d26aca94edda07753fe31f61f11" TargetMode="External"/><Relationship Id="rId1" Type="http://schemas.openxmlformats.org/officeDocument/2006/relationships/hyperlink" Target="https://www.businessinsider.com/coronavirus-pandemic-timeline-history-major-events-2020-3" TargetMode="External"/><Relationship Id="rId2" Type="http://schemas.openxmlformats.org/officeDocument/2006/relationships/hyperlink" Target="https://www.businessinsider.com/coronavirus-pandemic-timeline-history-major-events-2020-3" TargetMode="External"/><Relationship Id="rId3" Type="http://schemas.openxmlformats.org/officeDocument/2006/relationships/hyperlink" Target="https://www.businessinsider.com/coronavirus-pandemic-timeline-history-major-events-2020-3" TargetMode="External"/><Relationship Id="rId149" Type="http://schemas.openxmlformats.org/officeDocument/2006/relationships/hyperlink" Target="https://www.nbcnews.com/health/health-news/coronavirus-timeline-tracking-critical-moments-covid-19-n1154341" TargetMode="External"/><Relationship Id="rId4" Type="http://schemas.openxmlformats.org/officeDocument/2006/relationships/hyperlink" Target="https://www.businessinsider.com/coronavirus-pandemic-timeline-history-major-events-2020-3" TargetMode="External"/><Relationship Id="rId148" Type="http://schemas.openxmlformats.org/officeDocument/2006/relationships/hyperlink" Target="https://www.nbcnews.com/health/health-news/coronavirus-timeline-tracking-critical-moments-covid-19-n1154341" TargetMode="External"/><Relationship Id="rId269" Type="http://schemas.openxmlformats.org/officeDocument/2006/relationships/hyperlink" Target="https://www.nbcnews.com/health/health-news/coronavirus-timeline-tracking-critical-moments-covid-19-n1154341" TargetMode="External"/><Relationship Id="rId9" Type="http://schemas.openxmlformats.org/officeDocument/2006/relationships/hyperlink" Target="https://www.businessinsider.com/coronavirus-pandemic-timeline-history-major-events-2020-3" TargetMode="External"/><Relationship Id="rId143" Type="http://schemas.openxmlformats.org/officeDocument/2006/relationships/hyperlink" Target="https://www.nbcnews.com/health/health-news/coronavirus-timeline-tracking-critical-moments-covid-19-n1154341" TargetMode="External"/><Relationship Id="rId264" Type="http://schemas.openxmlformats.org/officeDocument/2006/relationships/hyperlink" Target="https://www.nbcnews.com/health/health-news/coronavirus-timeline-tracking-critical-moments-covid-19-n1154341" TargetMode="External"/><Relationship Id="rId385" Type="http://schemas.openxmlformats.org/officeDocument/2006/relationships/hyperlink" Target="https://www.defense.gov/Explore/Spotlight/Coronavirus-DOD-Response/Timeline/" TargetMode="External"/><Relationship Id="rId142" Type="http://schemas.openxmlformats.org/officeDocument/2006/relationships/hyperlink" Target="https://www.nbcnews.com/health/health-news/coronavirus-timeline-tracking-critical-moments-covid-19-n1154341" TargetMode="External"/><Relationship Id="rId263" Type="http://schemas.openxmlformats.org/officeDocument/2006/relationships/hyperlink" Target="https://www.nbcnews.com/health/health-news/coronavirus-timeline-tracking-critical-moments-covid-19-n1154341" TargetMode="External"/><Relationship Id="rId384" Type="http://schemas.openxmlformats.org/officeDocument/2006/relationships/hyperlink" Target="https://storymaps.arcgis.com/stories/463f2d26aca94edda07753fe31f61f11" TargetMode="External"/><Relationship Id="rId141" Type="http://schemas.openxmlformats.org/officeDocument/2006/relationships/hyperlink" Target="https://www.nbcnews.com/health/health-news/coronavirus-timeline-tracking-critical-moments-covid-19-n1154341" TargetMode="External"/><Relationship Id="rId262" Type="http://schemas.openxmlformats.org/officeDocument/2006/relationships/hyperlink" Target="https://www.nbcnews.com/health/health-news/coronavirus-timeline-tracking-critical-moments-covid-19-n1154341" TargetMode="External"/><Relationship Id="rId383" Type="http://schemas.openxmlformats.org/officeDocument/2006/relationships/hyperlink" Target="https://storymaps.arcgis.com/stories/463f2d26aca94edda07753fe31f61f11" TargetMode="External"/><Relationship Id="rId140" Type="http://schemas.openxmlformats.org/officeDocument/2006/relationships/hyperlink" Target="https://www.who.int/news-room/feature-stories/detail/who-manifesto-for-a-healthy-recovery-from-covid-19" TargetMode="External"/><Relationship Id="rId261" Type="http://schemas.openxmlformats.org/officeDocument/2006/relationships/hyperlink" Target="https://www.nbcnews.com/health/health-news/coronavirus-timeline-tracking-critical-moments-covid-19-n1154341" TargetMode="External"/><Relationship Id="rId382" Type="http://schemas.openxmlformats.org/officeDocument/2006/relationships/hyperlink" Target="https://storymaps.arcgis.com/stories/463f2d26aca94edda07753fe31f61f11" TargetMode="External"/><Relationship Id="rId5" Type="http://schemas.openxmlformats.org/officeDocument/2006/relationships/hyperlink" Target="https://www.businessinsider.com/coronavirus-pandemic-timeline-history-major-events-2020-3" TargetMode="External"/><Relationship Id="rId147" Type="http://schemas.openxmlformats.org/officeDocument/2006/relationships/hyperlink" Target="https://www.nbcnews.com/health/health-news/coronavirus-timeline-tracking-critical-moments-covid-19-n1154341" TargetMode="External"/><Relationship Id="rId268" Type="http://schemas.openxmlformats.org/officeDocument/2006/relationships/hyperlink" Target="https://www.nbcnews.com/health/health-news/coronavirus-timeline-tracking-critical-moments-covid-19-n1154341" TargetMode="External"/><Relationship Id="rId389" Type="http://schemas.openxmlformats.org/officeDocument/2006/relationships/hyperlink" Target="https://www.defense.gov/Explore/Spotlight/Coronavirus-DOD-Response/Timeline/" TargetMode="External"/><Relationship Id="rId6" Type="http://schemas.openxmlformats.org/officeDocument/2006/relationships/hyperlink" Target="https://www.businessinsider.com/coronavirus-pandemic-timeline-history-major-events-2020-3" TargetMode="External"/><Relationship Id="rId146" Type="http://schemas.openxmlformats.org/officeDocument/2006/relationships/hyperlink" Target="https://www.nbcnews.com/health/health-news/coronavirus-timeline-tracking-critical-moments-covid-19-n1154341" TargetMode="External"/><Relationship Id="rId267" Type="http://schemas.openxmlformats.org/officeDocument/2006/relationships/hyperlink" Target="https://www.nbcnews.com/health/health-news/coronavirus-timeline-tracking-critical-moments-covid-19-n1154341" TargetMode="External"/><Relationship Id="rId388" Type="http://schemas.openxmlformats.org/officeDocument/2006/relationships/hyperlink" Target="https://www.defense.gov/Explore/Spotlight/Coronavirus-DOD-Response/Timeline/" TargetMode="External"/><Relationship Id="rId7" Type="http://schemas.openxmlformats.org/officeDocument/2006/relationships/hyperlink" Target="https://www.businessinsider.com/coronavirus-pandemic-timeline-history-major-events-2020-3" TargetMode="External"/><Relationship Id="rId145" Type="http://schemas.openxmlformats.org/officeDocument/2006/relationships/hyperlink" Target="https://www.nbcnews.com/health/health-news/coronavirus-timeline-tracking-critical-moments-covid-19-n1154341" TargetMode="External"/><Relationship Id="rId266" Type="http://schemas.openxmlformats.org/officeDocument/2006/relationships/hyperlink" Target="https://www.nbcnews.com/health/health-news/coronavirus-timeline-tracking-critical-moments-covid-19-n1154341" TargetMode="External"/><Relationship Id="rId387" Type="http://schemas.openxmlformats.org/officeDocument/2006/relationships/hyperlink" Target="https://www.defense.gov/Explore/Spotlight/Coronavirus-DOD-Response/Timeline/" TargetMode="External"/><Relationship Id="rId8" Type="http://schemas.openxmlformats.org/officeDocument/2006/relationships/hyperlink" Target="https://www.businessinsider.com/coronavirus-pandemic-timeline-history-major-events-2020-3" TargetMode="External"/><Relationship Id="rId144" Type="http://schemas.openxmlformats.org/officeDocument/2006/relationships/hyperlink" Target="https://www.nbcnews.com/health/health-news/coronavirus-timeline-tracking-critical-moments-covid-19-n1154341" TargetMode="External"/><Relationship Id="rId265" Type="http://schemas.openxmlformats.org/officeDocument/2006/relationships/hyperlink" Target="https://www.nbcnews.com/health/health-news/coronavirus-timeline-tracking-critical-moments-covid-19-n1154341" TargetMode="External"/><Relationship Id="rId386" Type="http://schemas.openxmlformats.org/officeDocument/2006/relationships/hyperlink" Target="https://storymaps.arcgis.com/stories/463f2d26aca94edda07753fe31f61f11" TargetMode="External"/><Relationship Id="rId260" Type="http://schemas.openxmlformats.org/officeDocument/2006/relationships/hyperlink" Target="https://www.nbcnews.com/health/health-news/coronavirus-timeline-tracking-critical-moments-covid-19-n1154341" TargetMode="External"/><Relationship Id="rId381" Type="http://schemas.openxmlformats.org/officeDocument/2006/relationships/hyperlink" Target="https://storymaps.arcgis.com/stories/463f2d26aca94edda07753fe31f61f11" TargetMode="External"/><Relationship Id="rId380" Type="http://schemas.openxmlformats.org/officeDocument/2006/relationships/hyperlink" Target="https://www.defense.gov/Explore/Spotlight/Coronavirus-DOD-Response/Timeline/" TargetMode="External"/><Relationship Id="rId139" Type="http://schemas.openxmlformats.org/officeDocument/2006/relationships/hyperlink" Target="https://www.nbcnews.com/health/health-news/coronavirus-timeline-tracking-critical-moments-covid-19-n1154341" TargetMode="External"/><Relationship Id="rId138" Type="http://schemas.openxmlformats.org/officeDocument/2006/relationships/hyperlink" Target="https://www.nbcnews.com/health/health-news/coronavirus-timeline-tracking-critical-moments-covid-19-n1154341" TargetMode="External"/><Relationship Id="rId259" Type="http://schemas.openxmlformats.org/officeDocument/2006/relationships/hyperlink" Target="https://www.nbcnews.com/health/health-news/coronavirus-timeline-tracking-critical-moments-covid-19-n1154341" TargetMode="External"/><Relationship Id="rId137" Type="http://schemas.openxmlformats.org/officeDocument/2006/relationships/hyperlink" Target="https://www.nbcnews.com/health/health-news/coronavirus-timeline-tracking-critical-moments-covid-19-n1154341" TargetMode="External"/><Relationship Id="rId258" Type="http://schemas.openxmlformats.org/officeDocument/2006/relationships/hyperlink" Target="https://www.nbcnews.com/health/health-news/coronavirus-timeline-tracking-critical-moments-covid-19-n1154341" TargetMode="External"/><Relationship Id="rId379" Type="http://schemas.openxmlformats.org/officeDocument/2006/relationships/hyperlink" Target="https://storymaps.arcgis.com/stories/463f2d26aca94edda07753fe31f61f11" TargetMode="External"/><Relationship Id="rId132" Type="http://schemas.openxmlformats.org/officeDocument/2006/relationships/hyperlink" Target="https://www.nbcnews.com/health/health-news/coronavirus-timeline-tracking-critical-moments-covid-19-n1154341" TargetMode="External"/><Relationship Id="rId253" Type="http://schemas.openxmlformats.org/officeDocument/2006/relationships/hyperlink" Target="https://www.nbcnews.com/health/health-news/coronavirus-timeline-tracking-critical-moments-covid-19-n1154341" TargetMode="External"/><Relationship Id="rId374" Type="http://schemas.openxmlformats.org/officeDocument/2006/relationships/hyperlink" Target="https://www.nbcnews.com/health/health-news/coronavirus-timeline-tracking-critical-moments-covid-19-n1154389" TargetMode="External"/><Relationship Id="rId495" Type="http://schemas.openxmlformats.org/officeDocument/2006/relationships/hyperlink" Target="https://storymaps.arcgis.com/stories/463f2d26aca94edda07753fe31f61f11" TargetMode="External"/><Relationship Id="rId131" Type="http://schemas.openxmlformats.org/officeDocument/2006/relationships/hyperlink" Target="https://www.nbcnews.com/health/health-news/coronavirus-timeline-tracking-critical-moments-covid-19-n1154341" TargetMode="External"/><Relationship Id="rId252" Type="http://schemas.openxmlformats.org/officeDocument/2006/relationships/hyperlink" Target="https://www.nbcnews.com/health/health-news/coronavirus-timeline-tracking-critical-moments-covid-19-n1154341" TargetMode="External"/><Relationship Id="rId373" Type="http://schemas.openxmlformats.org/officeDocument/2006/relationships/hyperlink" Target="https://www.nbcnews.com/health/health-news/coronavirus-timeline-tracking-critical-moments-covid-19-n1154388" TargetMode="External"/><Relationship Id="rId494" Type="http://schemas.openxmlformats.org/officeDocument/2006/relationships/hyperlink" Target="https://storymaps.arcgis.com/stories/463f2d26aca94edda07753fe31f61f11" TargetMode="External"/><Relationship Id="rId130" Type="http://schemas.openxmlformats.org/officeDocument/2006/relationships/hyperlink" Target="https://www.nbcnews.com/health/health-news/coronavirus-timeline-tracking-critical-moments-covid-19-n1154341" TargetMode="External"/><Relationship Id="rId251" Type="http://schemas.openxmlformats.org/officeDocument/2006/relationships/hyperlink" Target="https://www.nbcnews.com/health/health-news/coronavirus-timeline-tracking-critical-moments-covid-19-n1154341" TargetMode="External"/><Relationship Id="rId372" Type="http://schemas.openxmlformats.org/officeDocument/2006/relationships/hyperlink" Target="https://www.nbcnews.com/health/health-news/coronavirus-timeline-tracking-critical-moments-covid-19-n1154387" TargetMode="External"/><Relationship Id="rId493" Type="http://schemas.openxmlformats.org/officeDocument/2006/relationships/hyperlink" Target="https://storymaps.arcgis.com/stories/463f2d26aca94edda07753fe31f61f11" TargetMode="External"/><Relationship Id="rId250" Type="http://schemas.openxmlformats.org/officeDocument/2006/relationships/hyperlink" Target="https://www.nbcnews.com/health/health-news/coronavirus-timeline-tracking-critical-moments-covid-19-n1154341" TargetMode="External"/><Relationship Id="rId371" Type="http://schemas.openxmlformats.org/officeDocument/2006/relationships/hyperlink" Target="https://www.nbcnews.com/health/health-news/coronavirus-timeline-tracking-critical-moments-covid-19-n1154386" TargetMode="External"/><Relationship Id="rId492" Type="http://schemas.openxmlformats.org/officeDocument/2006/relationships/hyperlink" Target="https://www.defense.gov/Explore/Spotlight/Coronavirus-DOD-Response/Timeline/" TargetMode="External"/><Relationship Id="rId136" Type="http://schemas.openxmlformats.org/officeDocument/2006/relationships/hyperlink" Target="https://www.nbcnews.com/health/health-news/coronavirus-timeline-tracking-critical-moments-covid-19-n1154341" TargetMode="External"/><Relationship Id="rId257" Type="http://schemas.openxmlformats.org/officeDocument/2006/relationships/hyperlink" Target="https://www.nbcnews.com/health/health-news/coronavirus-timeline-tracking-critical-moments-covid-19-n1154341" TargetMode="External"/><Relationship Id="rId378" Type="http://schemas.openxmlformats.org/officeDocument/2006/relationships/hyperlink" Target="https://www.nbcnews.com/health/health-news/coronavirus-timeline-tracking-critical-moments-covid-19-n1154392" TargetMode="External"/><Relationship Id="rId499" Type="http://schemas.openxmlformats.org/officeDocument/2006/relationships/hyperlink" Target="https://www.defense.gov/Explore/Spotlight/Coronavirus-DOD-Response/Timeline/" TargetMode="External"/><Relationship Id="rId135" Type="http://schemas.openxmlformats.org/officeDocument/2006/relationships/hyperlink" Target="https://www.nbcnews.com/health/health-news/coronavirus-timeline-tracking-critical-moments-covid-19-n1154341" TargetMode="External"/><Relationship Id="rId256" Type="http://schemas.openxmlformats.org/officeDocument/2006/relationships/hyperlink" Target="https://www.nbcnews.com/health/health-news/coronavirus-timeline-tracking-critical-moments-covid-19-n1154341" TargetMode="External"/><Relationship Id="rId377" Type="http://schemas.openxmlformats.org/officeDocument/2006/relationships/hyperlink" Target="https://storymaps.arcgis.com/stories/463f2d26aca94edda07753fe31f61f11" TargetMode="External"/><Relationship Id="rId498" Type="http://schemas.openxmlformats.org/officeDocument/2006/relationships/hyperlink" Target="https://storymaps.arcgis.com/stories/463f2d26aca94edda07753fe31f61f11" TargetMode="External"/><Relationship Id="rId134" Type="http://schemas.openxmlformats.org/officeDocument/2006/relationships/hyperlink" Target="https://www.nbcnews.com/health/health-news/coronavirus-timeline-tracking-critical-moments-covid-19-n1154341" TargetMode="External"/><Relationship Id="rId255" Type="http://schemas.openxmlformats.org/officeDocument/2006/relationships/hyperlink" Target="https://www.nbcnews.com/health/health-news/coronavirus-timeline-tracking-critical-moments-covid-19-n1154341" TargetMode="External"/><Relationship Id="rId376" Type="http://schemas.openxmlformats.org/officeDocument/2006/relationships/hyperlink" Target="https://www.nbcnews.com/health/health-news/coronavirus-timeline-tracking-critical-moments-covid-19-n1154391" TargetMode="External"/><Relationship Id="rId497" Type="http://schemas.openxmlformats.org/officeDocument/2006/relationships/hyperlink" Target="https://www.defense.gov/Explore/Spotlight/Coronavirus-DOD-Response/Timeline/" TargetMode="External"/><Relationship Id="rId133" Type="http://schemas.openxmlformats.org/officeDocument/2006/relationships/hyperlink" Target="https://www.nbcnews.com/health/health-news/coronavirus-timeline-tracking-critical-moments-covid-19-n1154341" TargetMode="External"/><Relationship Id="rId254" Type="http://schemas.openxmlformats.org/officeDocument/2006/relationships/hyperlink" Target="https://www.nbcnews.com/health/health-news/coronavirus-timeline-tracking-critical-moments-covid-19-n1154341" TargetMode="External"/><Relationship Id="rId375" Type="http://schemas.openxmlformats.org/officeDocument/2006/relationships/hyperlink" Target="https://www.nbcnews.com/health/health-news/coronavirus-timeline-tracking-critical-moments-covid-19-n1154390" TargetMode="External"/><Relationship Id="rId496" Type="http://schemas.openxmlformats.org/officeDocument/2006/relationships/hyperlink" Target="https://storymaps.arcgis.com/stories/463f2d26aca94edda07753fe31f61f11" TargetMode="External"/><Relationship Id="rId172" Type="http://schemas.openxmlformats.org/officeDocument/2006/relationships/hyperlink" Target="https://www.nbcnews.com/health/health-news/coronavirus-timeline-tracking-critical-moments-covid-19-n1154341" TargetMode="External"/><Relationship Id="rId293" Type="http://schemas.openxmlformats.org/officeDocument/2006/relationships/hyperlink" Target="https://www.nbcnews.com/health/health-news/coronavirus-timeline-tracking-critical-moments-covid-19-n1154341" TargetMode="External"/><Relationship Id="rId171" Type="http://schemas.openxmlformats.org/officeDocument/2006/relationships/hyperlink" Target="https://www.nbcnews.com/health/health-news/coronavirus-timeline-tracking-critical-moments-covid-19-n1154341" TargetMode="External"/><Relationship Id="rId292" Type="http://schemas.openxmlformats.org/officeDocument/2006/relationships/hyperlink" Target="https://www.nbcnews.com/health/health-news/coronavirus-timeline-tracking-critical-moments-covid-19-n1154341" TargetMode="External"/><Relationship Id="rId170" Type="http://schemas.openxmlformats.org/officeDocument/2006/relationships/hyperlink" Target="https://www.nbcnews.com/health/health-news/coronavirus-timeline-tracking-critical-moments-covid-19-n1154341" TargetMode="External"/><Relationship Id="rId291" Type="http://schemas.openxmlformats.org/officeDocument/2006/relationships/hyperlink" Target="https://www.nbcnews.com/health/health-news/coronavirus-timeline-tracking-critical-moments-covid-19-n1154341" TargetMode="External"/><Relationship Id="rId290" Type="http://schemas.openxmlformats.org/officeDocument/2006/relationships/hyperlink" Target="https://www.nbcnews.com/health/health-news/coronavirus-timeline-tracking-critical-moments-covid-19-n1154341" TargetMode="External"/><Relationship Id="rId165" Type="http://schemas.openxmlformats.org/officeDocument/2006/relationships/hyperlink" Target="https://www.nbcnews.com/health/health-news/coronavirus-timeline-tracking-critical-moments-covid-19-n1154341" TargetMode="External"/><Relationship Id="rId286" Type="http://schemas.openxmlformats.org/officeDocument/2006/relationships/hyperlink" Target="https://www.nbcnews.com/health/health-news/coronavirus-timeline-tracking-critical-moments-covid-19-n1154341" TargetMode="External"/><Relationship Id="rId164" Type="http://schemas.openxmlformats.org/officeDocument/2006/relationships/hyperlink" Target="https://www.nbcnews.com/health/health-news/coronavirus-timeline-tracking-critical-moments-covid-19-n1154341" TargetMode="External"/><Relationship Id="rId285" Type="http://schemas.openxmlformats.org/officeDocument/2006/relationships/hyperlink" Target="https://www.nbcnews.com/health/health-news/coronavirus-timeline-tracking-critical-moments-covid-19-n1154341" TargetMode="External"/><Relationship Id="rId163" Type="http://schemas.openxmlformats.org/officeDocument/2006/relationships/hyperlink" Target="https://www.nbcnews.com/health/health-news/coronavirus-timeline-tracking-critical-moments-covid-19-n1154341" TargetMode="External"/><Relationship Id="rId284" Type="http://schemas.openxmlformats.org/officeDocument/2006/relationships/hyperlink" Target="https://www.nbcnews.com/health/health-news/coronavirus-timeline-tracking-critical-moments-covid-19-n1154341" TargetMode="External"/><Relationship Id="rId162" Type="http://schemas.openxmlformats.org/officeDocument/2006/relationships/hyperlink" Target="https://www.nbcnews.com/health/health-news/coronavirus-timeline-tracking-critical-moments-covid-19-n1154341" TargetMode="External"/><Relationship Id="rId283" Type="http://schemas.openxmlformats.org/officeDocument/2006/relationships/hyperlink" Target="https://www.nbcnews.com/health/health-news/coronavirus-timeline-tracking-critical-moments-covid-19-n1154341" TargetMode="External"/><Relationship Id="rId169" Type="http://schemas.openxmlformats.org/officeDocument/2006/relationships/hyperlink" Target="https://www.nbcnews.com/health/health-news/coronavirus-timeline-tracking-critical-moments-covid-19-n1154341" TargetMode="External"/><Relationship Id="rId168" Type="http://schemas.openxmlformats.org/officeDocument/2006/relationships/hyperlink" Target="https://www.nbcnews.com/health/health-news/coronavirus-timeline-tracking-critical-moments-covid-19-n1154341" TargetMode="External"/><Relationship Id="rId289" Type="http://schemas.openxmlformats.org/officeDocument/2006/relationships/hyperlink" Target="https://www.nbcnews.com/health/health-news/coronavirus-timeline-tracking-critical-moments-covid-19-n1154341" TargetMode="External"/><Relationship Id="rId167" Type="http://schemas.openxmlformats.org/officeDocument/2006/relationships/hyperlink" Target="https://www.nbcnews.com/health/health-news/coronavirus-timeline-tracking-critical-moments-covid-19-n1154341" TargetMode="External"/><Relationship Id="rId288" Type="http://schemas.openxmlformats.org/officeDocument/2006/relationships/hyperlink" Target="https://www.nbcnews.com/health/health-news/coronavirus-timeline-tracking-critical-moments-covid-19-n1154341" TargetMode="External"/><Relationship Id="rId166" Type="http://schemas.openxmlformats.org/officeDocument/2006/relationships/hyperlink" Target="https://www.nbcnews.com/health/health-news/coronavirus-timeline-tracking-critical-moments-covid-19-n1154341" TargetMode="External"/><Relationship Id="rId287" Type="http://schemas.openxmlformats.org/officeDocument/2006/relationships/hyperlink" Target="https://www.nbcnews.com/health/health-news/coronavirus-timeline-tracking-critical-moments-covid-19-n1154341" TargetMode="External"/><Relationship Id="rId161" Type="http://schemas.openxmlformats.org/officeDocument/2006/relationships/hyperlink" Target="https://www.nbcnews.com/health/health-news/coronavirus-timeline-tracking-critical-moments-covid-19-n1154341" TargetMode="External"/><Relationship Id="rId282" Type="http://schemas.openxmlformats.org/officeDocument/2006/relationships/hyperlink" Target="https://www.nbcnews.com/health/health-news/coronavirus-timeline-tracking-critical-moments-covid-19-n1154341" TargetMode="External"/><Relationship Id="rId160" Type="http://schemas.openxmlformats.org/officeDocument/2006/relationships/hyperlink" Target="https://www.nbcnews.com/health/health-news/coronavirus-timeline-tracking-critical-moments-covid-19-n1154341" TargetMode="External"/><Relationship Id="rId281" Type="http://schemas.openxmlformats.org/officeDocument/2006/relationships/hyperlink" Target="https://www.nbcnews.com/health/health-news/coronavirus-timeline-tracking-critical-moments-covid-19-n1154341" TargetMode="External"/><Relationship Id="rId280" Type="http://schemas.openxmlformats.org/officeDocument/2006/relationships/hyperlink" Target="https://www.nbcnews.com/health/health-news/coronavirus-timeline-tracking-critical-moments-covid-19-n1154341" TargetMode="External"/><Relationship Id="rId159" Type="http://schemas.openxmlformats.org/officeDocument/2006/relationships/hyperlink" Target="https://www.nbcnews.com/health/health-news/coronavirus-timeline-tracking-critical-moments-covid-19-n1154341" TargetMode="External"/><Relationship Id="rId154" Type="http://schemas.openxmlformats.org/officeDocument/2006/relationships/hyperlink" Target="https://www.nbcnews.com/health/health-news/coronavirus-timeline-tracking-critical-moments-covid-19-n1154341" TargetMode="External"/><Relationship Id="rId275" Type="http://schemas.openxmlformats.org/officeDocument/2006/relationships/hyperlink" Target="https://www.nbcnews.com/health/health-news/coronavirus-timeline-tracking-critical-moments-covid-19-n1154341" TargetMode="External"/><Relationship Id="rId396" Type="http://schemas.openxmlformats.org/officeDocument/2006/relationships/hyperlink" Target="https://www.defense.gov/Explore/Spotlight/Coronavirus-DOD-Response/Timeline/" TargetMode="External"/><Relationship Id="rId153" Type="http://schemas.openxmlformats.org/officeDocument/2006/relationships/hyperlink" Target="https://www.nbcnews.com/health/health-news/coronavirus-timeline-tracking-critical-moments-covid-19-n1154341" TargetMode="External"/><Relationship Id="rId274" Type="http://schemas.openxmlformats.org/officeDocument/2006/relationships/hyperlink" Target="https://www.nbcnews.com/health/health-news/coronavirus-timeline-tracking-critical-moments-covid-19-n1154341" TargetMode="External"/><Relationship Id="rId395" Type="http://schemas.openxmlformats.org/officeDocument/2006/relationships/hyperlink" Target="https://www.defense.gov/Explore/Spotlight/Coronavirus-DOD-Response/Timeline/" TargetMode="External"/><Relationship Id="rId152" Type="http://schemas.openxmlformats.org/officeDocument/2006/relationships/hyperlink" Target="https://www.nbcnews.com/health/health-news/coronavirus-timeline-tracking-critical-moments-covid-19-n1154341" TargetMode="External"/><Relationship Id="rId273" Type="http://schemas.openxmlformats.org/officeDocument/2006/relationships/hyperlink" Target="https://www.nbcnews.com/health/health-news/coronavirus-timeline-tracking-critical-moments-covid-19-n1154341" TargetMode="External"/><Relationship Id="rId394" Type="http://schemas.openxmlformats.org/officeDocument/2006/relationships/hyperlink" Target="https://www.defense.gov/Explore/Spotlight/Coronavirus-DOD-Response/Timeline/" TargetMode="External"/><Relationship Id="rId151" Type="http://schemas.openxmlformats.org/officeDocument/2006/relationships/hyperlink" Target="https://www.nbcnews.com/health/health-news/coronavirus-timeline-tracking-critical-moments-covid-19-n1154341" TargetMode="External"/><Relationship Id="rId272" Type="http://schemas.openxmlformats.org/officeDocument/2006/relationships/hyperlink" Target="https://www.nbcnews.com/health/health-news/coronavirus-timeline-tracking-critical-moments-covid-19-n1154341" TargetMode="External"/><Relationship Id="rId393" Type="http://schemas.openxmlformats.org/officeDocument/2006/relationships/hyperlink" Target="https://www.defense.gov/Explore/Spotlight/Coronavirus-DOD-Response/Timeline/" TargetMode="External"/><Relationship Id="rId158" Type="http://schemas.openxmlformats.org/officeDocument/2006/relationships/hyperlink" Target="https://www.nbcnews.com/health/health-news/coronavirus-timeline-tracking-critical-moments-covid-19-n1154341" TargetMode="External"/><Relationship Id="rId279" Type="http://schemas.openxmlformats.org/officeDocument/2006/relationships/hyperlink" Target="https://www.nbcnews.com/health/health-news/coronavirus-timeline-tracking-critical-moments-covid-19-n1154341" TargetMode="External"/><Relationship Id="rId157" Type="http://schemas.openxmlformats.org/officeDocument/2006/relationships/hyperlink" Target="https://www.nbcnews.com/health/health-news/coronavirus-timeline-tracking-critical-moments-covid-19-n1154341" TargetMode="External"/><Relationship Id="rId278" Type="http://schemas.openxmlformats.org/officeDocument/2006/relationships/hyperlink" Target="https://www.nbcnews.com/health/health-news/coronavirus-timeline-tracking-critical-moments-covid-19-n1154341" TargetMode="External"/><Relationship Id="rId399" Type="http://schemas.openxmlformats.org/officeDocument/2006/relationships/hyperlink" Target="https://www.defense.gov/Explore/Spotlight/Coronavirus-DOD-Response/Timeline/" TargetMode="External"/><Relationship Id="rId156" Type="http://schemas.openxmlformats.org/officeDocument/2006/relationships/hyperlink" Target="https://www.nbcnews.com/health/health-news/coronavirus-timeline-tracking-critical-moments-covid-19-n1154341" TargetMode="External"/><Relationship Id="rId277" Type="http://schemas.openxmlformats.org/officeDocument/2006/relationships/hyperlink" Target="https://www.nbcnews.com/health/health-news/coronavirus-timeline-tracking-critical-moments-covid-19-n1154341" TargetMode="External"/><Relationship Id="rId398" Type="http://schemas.openxmlformats.org/officeDocument/2006/relationships/hyperlink" Target="https://www.defense.gov/Explore/Spotlight/Coronavirus-DOD-Response/Timeline/" TargetMode="External"/><Relationship Id="rId155" Type="http://schemas.openxmlformats.org/officeDocument/2006/relationships/hyperlink" Target="https://www.nbcnews.com/health/health-news/coronavirus-timeline-tracking-critical-moments-covid-19-n1154341" TargetMode="External"/><Relationship Id="rId276" Type="http://schemas.openxmlformats.org/officeDocument/2006/relationships/hyperlink" Target="https://www.nbcnews.com/health/health-news/coronavirus-timeline-tracking-critical-moments-covid-19-n1154341" TargetMode="External"/><Relationship Id="rId397" Type="http://schemas.openxmlformats.org/officeDocument/2006/relationships/hyperlink" Target="https://www.defense.gov/Explore/Spotlight/Coronavirus-DOD-Response/Timeline/" TargetMode="External"/><Relationship Id="rId40" Type="http://schemas.openxmlformats.org/officeDocument/2006/relationships/hyperlink" Target="https://www.businessinsider.com/coronavirus-pandemic-timeline-history-major-events-2020-3" TargetMode="External"/><Relationship Id="rId42" Type="http://schemas.openxmlformats.org/officeDocument/2006/relationships/hyperlink" Target="https://www.businessinsider.com/coronavirus-pandemic-timeline-history-major-events-2020-3" TargetMode="External"/><Relationship Id="rId41" Type="http://schemas.openxmlformats.org/officeDocument/2006/relationships/hyperlink" Target="https://www.businessinsider.com/coronavirus-pandemic-timeline-history-major-events-2020-3" TargetMode="External"/><Relationship Id="rId44" Type="http://schemas.openxmlformats.org/officeDocument/2006/relationships/hyperlink" Target="https://www.businessinsider.com/coronavirus-pandemic-timeline-history-major-events-2020-3" TargetMode="External"/><Relationship Id="rId43" Type="http://schemas.openxmlformats.org/officeDocument/2006/relationships/hyperlink" Target="https://www.businessinsider.com/coronavirus-pandemic-timeline-history-major-events-2020-3" TargetMode="External"/><Relationship Id="rId46" Type="http://schemas.openxmlformats.org/officeDocument/2006/relationships/hyperlink" Target="https://www.businessinsider.com/coronavirus-pandemic-timeline-history-major-events-2020-3" TargetMode="External"/><Relationship Id="rId45" Type="http://schemas.openxmlformats.org/officeDocument/2006/relationships/hyperlink" Target="https://www.businessinsider.com/coronavirus-pandemic-timeline-history-major-events-2020-3" TargetMode="External"/><Relationship Id="rId509" Type="http://schemas.openxmlformats.org/officeDocument/2006/relationships/hyperlink" Target="https://storymaps.arcgis.com/stories/463f2d26aca94edda07753fe31f61f11" TargetMode="External"/><Relationship Id="rId508" Type="http://schemas.openxmlformats.org/officeDocument/2006/relationships/hyperlink" Target="https://www.defense.gov/Explore/Spotlight/Coronavirus-DOD-Response/Timeline/" TargetMode="External"/><Relationship Id="rId503" Type="http://schemas.openxmlformats.org/officeDocument/2006/relationships/hyperlink" Target="https://storymaps.arcgis.com/stories/463f2d26aca94edda07753fe31f61f11" TargetMode="External"/><Relationship Id="rId502" Type="http://schemas.openxmlformats.org/officeDocument/2006/relationships/hyperlink" Target="https://www.defense.gov/Explore/Spotlight/Coronavirus-DOD-Response/Timeline/" TargetMode="External"/><Relationship Id="rId501" Type="http://schemas.openxmlformats.org/officeDocument/2006/relationships/hyperlink" Target="https://www.defense.gov/Explore/Spotlight/Coronavirus-DOD-Response/Timeline/" TargetMode="External"/><Relationship Id="rId500" Type="http://schemas.openxmlformats.org/officeDocument/2006/relationships/hyperlink" Target="https://www.defense.gov/Explore/Spotlight/Coronavirus-DOD-Response/Timeline/" TargetMode="External"/><Relationship Id="rId507" Type="http://schemas.openxmlformats.org/officeDocument/2006/relationships/hyperlink" Target="https://storymaps.arcgis.com/stories/463f2d26aca94edda07753fe31f61f11" TargetMode="External"/><Relationship Id="rId506" Type="http://schemas.openxmlformats.org/officeDocument/2006/relationships/hyperlink" Target="https://storymaps.arcgis.com/stories/463f2d26aca94edda07753fe31f61f11" TargetMode="External"/><Relationship Id="rId505" Type="http://schemas.openxmlformats.org/officeDocument/2006/relationships/hyperlink" Target="https://storymaps.arcgis.com/stories/463f2d26aca94edda07753fe31f61f11" TargetMode="External"/><Relationship Id="rId504" Type="http://schemas.openxmlformats.org/officeDocument/2006/relationships/hyperlink" Target="https://storymaps.arcgis.com/stories/463f2d26aca94edda07753fe31f61f11" TargetMode="External"/><Relationship Id="rId48" Type="http://schemas.openxmlformats.org/officeDocument/2006/relationships/hyperlink" Target="https://www.businessinsider.com/coronavirus-pandemic-timeline-history-major-events-2020-3" TargetMode="External"/><Relationship Id="rId47" Type="http://schemas.openxmlformats.org/officeDocument/2006/relationships/hyperlink" Target="https://www.businessinsider.com/coronavirus-pandemic-timeline-history-major-events-2020-3" TargetMode="External"/><Relationship Id="rId49" Type="http://schemas.openxmlformats.org/officeDocument/2006/relationships/hyperlink" Target="https://www.cnn.com/2020/04/11/politics/irs-coronavirus-stimulus-check-deposit/index.html" TargetMode="External"/><Relationship Id="rId31" Type="http://schemas.openxmlformats.org/officeDocument/2006/relationships/hyperlink" Target="https://www.businessinsider.com/coronavirus-pandemic-timeline-history-major-events-2020-3" TargetMode="External"/><Relationship Id="rId30" Type="http://schemas.openxmlformats.org/officeDocument/2006/relationships/hyperlink" Target="https://www.businessinsider.com/coronavirus-pandemic-timeline-history-major-events-2020-3" TargetMode="External"/><Relationship Id="rId33" Type="http://schemas.openxmlformats.org/officeDocument/2006/relationships/hyperlink" Target="https://www.businessinsider.com/coronavirus-pandemic-timeline-history-major-events-2020-3" TargetMode="External"/><Relationship Id="rId32" Type="http://schemas.openxmlformats.org/officeDocument/2006/relationships/hyperlink" Target="https://www.businessinsider.com/coronavirus-pandemic-timeline-history-major-events-2020-3" TargetMode="External"/><Relationship Id="rId35" Type="http://schemas.openxmlformats.org/officeDocument/2006/relationships/hyperlink" Target="https://www.businessinsider.com/coronavirus-pandemic-timeline-history-major-events-2020-3" TargetMode="External"/><Relationship Id="rId34" Type="http://schemas.openxmlformats.org/officeDocument/2006/relationships/hyperlink" Target="https://www.businessinsider.com/coronavirus-pandemic-timeline-history-major-events-2020-3" TargetMode="External"/><Relationship Id="rId610" Type="http://schemas.openxmlformats.org/officeDocument/2006/relationships/drawing" Target="../drawings/drawing1.xml"/><Relationship Id="rId37" Type="http://schemas.openxmlformats.org/officeDocument/2006/relationships/hyperlink" Target="https://www.cnn.com/2020/03/27/politics/coronavirus-stimulus-house-vote/index.html" TargetMode="External"/><Relationship Id="rId36" Type="http://schemas.openxmlformats.org/officeDocument/2006/relationships/hyperlink" Target="https://www.businessinsider.com/coronavirus-pandemic-timeline-history-major-events-2020-3" TargetMode="External"/><Relationship Id="rId39" Type="http://schemas.openxmlformats.org/officeDocument/2006/relationships/hyperlink" Target="https://www.businessinsider.com/coronavirus-pandemic-timeline-history-major-events-2020-3" TargetMode="External"/><Relationship Id="rId38" Type="http://schemas.openxmlformats.org/officeDocument/2006/relationships/hyperlink" Target="https://www.businessinsider.com/coronavirus-pandemic-timeline-history-major-events-2020-3" TargetMode="External"/><Relationship Id="rId20" Type="http://schemas.openxmlformats.org/officeDocument/2006/relationships/hyperlink" Target="https://www.businessinsider.com/coronavirus-pandemic-timeline-history-major-events-2020-3" TargetMode="External"/><Relationship Id="rId22" Type="http://schemas.openxmlformats.org/officeDocument/2006/relationships/hyperlink" Target="https://www.businessinsider.com/coronavirus-pandemic-timeline-history-major-events-2020-3" TargetMode="External"/><Relationship Id="rId21" Type="http://schemas.openxmlformats.org/officeDocument/2006/relationships/hyperlink" Target="https://www.businessinsider.com/coronavirus-pandemic-timeline-history-major-events-2020-3" TargetMode="External"/><Relationship Id="rId24" Type="http://schemas.openxmlformats.org/officeDocument/2006/relationships/hyperlink" Target="https://www.businessinsider.com/coronavirus-pandemic-timeline-history-major-events-2020-3" TargetMode="External"/><Relationship Id="rId23" Type="http://schemas.openxmlformats.org/officeDocument/2006/relationships/hyperlink" Target="https://www.businessinsider.com/coronavirus-pandemic-timeline-history-major-events-2020-3" TargetMode="External"/><Relationship Id="rId409" Type="http://schemas.openxmlformats.org/officeDocument/2006/relationships/hyperlink" Target="https://storymaps.arcgis.com/stories/463f2d26aca94edda07753fe31f61f11" TargetMode="External"/><Relationship Id="rId404" Type="http://schemas.openxmlformats.org/officeDocument/2006/relationships/hyperlink" Target="https://storymaps.arcgis.com/stories/463f2d26aca94edda07753fe31f61f11" TargetMode="External"/><Relationship Id="rId525" Type="http://schemas.openxmlformats.org/officeDocument/2006/relationships/hyperlink" Target="https://www.defense.gov/Explore/Spotlight/Coronavirus-DOD-Response/Timeline/" TargetMode="External"/><Relationship Id="rId403" Type="http://schemas.openxmlformats.org/officeDocument/2006/relationships/hyperlink" Target="https://storymaps.arcgis.com/stories/463f2d26aca94edda07753fe31f61f11" TargetMode="External"/><Relationship Id="rId524" Type="http://schemas.openxmlformats.org/officeDocument/2006/relationships/hyperlink" Target="https://www.defense.gov/Explore/Spotlight/Coronavirus-DOD-Response/Timeline/" TargetMode="External"/><Relationship Id="rId402" Type="http://schemas.openxmlformats.org/officeDocument/2006/relationships/hyperlink" Target="https://storymaps.arcgis.com/stories/463f2d26aca94edda07753fe31f61f11" TargetMode="External"/><Relationship Id="rId523" Type="http://schemas.openxmlformats.org/officeDocument/2006/relationships/hyperlink" Target="https://www.defense.gov/Explore/Spotlight/Coronavirus-DOD-Response/Timeline/" TargetMode="External"/><Relationship Id="rId401" Type="http://schemas.openxmlformats.org/officeDocument/2006/relationships/hyperlink" Target="https://storymaps.arcgis.com/stories/463f2d26aca94edda07753fe31f61f11" TargetMode="External"/><Relationship Id="rId522" Type="http://schemas.openxmlformats.org/officeDocument/2006/relationships/hyperlink" Target="https://storymaps.arcgis.com/stories/463f2d26aca94edda07753fe31f61f11" TargetMode="External"/><Relationship Id="rId408" Type="http://schemas.openxmlformats.org/officeDocument/2006/relationships/hyperlink" Target="https://storymaps.arcgis.com/stories/463f2d26aca94edda07753fe31f61f11" TargetMode="External"/><Relationship Id="rId529" Type="http://schemas.openxmlformats.org/officeDocument/2006/relationships/hyperlink" Target="https://www.defense.gov/Explore/Spotlight/Coronavirus-DOD-Response/Timeline/" TargetMode="External"/><Relationship Id="rId407" Type="http://schemas.openxmlformats.org/officeDocument/2006/relationships/hyperlink" Target="https://storymaps.arcgis.com/stories/463f2d26aca94edda07753fe31f61f11" TargetMode="External"/><Relationship Id="rId528" Type="http://schemas.openxmlformats.org/officeDocument/2006/relationships/hyperlink" Target="https://storymaps.arcgis.com/stories/463f2d26aca94edda07753fe31f61f11" TargetMode="External"/><Relationship Id="rId406" Type="http://schemas.openxmlformats.org/officeDocument/2006/relationships/hyperlink" Target="https://www.defense.gov/Explore/Spotlight/Coronavirus-DOD-Response/Timeline/" TargetMode="External"/><Relationship Id="rId527" Type="http://schemas.openxmlformats.org/officeDocument/2006/relationships/hyperlink" Target="https://storymaps.arcgis.com/stories/463f2d26aca94edda07753fe31f61f11" TargetMode="External"/><Relationship Id="rId405" Type="http://schemas.openxmlformats.org/officeDocument/2006/relationships/hyperlink" Target="https://storymaps.arcgis.com/stories/463f2d26aca94edda07753fe31f61f11" TargetMode="External"/><Relationship Id="rId526" Type="http://schemas.openxmlformats.org/officeDocument/2006/relationships/hyperlink" Target="https://storymaps.arcgis.com/stories/463f2d26aca94edda07753fe31f61f11" TargetMode="External"/><Relationship Id="rId26" Type="http://schemas.openxmlformats.org/officeDocument/2006/relationships/hyperlink" Target="https://www.businessinsider.com/coronavirus-pandemic-timeline-history-major-events-2020-3" TargetMode="External"/><Relationship Id="rId25" Type="http://schemas.openxmlformats.org/officeDocument/2006/relationships/hyperlink" Target="https://www.businessinsider.com/coronavirus-pandemic-timeline-history-major-events-2020-3" TargetMode="External"/><Relationship Id="rId28" Type="http://schemas.openxmlformats.org/officeDocument/2006/relationships/hyperlink" Target="https://www.businessinsider.com/coronavirus-pandemic-timeline-history-major-events-2020-3" TargetMode="External"/><Relationship Id="rId27" Type="http://schemas.openxmlformats.org/officeDocument/2006/relationships/hyperlink" Target="https://www.businessinsider.com/coronavirus-pandemic-timeline-history-major-events-2020-3" TargetMode="External"/><Relationship Id="rId400" Type="http://schemas.openxmlformats.org/officeDocument/2006/relationships/hyperlink" Target="https://www.defense.gov/Explore/Spotlight/Coronavirus-DOD-Response/Timeline/" TargetMode="External"/><Relationship Id="rId521" Type="http://schemas.openxmlformats.org/officeDocument/2006/relationships/hyperlink" Target="https://www.defense.gov/Explore/Spotlight/Coronavirus-DOD-Response/Timeline/" TargetMode="External"/><Relationship Id="rId29" Type="http://schemas.openxmlformats.org/officeDocument/2006/relationships/hyperlink" Target="https://www.businessinsider.com/coronavirus-pandemic-timeline-history-major-events-2020-3" TargetMode="External"/><Relationship Id="rId520" Type="http://schemas.openxmlformats.org/officeDocument/2006/relationships/hyperlink" Target="https://www.defense.gov/Explore/Spotlight/Coronavirus-DOD-Response/Timeline/" TargetMode="External"/><Relationship Id="rId11" Type="http://schemas.openxmlformats.org/officeDocument/2006/relationships/hyperlink" Target="https://www.businessinsider.com/coronavirus-pandemic-timeline-history-major-events-2020-3" TargetMode="External"/><Relationship Id="rId10" Type="http://schemas.openxmlformats.org/officeDocument/2006/relationships/hyperlink" Target="https://www.businessinsider.com/coronavirus-pandemic-timeline-history-major-events-2020-3" TargetMode="External"/><Relationship Id="rId13" Type="http://schemas.openxmlformats.org/officeDocument/2006/relationships/hyperlink" Target="https://www.businessinsider.com/coronavirus-pandemic-timeline-history-major-events-2020-3" TargetMode="External"/><Relationship Id="rId12" Type="http://schemas.openxmlformats.org/officeDocument/2006/relationships/hyperlink" Target="https://www.businessinsider.com/coronavirus-pandemic-timeline-history-major-events-2020-3" TargetMode="External"/><Relationship Id="rId519" Type="http://schemas.openxmlformats.org/officeDocument/2006/relationships/hyperlink" Target="https://storymaps.arcgis.com/stories/463f2d26aca94edda07753fe31f61f11" TargetMode="External"/><Relationship Id="rId514" Type="http://schemas.openxmlformats.org/officeDocument/2006/relationships/hyperlink" Target="https://storymaps.arcgis.com/stories/463f2d26aca94edda07753fe31f61f11" TargetMode="External"/><Relationship Id="rId513" Type="http://schemas.openxmlformats.org/officeDocument/2006/relationships/hyperlink" Target="https://www.defense.gov/Explore/Spotlight/Coronavirus-DOD-Response/Timeline/" TargetMode="External"/><Relationship Id="rId512" Type="http://schemas.openxmlformats.org/officeDocument/2006/relationships/hyperlink" Target="https://storymaps.arcgis.com/stories/463f2d26aca94edda07753fe31f61f11" TargetMode="External"/><Relationship Id="rId511" Type="http://schemas.openxmlformats.org/officeDocument/2006/relationships/hyperlink" Target="https://storymaps.arcgis.com/stories/463f2d26aca94edda07753fe31f61f11" TargetMode="External"/><Relationship Id="rId518" Type="http://schemas.openxmlformats.org/officeDocument/2006/relationships/hyperlink" Target="https://storymaps.arcgis.com/stories/463f2d26aca94edda07753fe31f61f11" TargetMode="External"/><Relationship Id="rId517" Type="http://schemas.openxmlformats.org/officeDocument/2006/relationships/hyperlink" Target="https://storymaps.arcgis.com/stories/463f2d26aca94edda07753fe31f61f11" TargetMode="External"/><Relationship Id="rId516" Type="http://schemas.openxmlformats.org/officeDocument/2006/relationships/hyperlink" Target="https://storymaps.arcgis.com/stories/463f2d26aca94edda07753fe31f61f11" TargetMode="External"/><Relationship Id="rId515" Type="http://schemas.openxmlformats.org/officeDocument/2006/relationships/hyperlink" Target="https://storymaps.arcgis.com/stories/463f2d26aca94edda07753fe31f61f11" TargetMode="External"/><Relationship Id="rId15" Type="http://schemas.openxmlformats.org/officeDocument/2006/relationships/hyperlink" Target="https://www.businessinsider.com/coronavirus-pandemic-timeline-history-major-events-2020-3" TargetMode="External"/><Relationship Id="rId14" Type="http://schemas.openxmlformats.org/officeDocument/2006/relationships/hyperlink" Target="https://www.businessinsider.com/coronavirus-pandemic-timeline-history-major-events-2020-3" TargetMode="External"/><Relationship Id="rId17" Type="http://schemas.openxmlformats.org/officeDocument/2006/relationships/hyperlink" Target="https://www.businessinsider.com/coronavirus-pandemic-timeline-history-major-events-2020-3" TargetMode="External"/><Relationship Id="rId16" Type="http://schemas.openxmlformats.org/officeDocument/2006/relationships/hyperlink" Target="https://www.businessinsider.com/coronavirus-pandemic-timeline-history-major-events-2020-3" TargetMode="External"/><Relationship Id="rId19" Type="http://schemas.openxmlformats.org/officeDocument/2006/relationships/hyperlink" Target="https://www.businessinsider.com/coronavirus-pandemic-timeline-history-major-events-2020-3" TargetMode="External"/><Relationship Id="rId510" Type="http://schemas.openxmlformats.org/officeDocument/2006/relationships/hyperlink" Target="https://storymaps.arcgis.com/stories/463f2d26aca94edda07753fe31f61f11" TargetMode="External"/><Relationship Id="rId18" Type="http://schemas.openxmlformats.org/officeDocument/2006/relationships/hyperlink" Target="https://www.businessinsider.com/coronavirus-pandemic-timeline-history-major-events-2020-3" TargetMode="External"/><Relationship Id="rId84" Type="http://schemas.openxmlformats.org/officeDocument/2006/relationships/hyperlink" Target="https://www.nbcnews.com/health/health-news/coronavirus-timeline-tracking-critical-moments-covid-19-n1154341" TargetMode="External"/><Relationship Id="rId83" Type="http://schemas.openxmlformats.org/officeDocument/2006/relationships/hyperlink" Target="https://www.nbcnews.com/health/health-news/coronavirus-timeline-tracking-critical-moments-covid-19-n1154341" TargetMode="External"/><Relationship Id="rId86" Type="http://schemas.openxmlformats.org/officeDocument/2006/relationships/hyperlink" Target="https://www.nbcnews.com/health/health-news/coronavirus-timeline-tracking-critical-moments-covid-19-n1154341" TargetMode="External"/><Relationship Id="rId85" Type="http://schemas.openxmlformats.org/officeDocument/2006/relationships/hyperlink" Target="https://www.nbcnews.com/health/health-news/coronavirus-timeline-tracking-critical-moments-covid-19-n1154341" TargetMode="External"/><Relationship Id="rId88" Type="http://schemas.openxmlformats.org/officeDocument/2006/relationships/hyperlink" Target="https://www.nbcnews.com/health/health-news/coronavirus-timeline-tracking-critical-moments-covid-19-n1154341" TargetMode="External"/><Relationship Id="rId87" Type="http://schemas.openxmlformats.org/officeDocument/2006/relationships/hyperlink" Target="https://www.nbcnews.com/health/health-news/coronavirus-timeline-tracking-critical-moments-covid-19-n1154341" TargetMode="External"/><Relationship Id="rId89" Type="http://schemas.openxmlformats.org/officeDocument/2006/relationships/hyperlink" Target="https://www.nbcnews.com/health/health-news/coronavirus-timeline-tracking-critical-moments-covid-19-n1154341" TargetMode="External"/><Relationship Id="rId80" Type="http://schemas.openxmlformats.org/officeDocument/2006/relationships/hyperlink" Target="https://www.nbcnews.com/health/health-news/coronavirus-timeline-tracking-critical-moments-covid-19-n1154341" TargetMode="External"/><Relationship Id="rId82" Type="http://schemas.openxmlformats.org/officeDocument/2006/relationships/hyperlink" Target="https://www.nbcnews.com/health/health-news/coronavirus-timeline-tracking-critical-moments-covid-19-n1154341" TargetMode="External"/><Relationship Id="rId81" Type="http://schemas.openxmlformats.org/officeDocument/2006/relationships/hyperlink" Target="https://www.nbcnews.com/health/health-news/coronavirus-timeline-tracking-critical-moments-covid-19-n1154341" TargetMode="External"/><Relationship Id="rId73" Type="http://schemas.openxmlformats.org/officeDocument/2006/relationships/hyperlink" Target="https://www.nbcnews.com/health/health-news/coronavirus-timeline-tracking-critical-moments-covid-19-n1154341" TargetMode="External"/><Relationship Id="rId72" Type="http://schemas.openxmlformats.org/officeDocument/2006/relationships/hyperlink" Target="https://www.nbcnews.com/health/health-news/coronavirus-timeline-tracking-critical-moments-covid-19-n1154341" TargetMode="External"/><Relationship Id="rId75" Type="http://schemas.openxmlformats.org/officeDocument/2006/relationships/hyperlink" Target="https://www.nbcnews.com/health/health-news/coronavirus-timeline-tracking-critical-moments-covid-19-n1154341" TargetMode="External"/><Relationship Id="rId74" Type="http://schemas.openxmlformats.org/officeDocument/2006/relationships/hyperlink" Target="https://www.nbcnews.com/health/health-news/coronavirus-timeline-tracking-critical-moments-covid-19-n1154341" TargetMode="External"/><Relationship Id="rId77" Type="http://schemas.openxmlformats.org/officeDocument/2006/relationships/hyperlink" Target="https://www.nbcnews.com/health/health-news/coronavirus-timeline-tracking-critical-moments-covid-19-n1154341" TargetMode="External"/><Relationship Id="rId76" Type="http://schemas.openxmlformats.org/officeDocument/2006/relationships/hyperlink" Target="https://www.nbcnews.com/health/health-news/coronavirus-timeline-tracking-critical-moments-covid-19-n1154341" TargetMode="External"/><Relationship Id="rId79" Type="http://schemas.openxmlformats.org/officeDocument/2006/relationships/hyperlink" Target="https://www.nbcnews.com/health/health-news/coronavirus-timeline-tracking-critical-moments-covid-19-n1154341" TargetMode="External"/><Relationship Id="rId78" Type="http://schemas.openxmlformats.org/officeDocument/2006/relationships/hyperlink" Target="https://www.nbcnews.com/health/health-news/coronavirus-timeline-tracking-critical-moments-covid-19-n1154341" TargetMode="External"/><Relationship Id="rId71" Type="http://schemas.openxmlformats.org/officeDocument/2006/relationships/hyperlink" Target="https://www.nbcnews.com/health/health-news/coronavirus-timeline-tracking-critical-moments-covid-19-n1154341" TargetMode="External"/><Relationship Id="rId70" Type="http://schemas.openxmlformats.org/officeDocument/2006/relationships/hyperlink" Target="https://www.nbcnews.com/health/health-news/coronavirus-timeline-tracking-critical-moments-covid-19-n1154341" TargetMode="External"/><Relationship Id="rId62" Type="http://schemas.openxmlformats.org/officeDocument/2006/relationships/hyperlink" Target="https://www.businessinsider.com/coronavirus-pandemic-timeline-history-major-events-2020-3" TargetMode="External"/><Relationship Id="rId61" Type="http://schemas.openxmlformats.org/officeDocument/2006/relationships/hyperlink" Target="https://www.businessinsider.com/coronavirus-pandemic-timeline-history-major-events-2020-3" TargetMode="External"/><Relationship Id="rId64" Type="http://schemas.openxmlformats.org/officeDocument/2006/relationships/hyperlink" Target="https://www.nbcnews.com/health/health-news/coronavirus-timeline-tracking-critical-moments-covid-19-n1154341" TargetMode="External"/><Relationship Id="rId63" Type="http://schemas.openxmlformats.org/officeDocument/2006/relationships/hyperlink" Target="https://www.businessinsider.com/coronavirus-pandemic-timeline-history-major-events-2020-3" TargetMode="External"/><Relationship Id="rId66" Type="http://schemas.openxmlformats.org/officeDocument/2006/relationships/hyperlink" Target="https://www.nbcnews.com/health/health-news/coronavirus-timeline-tracking-critical-moments-covid-19-n1154341" TargetMode="External"/><Relationship Id="rId65" Type="http://schemas.openxmlformats.org/officeDocument/2006/relationships/hyperlink" Target="https://www.nbcnews.com/health/health-news/coronavirus-timeline-tracking-critical-moments-covid-19-n1154341" TargetMode="External"/><Relationship Id="rId68" Type="http://schemas.openxmlformats.org/officeDocument/2006/relationships/hyperlink" Target="https://www.nbcnews.com/health/health-news/coronavirus-timeline-tracking-critical-moments-covid-19-n1154341" TargetMode="External"/><Relationship Id="rId67" Type="http://schemas.openxmlformats.org/officeDocument/2006/relationships/hyperlink" Target="https://www.nbcnews.com/health/health-news/coronavirus-timeline-tracking-critical-moments-covid-19-n1154341" TargetMode="External"/><Relationship Id="rId609" Type="http://schemas.openxmlformats.org/officeDocument/2006/relationships/hyperlink" Target="https://www.defense.gov/Spotlights/Coronavirus-DOD-Response/Timeline/" TargetMode="External"/><Relationship Id="rId608" Type="http://schemas.openxmlformats.org/officeDocument/2006/relationships/hyperlink" Target="https://storymaps.arcgis.com/stories/463f2d26aca94edda07753fe31f61f11" TargetMode="External"/><Relationship Id="rId607" Type="http://schemas.openxmlformats.org/officeDocument/2006/relationships/hyperlink" Target="https://storymaps.arcgis.com/stories/463f2d26aca94edda07753fe31f61f11" TargetMode="External"/><Relationship Id="rId60" Type="http://schemas.openxmlformats.org/officeDocument/2006/relationships/hyperlink" Target="https://www.businessinsider.com/coronavirus-pandemic-timeline-history-major-events-2020-3" TargetMode="External"/><Relationship Id="rId602" Type="http://schemas.openxmlformats.org/officeDocument/2006/relationships/hyperlink" Target="https://storymaps.arcgis.com/stories/463f2d26aca94edda07753fe31f61f11" TargetMode="External"/><Relationship Id="rId601" Type="http://schemas.openxmlformats.org/officeDocument/2006/relationships/hyperlink" Target="https://storymaps.arcgis.com/stories/463f2d26aca94edda07753fe31f61f11" TargetMode="External"/><Relationship Id="rId600" Type="http://schemas.openxmlformats.org/officeDocument/2006/relationships/hyperlink" Target="https://storymaps.arcgis.com/stories/463f2d26aca94edda07753fe31f61f11" TargetMode="External"/><Relationship Id="rId606" Type="http://schemas.openxmlformats.org/officeDocument/2006/relationships/hyperlink" Target="https://storymaps.arcgis.com/stories/463f2d26aca94edda07753fe31f61f11" TargetMode="External"/><Relationship Id="rId605" Type="http://schemas.openxmlformats.org/officeDocument/2006/relationships/hyperlink" Target="https://storymaps.arcgis.com/stories/463f2d26aca94edda07753fe31f61f11" TargetMode="External"/><Relationship Id="rId604" Type="http://schemas.openxmlformats.org/officeDocument/2006/relationships/hyperlink" Target="https://storymaps.arcgis.com/stories/463f2d26aca94edda07753fe31f61f11" TargetMode="External"/><Relationship Id="rId603" Type="http://schemas.openxmlformats.org/officeDocument/2006/relationships/hyperlink" Target="https://storymaps.arcgis.com/stories/463f2d26aca94edda07753fe31f61f11" TargetMode="External"/><Relationship Id="rId69" Type="http://schemas.openxmlformats.org/officeDocument/2006/relationships/hyperlink" Target="https://www.nbcnews.com/health/health-news/coronavirus-timeline-tracking-critical-moments-covid-19-n1154341" TargetMode="External"/><Relationship Id="rId51" Type="http://schemas.openxmlformats.org/officeDocument/2006/relationships/hyperlink" Target="https://www.businessinsider.com/coronavirus-pandemic-timeline-history-major-events-2020-3" TargetMode="External"/><Relationship Id="rId50" Type="http://schemas.openxmlformats.org/officeDocument/2006/relationships/hyperlink" Target="https://www.businessinsider.com/coronavirus-pandemic-timeline-history-major-events-2020-3" TargetMode="External"/><Relationship Id="rId53" Type="http://schemas.openxmlformats.org/officeDocument/2006/relationships/hyperlink" Target="https://www.businessinsider.com/coronavirus-pandemic-timeline-history-major-events-2020-3" TargetMode="External"/><Relationship Id="rId52" Type="http://schemas.openxmlformats.org/officeDocument/2006/relationships/hyperlink" Target="https://www.businessinsider.com/coronavirus-pandemic-timeline-history-major-events-2020-3" TargetMode="External"/><Relationship Id="rId55" Type="http://schemas.openxmlformats.org/officeDocument/2006/relationships/hyperlink" Target="https://www.businessinsider.com/coronavirus-pandemic-timeline-history-major-events-2020-3" TargetMode="External"/><Relationship Id="rId54" Type="http://schemas.openxmlformats.org/officeDocument/2006/relationships/hyperlink" Target="https://www.businessinsider.com/coronavirus-pandemic-timeline-history-major-events-2020-3" TargetMode="External"/><Relationship Id="rId57" Type="http://schemas.openxmlformats.org/officeDocument/2006/relationships/hyperlink" Target="https://www.nytimes.com/2020/04/24/business/stock-market-live-coronavirus.html" TargetMode="External"/><Relationship Id="rId56" Type="http://schemas.openxmlformats.org/officeDocument/2006/relationships/hyperlink" Target="https://www.businessinsider.com/coronavirus-pandemic-timeline-history-major-events-2020-3" TargetMode="External"/><Relationship Id="rId59" Type="http://schemas.openxmlformats.org/officeDocument/2006/relationships/hyperlink" Target="https://www.businessinsider.com/coronavirus-pandemic-timeline-history-major-events-2020-3" TargetMode="External"/><Relationship Id="rId58" Type="http://schemas.openxmlformats.org/officeDocument/2006/relationships/hyperlink" Target="https://www.businessinsider.com/coronavirus-pandemic-timeline-history-major-events-2020-3" TargetMode="External"/><Relationship Id="rId590" Type="http://schemas.openxmlformats.org/officeDocument/2006/relationships/hyperlink" Target="https://storymaps.arcgis.com/stories/463f2d26aca94edda07753fe31f61f11" TargetMode="External"/><Relationship Id="rId107" Type="http://schemas.openxmlformats.org/officeDocument/2006/relationships/hyperlink" Target="https://www.nbcnews.com/health/health-news/coronavirus-timeline-tracking-critical-moments-covid-19-n1154341" TargetMode="External"/><Relationship Id="rId228" Type="http://schemas.openxmlformats.org/officeDocument/2006/relationships/hyperlink" Target="https://www.nbcnews.com/health/health-news/coronavirus-timeline-tracking-critical-moments-covid-19-n1154341" TargetMode="External"/><Relationship Id="rId349" Type="http://schemas.openxmlformats.org/officeDocument/2006/relationships/hyperlink" Target="https://www.nbcnews.com/health/health-news/coronavirus-timeline-tracking-critical-moments-covid-19-n1154364" TargetMode="External"/><Relationship Id="rId106" Type="http://schemas.openxmlformats.org/officeDocument/2006/relationships/hyperlink" Target="https://www.nbcnews.com/health/health-news/coronavirus-timeline-tracking-critical-moments-covid-19-n1154341" TargetMode="External"/><Relationship Id="rId227" Type="http://schemas.openxmlformats.org/officeDocument/2006/relationships/hyperlink" Target="https://www.nbcnews.com/health/health-news/coronavirus-timeline-tracking-critical-moments-covid-19-n1154341" TargetMode="External"/><Relationship Id="rId348" Type="http://schemas.openxmlformats.org/officeDocument/2006/relationships/hyperlink" Target="https://www.nbcnews.com/health/health-news/coronavirus-timeline-tracking-critical-moments-covid-19-n1154363" TargetMode="External"/><Relationship Id="rId469" Type="http://schemas.openxmlformats.org/officeDocument/2006/relationships/hyperlink" Target="https://storymaps.arcgis.com/stories/463f2d26aca94edda07753fe31f61f11" TargetMode="External"/><Relationship Id="rId105" Type="http://schemas.openxmlformats.org/officeDocument/2006/relationships/hyperlink" Target="https://www.nbcnews.com/health/health-news/coronavirus-timeline-tracking-critical-moments-covid-19-n1154341" TargetMode="External"/><Relationship Id="rId226" Type="http://schemas.openxmlformats.org/officeDocument/2006/relationships/hyperlink" Target="https://www.nbcnews.com/health/health-news/coronavirus-timeline-tracking-critical-moments-covid-19-n1154341" TargetMode="External"/><Relationship Id="rId347" Type="http://schemas.openxmlformats.org/officeDocument/2006/relationships/hyperlink" Target="https://www.nbcnews.com/health/health-news/coronavirus-timeline-tracking-critical-moments-covid-19-n1154362" TargetMode="External"/><Relationship Id="rId468" Type="http://schemas.openxmlformats.org/officeDocument/2006/relationships/hyperlink" Target="https://storymaps.arcgis.com/stories/463f2d26aca94edda07753fe31f61f11" TargetMode="External"/><Relationship Id="rId589" Type="http://schemas.openxmlformats.org/officeDocument/2006/relationships/hyperlink" Target="https://www.defense.gov/Spotlights/Coronavirus-DOD-Response/Timeline/" TargetMode="External"/><Relationship Id="rId104" Type="http://schemas.openxmlformats.org/officeDocument/2006/relationships/hyperlink" Target="https://www.nbcnews.com/health/health-news/coronavirus-timeline-tracking-critical-moments-covid-19-n1154341" TargetMode="External"/><Relationship Id="rId225" Type="http://schemas.openxmlformats.org/officeDocument/2006/relationships/hyperlink" Target="https://www.nbcnews.com/health/health-news/coronavirus-timeline-tracking-critical-moments-covid-19-n1154341" TargetMode="External"/><Relationship Id="rId346" Type="http://schemas.openxmlformats.org/officeDocument/2006/relationships/hyperlink" Target="https://www.nbcnews.com/health/health-news/coronavirus-timeline-tracking-critical-moments-covid-19-n1154361" TargetMode="External"/><Relationship Id="rId467" Type="http://schemas.openxmlformats.org/officeDocument/2006/relationships/hyperlink" Target="https://storymaps.arcgis.com/stories/463f2d26aca94edda07753fe31f61f11" TargetMode="External"/><Relationship Id="rId588" Type="http://schemas.openxmlformats.org/officeDocument/2006/relationships/hyperlink" Target="https://storymaps.arcgis.com/stories/463f2d26aca94edda07753fe31f61f11" TargetMode="External"/><Relationship Id="rId109" Type="http://schemas.openxmlformats.org/officeDocument/2006/relationships/hyperlink" Target="https://www.nbcnews.com/health/health-news/coronavirus-timeline-tracking-critical-moments-covid-19-n1154341" TargetMode="External"/><Relationship Id="rId108" Type="http://schemas.openxmlformats.org/officeDocument/2006/relationships/hyperlink" Target="https://www.nbcnews.com/health/health-news/coronavirus-timeline-tracking-critical-moments-covid-19-n1154341" TargetMode="External"/><Relationship Id="rId229" Type="http://schemas.openxmlformats.org/officeDocument/2006/relationships/hyperlink" Target="https://www.nbcnews.com/health/health-news/coronavirus-timeline-tracking-critical-moments-covid-19-n1154341" TargetMode="External"/><Relationship Id="rId220" Type="http://schemas.openxmlformats.org/officeDocument/2006/relationships/hyperlink" Target="https://www.nbcnews.com/health/health-news/coronavirus-timeline-tracking-critical-moments-covid-19-n1154341" TargetMode="External"/><Relationship Id="rId341" Type="http://schemas.openxmlformats.org/officeDocument/2006/relationships/hyperlink" Target="https://www.nbcnews.com/health/health-news/coronavirus-timeline-tracking-critical-moments-covid-19-n1154356" TargetMode="External"/><Relationship Id="rId462" Type="http://schemas.openxmlformats.org/officeDocument/2006/relationships/hyperlink" Target="https://storymaps.arcgis.com/stories/463f2d26aca94edda07753fe31f61f11" TargetMode="External"/><Relationship Id="rId583" Type="http://schemas.openxmlformats.org/officeDocument/2006/relationships/hyperlink" Target="https://www.defense.gov/Spotlights/Coronavirus-DOD-Response/Timeline/" TargetMode="External"/><Relationship Id="rId340" Type="http://schemas.openxmlformats.org/officeDocument/2006/relationships/hyperlink" Target="https://www.nbcnews.com/health/health-news/coronavirus-timeline-tracking-critical-moments-covid-19-n1154355" TargetMode="External"/><Relationship Id="rId461" Type="http://schemas.openxmlformats.org/officeDocument/2006/relationships/hyperlink" Target="https://storymaps.arcgis.com/stories/463f2d26aca94edda07753fe31f61f11" TargetMode="External"/><Relationship Id="rId582" Type="http://schemas.openxmlformats.org/officeDocument/2006/relationships/hyperlink" Target="https://storymaps.arcgis.com/stories/463f2d26aca94edda07753fe31f61f11" TargetMode="External"/><Relationship Id="rId460" Type="http://schemas.openxmlformats.org/officeDocument/2006/relationships/hyperlink" Target="https://storymaps.arcgis.com/stories/463f2d26aca94edda07753fe31f61f11" TargetMode="External"/><Relationship Id="rId581" Type="http://schemas.openxmlformats.org/officeDocument/2006/relationships/hyperlink" Target="https://storymaps.arcgis.com/stories/463f2d26aca94edda07753fe31f61f11" TargetMode="External"/><Relationship Id="rId580" Type="http://schemas.openxmlformats.org/officeDocument/2006/relationships/hyperlink" Target="https://storymaps.arcgis.com/stories/463f2d26aca94edda07753fe31f61f11" TargetMode="External"/><Relationship Id="rId103" Type="http://schemas.openxmlformats.org/officeDocument/2006/relationships/hyperlink" Target="https://www.nbcnews.com/health/health-news/coronavirus-timeline-tracking-critical-moments-covid-19-n1154341" TargetMode="External"/><Relationship Id="rId224" Type="http://schemas.openxmlformats.org/officeDocument/2006/relationships/hyperlink" Target="https://www.nbcnews.com/health/health-news/coronavirus-timeline-tracking-critical-moments-covid-19-n1154341" TargetMode="External"/><Relationship Id="rId345" Type="http://schemas.openxmlformats.org/officeDocument/2006/relationships/hyperlink" Target="https://www.nbcnews.com/health/health-news/coronavirus-timeline-tracking-critical-moments-covid-19-n1154360" TargetMode="External"/><Relationship Id="rId466" Type="http://schemas.openxmlformats.org/officeDocument/2006/relationships/hyperlink" Target="https://www.defense.gov/Explore/Spotlight/Coronavirus-DOD-Response/Timeline/" TargetMode="External"/><Relationship Id="rId587" Type="http://schemas.openxmlformats.org/officeDocument/2006/relationships/hyperlink" Target="https://storymaps.arcgis.com/stories/463f2d26aca94edda07753fe31f61f11" TargetMode="External"/><Relationship Id="rId102" Type="http://schemas.openxmlformats.org/officeDocument/2006/relationships/hyperlink" Target="https://www.nbcnews.com/health/health-news/coronavirus-timeline-tracking-critical-moments-covid-19-n1154341" TargetMode="External"/><Relationship Id="rId223" Type="http://schemas.openxmlformats.org/officeDocument/2006/relationships/hyperlink" Target="https://www.nbcnews.com/health/health-news/coronavirus-timeline-tracking-critical-moments-covid-19-n1154341" TargetMode="External"/><Relationship Id="rId344" Type="http://schemas.openxmlformats.org/officeDocument/2006/relationships/hyperlink" Target="https://www.nbcnews.com/health/health-news/coronavirus-timeline-tracking-critical-moments-covid-19-n1154359" TargetMode="External"/><Relationship Id="rId465" Type="http://schemas.openxmlformats.org/officeDocument/2006/relationships/hyperlink" Target="https://www.defense.gov/Explore/Spotlight/Coronavirus-DOD-Response/Timeline/" TargetMode="External"/><Relationship Id="rId586" Type="http://schemas.openxmlformats.org/officeDocument/2006/relationships/hyperlink" Target="https://storymaps.arcgis.com/stories/463f2d26aca94edda07753fe31f61f11" TargetMode="External"/><Relationship Id="rId101" Type="http://schemas.openxmlformats.org/officeDocument/2006/relationships/hyperlink" Target="https://www.nbcnews.com/health/health-news/coronavirus-timeline-tracking-critical-moments-covid-19-n1154341" TargetMode="External"/><Relationship Id="rId222" Type="http://schemas.openxmlformats.org/officeDocument/2006/relationships/hyperlink" Target="https://www.nbcnews.com/health/health-news/coronavirus-timeline-tracking-critical-moments-covid-19-n1154341" TargetMode="External"/><Relationship Id="rId343" Type="http://schemas.openxmlformats.org/officeDocument/2006/relationships/hyperlink" Target="https://www.businessinsider.com/coronavirus-pandemic-timeline-history-major-events-2020-3" TargetMode="External"/><Relationship Id="rId464" Type="http://schemas.openxmlformats.org/officeDocument/2006/relationships/hyperlink" Target="https://www.defense.gov/Explore/Spotlight/Coronavirus-DOD-Response/Timeline/" TargetMode="External"/><Relationship Id="rId585" Type="http://schemas.openxmlformats.org/officeDocument/2006/relationships/hyperlink" Target="https://storymaps.arcgis.com/stories/463f2d26aca94edda07753fe31f61f11" TargetMode="External"/><Relationship Id="rId100" Type="http://schemas.openxmlformats.org/officeDocument/2006/relationships/hyperlink" Target="https://www.nbcnews.com/health/health-news/coronavirus-timeline-tracking-critical-moments-covid-19-n1154341" TargetMode="External"/><Relationship Id="rId221" Type="http://schemas.openxmlformats.org/officeDocument/2006/relationships/hyperlink" Target="https://www.nbcnews.com/health/health-news/coronavirus-timeline-tracking-critical-moments-covid-19-n1154341" TargetMode="External"/><Relationship Id="rId342" Type="http://schemas.openxmlformats.org/officeDocument/2006/relationships/hyperlink" Target="https://www.nbcnews.com/health/health-news/coronavirus-timeline-tracking-critical-moments-covid-19-n1154357" TargetMode="External"/><Relationship Id="rId463" Type="http://schemas.openxmlformats.org/officeDocument/2006/relationships/hyperlink" Target="https://storymaps.arcgis.com/stories/463f2d26aca94edda07753fe31f61f11" TargetMode="External"/><Relationship Id="rId584" Type="http://schemas.openxmlformats.org/officeDocument/2006/relationships/hyperlink" Target="https://storymaps.arcgis.com/stories/463f2d26aca94edda07753fe31f61f11" TargetMode="External"/><Relationship Id="rId217" Type="http://schemas.openxmlformats.org/officeDocument/2006/relationships/hyperlink" Target="https://www.nbcnews.com/health/health-news/coronavirus-timeline-tracking-critical-moments-covid-19-n1154341" TargetMode="External"/><Relationship Id="rId338" Type="http://schemas.openxmlformats.org/officeDocument/2006/relationships/hyperlink" Target="https://www.nbcnews.com/health/health-news/coronavirus-timeline-tracking-critical-moments-covid-19-n1154353" TargetMode="External"/><Relationship Id="rId459" Type="http://schemas.openxmlformats.org/officeDocument/2006/relationships/hyperlink" Target="https://storymaps.arcgis.com/stories/463f2d26aca94edda07753fe31f61f11" TargetMode="External"/><Relationship Id="rId216" Type="http://schemas.openxmlformats.org/officeDocument/2006/relationships/hyperlink" Target="https://www.nbcnews.com/health/health-news/coronavirus-timeline-tracking-critical-moments-covid-19-n1154341" TargetMode="External"/><Relationship Id="rId337" Type="http://schemas.openxmlformats.org/officeDocument/2006/relationships/hyperlink" Target="https://www.nbcnews.com/health/health-news/coronavirus-timeline-tracking-critical-moments-covid-19-n1154352" TargetMode="External"/><Relationship Id="rId458" Type="http://schemas.openxmlformats.org/officeDocument/2006/relationships/hyperlink" Target="https://storymaps.arcgis.com/stories/463f2d26aca94edda07753fe31f61f11" TargetMode="External"/><Relationship Id="rId579" Type="http://schemas.openxmlformats.org/officeDocument/2006/relationships/hyperlink" Target="https://storymaps.arcgis.com/stories/463f2d26aca94edda07753fe31f61f11" TargetMode="External"/><Relationship Id="rId215" Type="http://schemas.openxmlformats.org/officeDocument/2006/relationships/hyperlink" Target="https://www.nbcnews.com/health/health-news/coronavirus-timeline-tracking-critical-moments-covid-19-n1154341" TargetMode="External"/><Relationship Id="rId336" Type="http://schemas.openxmlformats.org/officeDocument/2006/relationships/hyperlink" Target="https://www.nbcnews.com/health/health-news/coronavirus-timeline-tracking-critical-moments-covid-19-n1154351" TargetMode="External"/><Relationship Id="rId457" Type="http://schemas.openxmlformats.org/officeDocument/2006/relationships/hyperlink" Target="https://storymaps.arcgis.com/stories/463f2d26aca94edda07753fe31f61f11" TargetMode="External"/><Relationship Id="rId578" Type="http://schemas.openxmlformats.org/officeDocument/2006/relationships/hyperlink" Target="https://storymaps.arcgis.com/stories/463f2d26aca94edda07753fe31f61f11" TargetMode="External"/><Relationship Id="rId214" Type="http://schemas.openxmlformats.org/officeDocument/2006/relationships/hyperlink" Target="https://www.nbcnews.com/health/health-news/coronavirus-timeline-tracking-critical-moments-covid-19-n1154341" TargetMode="External"/><Relationship Id="rId335" Type="http://schemas.openxmlformats.org/officeDocument/2006/relationships/hyperlink" Target="https://www.nbcnews.com/health/health-news/coronavirus-timeline-tracking-critical-moments-covid-19-n1154350" TargetMode="External"/><Relationship Id="rId456" Type="http://schemas.openxmlformats.org/officeDocument/2006/relationships/hyperlink" Target="https://storymaps.arcgis.com/stories/463f2d26aca94edda07753fe31f61f11" TargetMode="External"/><Relationship Id="rId577" Type="http://schemas.openxmlformats.org/officeDocument/2006/relationships/hyperlink" Target="https://storymaps.arcgis.com/stories/463f2d26aca94edda07753fe31f61f11" TargetMode="External"/><Relationship Id="rId219" Type="http://schemas.openxmlformats.org/officeDocument/2006/relationships/hyperlink" Target="https://www.nbcnews.com/health/health-news/coronavirus-timeline-tracking-critical-moments-covid-19-n1154341" TargetMode="External"/><Relationship Id="rId218" Type="http://schemas.openxmlformats.org/officeDocument/2006/relationships/hyperlink" Target="https://www.nbcnews.com/health/health-news/coronavirus-timeline-tracking-critical-moments-covid-19-n1154341" TargetMode="External"/><Relationship Id="rId339" Type="http://schemas.openxmlformats.org/officeDocument/2006/relationships/hyperlink" Target="https://www.nbcnews.com/health/health-news/coronavirus-timeline-tracking-critical-moments-covid-19-n1154354" TargetMode="External"/><Relationship Id="rId330" Type="http://schemas.openxmlformats.org/officeDocument/2006/relationships/hyperlink" Target="https://www.nbcnews.com/health/health-news/coronavirus-timeline-tracking-critical-moments-covid-19-n1154345" TargetMode="External"/><Relationship Id="rId451" Type="http://schemas.openxmlformats.org/officeDocument/2006/relationships/hyperlink" Target="https://storymaps.arcgis.com/stories/463f2d26aca94edda07753fe31f61f11" TargetMode="External"/><Relationship Id="rId572" Type="http://schemas.openxmlformats.org/officeDocument/2006/relationships/hyperlink" Target="https://www.defense.gov/Spotlights/Coronavirus-DOD-Response/Timeline/" TargetMode="External"/><Relationship Id="rId450" Type="http://schemas.openxmlformats.org/officeDocument/2006/relationships/hyperlink" Target="https://www.defense.gov/Explore/Spotlight/Coronavirus-DOD-Response/Timeline/" TargetMode="External"/><Relationship Id="rId571" Type="http://schemas.openxmlformats.org/officeDocument/2006/relationships/hyperlink" Target="https://storymaps.arcgis.com/stories/463f2d26aca94edda07753fe31f61f11" TargetMode="External"/><Relationship Id="rId570" Type="http://schemas.openxmlformats.org/officeDocument/2006/relationships/hyperlink" Target="https://storymaps.arcgis.com/stories/463f2d26aca94edda07753fe31f61f11" TargetMode="External"/><Relationship Id="rId213" Type="http://schemas.openxmlformats.org/officeDocument/2006/relationships/hyperlink" Target="https://www.nbcnews.com/health/health-news/coronavirus-timeline-tracking-critical-moments-covid-19-n1154341" TargetMode="External"/><Relationship Id="rId334" Type="http://schemas.openxmlformats.org/officeDocument/2006/relationships/hyperlink" Target="https://www.nbcnews.com/health/health-news/coronavirus-timeline-tracking-critical-moments-covid-19-n1154349" TargetMode="External"/><Relationship Id="rId455" Type="http://schemas.openxmlformats.org/officeDocument/2006/relationships/hyperlink" Target="https://storymaps.arcgis.com/stories/463f2d26aca94edda07753fe31f61f11" TargetMode="External"/><Relationship Id="rId576" Type="http://schemas.openxmlformats.org/officeDocument/2006/relationships/hyperlink" Target="https://storymaps.arcgis.com/stories/463f2d26aca94edda07753fe31f61f11" TargetMode="External"/><Relationship Id="rId212" Type="http://schemas.openxmlformats.org/officeDocument/2006/relationships/hyperlink" Target="https://www.nbcnews.com/health/health-news/coronavirus-timeline-tracking-critical-moments-covid-19-n1154341" TargetMode="External"/><Relationship Id="rId333" Type="http://schemas.openxmlformats.org/officeDocument/2006/relationships/hyperlink" Target="https://www.nbcnews.com/health/health-news/coronavirus-timeline-tracking-critical-moments-covid-19-n1154348" TargetMode="External"/><Relationship Id="rId454" Type="http://schemas.openxmlformats.org/officeDocument/2006/relationships/hyperlink" Target="https://storymaps.arcgis.com/stories/463f2d26aca94edda07753fe31f61f11" TargetMode="External"/><Relationship Id="rId575" Type="http://schemas.openxmlformats.org/officeDocument/2006/relationships/hyperlink" Target="https://storymaps.arcgis.com/stories/463f2d26aca94edda07753fe31f61f11" TargetMode="External"/><Relationship Id="rId211" Type="http://schemas.openxmlformats.org/officeDocument/2006/relationships/hyperlink" Target="https://www.nbcnews.com/health/health-news/coronavirus-timeline-tracking-critical-moments-covid-19-n1154341" TargetMode="External"/><Relationship Id="rId332" Type="http://schemas.openxmlformats.org/officeDocument/2006/relationships/hyperlink" Target="https://www.nbcnews.com/health/health-news/coronavirus-timeline-tracking-critical-moments-covid-19-n1154347" TargetMode="External"/><Relationship Id="rId453" Type="http://schemas.openxmlformats.org/officeDocument/2006/relationships/hyperlink" Target="https://storymaps.arcgis.com/stories/463f2d26aca94edda07753fe31f61f11" TargetMode="External"/><Relationship Id="rId574" Type="http://schemas.openxmlformats.org/officeDocument/2006/relationships/hyperlink" Target="https://www.defense.gov/Spotlights/Coronavirus-DOD-Response/Timeline/" TargetMode="External"/><Relationship Id="rId210" Type="http://schemas.openxmlformats.org/officeDocument/2006/relationships/hyperlink" Target="https://www.nbcnews.com/health/health-news/coronavirus-timeline-tracking-critical-moments-covid-19-n1154341" TargetMode="External"/><Relationship Id="rId331" Type="http://schemas.openxmlformats.org/officeDocument/2006/relationships/hyperlink" Target="https://www.nbcnews.com/health/health-news/coronavirus-timeline-tracking-critical-moments-covid-19-n1154346" TargetMode="External"/><Relationship Id="rId452" Type="http://schemas.openxmlformats.org/officeDocument/2006/relationships/hyperlink" Target="https://storymaps.arcgis.com/stories/463f2d26aca94edda07753fe31f61f11" TargetMode="External"/><Relationship Id="rId573" Type="http://schemas.openxmlformats.org/officeDocument/2006/relationships/hyperlink" Target="https://www.defense.gov/Spotlights/Coronavirus-DOD-Response/Timeline/" TargetMode="External"/><Relationship Id="rId370" Type="http://schemas.openxmlformats.org/officeDocument/2006/relationships/hyperlink" Target="https://www.nbcnews.com/health/health-news/coronavirus-timeline-tracking-critical-moments-covid-19-n1154385" TargetMode="External"/><Relationship Id="rId491" Type="http://schemas.openxmlformats.org/officeDocument/2006/relationships/hyperlink" Target="https://storymaps.arcgis.com/stories/463f2d26aca94edda07753fe31f61f11" TargetMode="External"/><Relationship Id="rId490" Type="http://schemas.openxmlformats.org/officeDocument/2006/relationships/hyperlink" Target="https://storymaps.arcgis.com/stories/463f2d26aca94edda07753fe31f61f11" TargetMode="External"/><Relationship Id="rId129" Type="http://schemas.openxmlformats.org/officeDocument/2006/relationships/hyperlink" Target="https://www.nbcnews.com/health/health-news/coronavirus-timeline-tracking-critical-moments-covid-19-n1154341" TargetMode="External"/><Relationship Id="rId128" Type="http://schemas.openxmlformats.org/officeDocument/2006/relationships/hyperlink" Target="https://www.nbcnews.com/health/health-news/coronavirus-timeline-tracking-critical-moments-covid-19-n1154341" TargetMode="External"/><Relationship Id="rId249" Type="http://schemas.openxmlformats.org/officeDocument/2006/relationships/hyperlink" Target="https://www.nbcnews.com/health/health-news/coronavirus-timeline-tracking-critical-moments-covid-19-n1154341" TargetMode="External"/><Relationship Id="rId127" Type="http://schemas.openxmlformats.org/officeDocument/2006/relationships/hyperlink" Target="https://www.nbcnews.com/health/health-news/coronavirus-timeline-tracking-critical-moments-covid-19-n1154341" TargetMode="External"/><Relationship Id="rId248" Type="http://schemas.openxmlformats.org/officeDocument/2006/relationships/hyperlink" Target="https://www.nbcnews.com/health/health-news/coronavirus-timeline-tracking-critical-moments-covid-19-n1154341" TargetMode="External"/><Relationship Id="rId369" Type="http://schemas.openxmlformats.org/officeDocument/2006/relationships/hyperlink" Target="https://www.nbcnews.com/health/health-news/coronavirus-timeline-tracking-critical-moments-covid-19-n1154384" TargetMode="External"/><Relationship Id="rId126" Type="http://schemas.openxmlformats.org/officeDocument/2006/relationships/hyperlink" Target="https://www.nbcnews.com/health/health-news/coronavirus-timeline-tracking-critical-moments-covid-19-n1154341" TargetMode="External"/><Relationship Id="rId247" Type="http://schemas.openxmlformats.org/officeDocument/2006/relationships/hyperlink" Target="https://www.nbcnews.com/health/health-news/coronavirus-timeline-tracking-critical-moments-covid-19-n1154341" TargetMode="External"/><Relationship Id="rId368" Type="http://schemas.openxmlformats.org/officeDocument/2006/relationships/hyperlink" Target="https://www.nbcnews.com/health/health-news/coronavirus-timeline-tracking-critical-moments-covid-19-n1154383" TargetMode="External"/><Relationship Id="rId489" Type="http://schemas.openxmlformats.org/officeDocument/2006/relationships/hyperlink" Target="https://storymaps.arcgis.com/stories/463f2d26aca94edda07753fe31f61f11" TargetMode="External"/><Relationship Id="rId121" Type="http://schemas.openxmlformats.org/officeDocument/2006/relationships/hyperlink" Target="https://www.nbcnews.com/health/health-news/coronavirus-timeline-tracking-critical-moments-covid-19-n1154341" TargetMode="External"/><Relationship Id="rId242" Type="http://schemas.openxmlformats.org/officeDocument/2006/relationships/hyperlink" Target="https://www.nbcnews.com/health/health-news/coronavirus-timeline-tracking-critical-moments-covid-19-n1154341" TargetMode="External"/><Relationship Id="rId363" Type="http://schemas.openxmlformats.org/officeDocument/2006/relationships/hyperlink" Target="https://www.nbcnews.com/health/health-news/coronavirus-timeline-tracking-critical-moments-covid-19-n1154378" TargetMode="External"/><Relationship Id="rId484" Type="http://schemas.openxmlformats.org/officeDocument/2006/relationships/hyperlink" Target="https://storymaps.arcgis.com/stories/463f2d26aca94edda07753fe31f61f11" TargetMode="External"/><Relationship Id="rId120" Type="http://schemas.openxmlformats.org/officeDocument/2006/relationships/hyperlink" Target="https://www.nbcnews.com/health/health-news/coronavirus-timeline-tracking-critical-moments-covid-19-n1154341" TargetMode="External"/><Relationship Id="rId241" Type="http://schemas.openxmlformats.org/officeDocument/2006/relationships/hyperlink" Target="https://www.nbcnews.com/health/health-news/coronavirus-timeline-tracking-critical-moments-covid-19-n1154341" TargetMode="External"/><Relationship Id="rId362" Type="http://schemas.openxmlformats.org/officeDocument/2006/relationships/hyperlink" Target="https://www.nbcnews.com/health/health-news/coronavirus-timeline-tracking-critical-moments-covid-19-n1154377" TargetMode="External"/><Relationship Id="rId483" Type="http://schemas.openxmlformats.org/officeDocument/2006/relationships/hyperlink" Target="https://storymaps.arcgis.com/stories/463f2d26aca94edda07753fe31f61f11" TargetMode="External"/><Relationship Id="rId240" Type="http://schemas.openxmlformats.org/officeDocument/2006/relationships/hyperlink" Target="https://www.nbcnews.com/health/health-news/coronavirus-timeline-tracking-critical-moments-covid-19-n1154341" TargetMode="External"/><Relationship Id="rId361" Type="http://schemas.openxmlformats.org/officeDocument/2006/relationships/hyperlink" Target="https://www.nbcnews.com/health/health-news/coronavirus-timeline-tracking-critical-moments-covid-19-n1154376" TargetMode="External"/><Relationship Id="rId482" Type="http://schemas.openxmlformats.org/officeDocument/2006/relationships/hyperlink" Target="https://www.defense.gov/Explore/Spotlight/Coronavirus-DOD-Response/Timeline/" TargetMode="External"/><Relationship Id="rId360" Type="http://schemas.openxmlformats.org/officeDocument/2006/relationships/hyperlink" Target="https://www.nbcnews.com/health/health-news/coronavirus-timeline-tracking-critical-moments-covid-19-n1154375" TargetMode="External"/><Relationship Id="rId481" Type="http://schemas.openxmlformats.org/officeDocument/2006/relationships/hyperlink" Target="https://storymaps.arcgis.com/stories/463f2d26aca94edda07753fe31f61f11" TargetMode="External"/><Relationship Id="rId125" Type="http://schemas.openxmlformats.org/officeDocument/2006/relationships/hyperlink" Target="https://www.nbcnews.com/health/health-news/coronavirus-timeline-tracking-critical-moments-covid-19-n1154341" TargetMode="External"/><Relationship Id="rId246" Type="http://schemas.openxmlformats.org/officeDocument/2006/relationships/hyperlink" Target="https://www.nbcnews.com/health/health-news/coronavirus-timeline-tracking-critical-moments-covid-19-n1154341" TargetMode="External"/><Relationship Id="rId367" Type="http://schemas.openxmlformats.org/officeDocument/2006/relationships/hyperlink" Target="https://www.nbcnews.com/health/health-news/coronavirus-timeline-tracking-critical-moments-covid-19-n1154382" TargetMode="External"/><Relationship Id="rId488" Type="http://schemas.openxmlformats.org/officeDocument/2006/relationships/hyperlink" Target="https://www.defense.gov/Explore/Spotlight/Coronavirus-DOD-Response/Timeline/" TargetMode="External"/><Relationship Id="rId124" Type="http://schemas.openxmlformats.org/officeDocument/2006/relationships/hyperlink" Target="https://www.nbcnews.com/health/health-news/coronavirus-timeline-tracking-critical-moments-covid-19-n1154341" TargetMode="External"/><Relationship Id="rId245" Type="http://schemas.openxmlformats.org/officeDocument/2006/relationships/hyperlink" Target="https://www.nbcnews.com/health/health-news/coronavirus-timeline-tracking-critical-moments-covid-19-n1154341" TargetMode="External"/><Relationship Id="rId366" Type="http://schemas.openxmlformats.org/officeDocument/2006/relationships/hyperlink" Target="https://www.nbcnews.com/health/health-news/coronavirus-timeline-tracking-critical-moments-covid-19-n1154381" TargetMode="External"/><Relationship Id="rId487" Type="http://schemas.openxmlformats.org/officeDocument/2006/relationships/hyperlink" Target="https://storymaps.arcgis.com/stories/463f2d26aca94edda07753fe31f61f11" TargetMode="External"/><Relationship Id="rId123" Type="http://schemas.openxmlformats.org/officeDocument/2006/relationships/hyperlink" Target="https://www.nbcnews.com/health/health-news/coronavirus-timeline-tracking-critical-moments-covid-19-n1154341" TargetMode="External"/><Relationship Id="rId244" Type="http://schemas.openxmlformats.org/officeDocument/2006/relationships/hyperlink" Target="https://www.nbcnews.com/health/health-news/coronavirus-timeline-tracking-critical-moments-covid-19-n1154341" TargetMode="External"/><Relationship Id="rId365" Type="http://schemas.openxmlformats.org/officeDocument/2006/relationships/hyperlink" Target="https://www.nbcnews.com/health/health-news/coronavirus-timeline-tracking-critical-moments-covid-19-n1154380" TargetMode="External"/><Relationship Id="rId486" Type="http://schemas.openxmlformats.org/officeDocument/2006/relationships/hyperlink" Target="https://storymaps.arcgis.com/stories/463f2d26aca94edda07753fe31f61f11" TargetMode="External"/><Relationship Id="rId122" Type="http://schemas.openxmlformats.org/officeDocument/2006/relationships/hyperlink" Target="https://www.nbcnews.com/health/health-news/coronavirus-timeline-tracking-critical-moments-covid-19-n1154341" TargetMode="External"/><Relationship Id="rId243" Type="http://schemas.openxmlformats.org/officeDocument/2006/relationships/hyperlink" Target="https://www.nbcnews.com/health/health-news/coronavirus-timeline-tracking-critical-moments-covid-19-n1154341" TargetMode="External"/><Relationship Id="rId364" Type="http://schemas.openxmlformats.org/officeDocument/2006/relationships/hyperlink" Target="https://www.nbcnews.com/health/health-news/coronavirus-timeline-tracking-critical-moments-covid-19-n1154379" TargetMode="External"/><Relationship Id="rId485" Type="http://schemas.openxmlformats.org/officeDocument/2006/relationships/hyperlink" Target="https://storymaps.arcgis.com/stories/463f2d26aca94edda07753fe31f61f11" TargetMode="External"/><Relationship Id="rId95" Type="http://schemas.openxmlformats.org/officeDocument/2006/relationships/hyperlink" Target="https://www.nbcnews.com/health/health-news/coronavirus-timeline-tracking-critical-moments-covid-19-n1154341" TargetMode="External"/><Relationship Id="rId94" Type="http://schemas.openxmlformats.org/officeDocument/2006/relationships/hyperlink" Target="https://www.nbcnews.com/health/health-news/coronavirus-timeline-tracking-critical-moments-covid-19-n1154341" TargetMode="External"/><Relationship Id="rId97" Type="http://schemas.openxmlformats.org/officeDocument/2006/relationships/hyperlink" Target="https://www.nbcnews.com/health/health-news/coronavirus-timeline-tracking-critical-moments-covid-19-n1154341" TargetMode="External"/><Relationship Id="rId96" Type="http://schemas.openxmlformats.org/officeDocument/2006/relationships/hyperlink" Target="https://www.nbcnews.com/health/health-news/coronavirus-timeline-tracking-critical-moments-covid-19-n1154341" TargetMode="External"/><Relationship Id="rId99" Type="http://schemas.openxmlformats.org/officeDocument/2006/relationships/hyperlink" Target="https://www.nbcnews.com/health/health-news/coronavirus-timeline-tracking-critical-moments-covid-19-n1154341" TargetMode="External"/><Relationship Id="rId480" Type="http://schemas.openxmlformats.org/officeDocument/2006/relationships/hyperlink" Target="https://storymaps.arcgis.com/stories/463f2d26aca94edda07753fe31f61f11" TargetMode="External"/><Relationship Id="rId98" Type="http://schemas.openxmlformats.org/officeDocument/2006/relationships/hyperlink" Target="https://www.nbcnews.com/health/health-news/coronavirus-timeline-tracking-critical-moments-covid-19-n1154341" TargetMode="External"/><Relationship Id="rId91" Type="http://schemas.openxmlformats.org/officeDocument/2006/relationships/hyperlink" Target="https://www.nbcnews.com/health/health-news/coronavirus-timeline-tracking-critical-moments-covid-19-n1154341" TargetMode="External"/><Relationship Id="rId90" Type="http://schemas.openxmlformats.org/officeDocument/2006/relationships/hyperlink" Target="https://www.nbcnews.com/health/health-news/coronavirus-timeline-tracking-critical-moments-covid-19-n1154341" TargetMode="External"/><Relationship Id="rId93" Type="http://schemas.openxmlformats.org/officeDocument/2006/relationships/hyperlink" Target="https://www.nbcnews.com/health/health-news/coronavirus-timeline-tracking-critical-moments-covid-19-n1154341" TargetMode="External"/><Relationship Id="rId92" Type="http://schemas.openxmlformats.org/officeDocument/2006/relationships/hyperlink" Target="https://www.nbcnews.com/health/health-news/coronavirus-timeline-tracking-critical-moments-covid-19-n1154341" TargetMode="External"/><Relationship Id="rId118" Type="http://schemas.openxmlformats.org/officeDocument/2006/relationships/hyperlink" Target="https://www.nbcnews.com/health/health-news/coronavirus-timeline-tracking-critical-moments-covid-19-n1154341" TargetMode="External"/><Relationship Id="rId239" Type="http://schemas.openxmlformats.org/officeDocument/2006/relationships/hyperlink" Target="https://www.nbcnews.com/health/health-news/coronavirus-timeline-tracking-critical-moments-covid-19-n1154341" TargetMode="External"/><Relationship Id="rId117" Type="http://schemas.openxmlformats.org/officeDocument/2006/relationships/hyperlink" Target="https://www.nbcnews.com/health/health-news/coronavirus-timeline-tracking-critical-moments-covid-19-n1154341" TargetMode="External"/><Relationship Id="rId238" Type="http://schemas.openxmlformats.org/officeDocument/2006/relationships/hyperlink" Target="https://www.nbcnews.com/health/health-news/coronavirus-timeline-tracking-critical-moments-covid-19-n1154341" TargetMode="External"/><Relationship Id="rId359" Type="http://schemas.openxmlformats.org/officeDocument/2006/relationships/hyperlink" Target="https://www.nbcnews.com/health/health-news/coronavirus-timeline-tracking-critical-moments-covid-19-n1154374" TargetMode="External"/><Relationship Id="rId116" Type="http://schemas.openxmlformats.org/officeDocument/2006/relationships/hyperlink" Target="https://www.nbcnews.com/health/health-news/coronavirus-timeline-tracking-critical-moments-covid-19-n1154341" TargetMode="External"/><Relationship Id="rId237" Type="http://schemas.openxmlformats.org/officeDocument/2006/relationships/hyperlink" Target="https://www.nbcnews.com/health/health-news/coronavirus-timeline-tracking-critical-moments-covid-19-n1154341" TargetMode="External"/><Relationship Id="rId358" Type="http://schemas.openxmlformats.org/officeDocument/2006/relationships/hyperlink" Target="https://www.nbcnews.com/health/health-news/coronavirus-timeline-tracking-critical-moments-covid-19-n1154373" TargetMode="External"/><Relationship Id="rId479" Type="http://schemas.openxmlformats.org/officeDocument/2006/relationships/hyperlink" Target="https://storymaps.arcgis.com/stories/463f2d26aca94edda07753fe31f61f11" TargetMode="External"/><Relationship Id="rId115" Type="http://schemas.openxmlformats.org/officeDocument/2006/relationships/hyperlink" Target="https://www.nbcnews.com/health/health-news/coronavirus-timeline-tracking-critical-moments-covid-19-n1154341" TargetMode="External"/><Relationship Id="rId236" Type="http://schemas.openxmlformats.org/officeDocument/2006/relationships/hyperlink" Target="https://www.nbcnews.com/health/health-news/coronavirus-timeline-tracking-critical-moments-covid-19-n1154341" TargetMode="External"/><Relationship Id="rId357" Type="http://schemas.openxmlformats.org/officeDocument/2006/relationships/hyperlink" Target="https://www.nbcnews.com/health/health-news/coronavirus-timeline-tracking-critical-moments-covid-19-n1154372" TargetMode="External"/><Relationship Id="rId478" Type="http://schemas.openxmlformats.org/officeDocument/2006/relationships/hyperlink" Target="https://storymaps.arcgis.com/stories/463f2d26aca94edda07753fe31f61f11" TargetMode="External"/><Relationship Id="rId599" Type="http://schemas.openxmlformats.org/officeDocument/2006/relationships/hyperlink" Target="https://storymaps.arcgis.com/stories/463f2d26aca94edda07753fe31f61f11" TargetMode="External"/><Relationship Id="rId119" Type="http://schemas.openxmlformats.org/officeDocument/2006/relationships/hyperlink" Target="https://www.nbcnews.com/health/health-news/coronavirus-timeline-tracking-critical-moments-covid-19-n1154341" TargetMode="External"/><Relationship Id="rId110" Type="http://schemas.openxmlformats.org/officeDocument/2006/relationships/hyperlink" Target="https://www.nbcnews.com/health/health-news/coronavirus-timeline-tracking-critical-moments-covid-19-n1154341" TargetMode="External"/><Relationship Id="rId231" Type="http://schemas.openxmlformats.org/officeDocument/2006/relationships/hyperlink" Target="https://www.nbcnews.com/health/health-news/coronavirus-timeline-tracking-critical-moments-covid-19-n1154341" TargetMode="External"/><Relationship Id="rId352" Type="http://schemas.openxmlformats.org/officeDocument/2006/relationships/hyperlink" Target="https://www.nbcnews.com/health/health-news/coronavirus-timeline-tracking-critical-moments-covid-19-n1154367" TargetMode="External"/><Relationship Id="rId473" Type="http://schemas.openxmlformats.org/officeDocument/2006/relationships/hyperlink" Target="https://storymaps.arcgis.com/stories/463f2d26aca94edda07753fe31f61f11" TargetMode="External"/><Relationship Id="rId594" Type="http://schemas.openxmlformats.org/officeDocument/2006/relationships/hyperlink" Target="https://storymaps.arcgis.com/stories/463f2d26aca94edda07753fe31f61f11" TargetMode="External"/><Relationship Id="rId230" Type="http://schemas.openxmlformats.org/officeDocument/2006/relationships/hyperlink" Target="https://www.nbcnews.com/health/health-news/coronavirus-timeline-tracking-critical-moments-covid-19-n1154341" TargetMode="External"/><Relationship Id="rId351" Type="http://schemas.openxmlformats.org/officeDocument/2006/relationships/hyperlink" Target="https://www.nbcnews.com/health/health-news/coronavirus-timeline-tracking-critical-moments-covid-19-n1154366" TargetMode="External"/><Relationship Id="rId472" Type="http://schemas.openxmlformats.org/officeDocument/2006/relationships/hyperlink" Target="https://storymaps.arcgis.com/stories/463f2d26aca94edda07753fe31f61f11" TargetMode="External"/><Relationship Id="rId593" Type="http://schemas.openxmlformats.org/officeDocument/2006/relationships/hyperlink" Target="https://storymaps.arcgis.com/stories/463f2d26aca94edda07753fe31f61f11" TargetMode="External"/><Relationship Id="rId350" Type="http://schemas.openxmlformats.org/officeDocument/2006/relationships/hyperlink" Target="https://www.nbcnews.com/health/health-news/coronavirus-timeline-tracking-critical-moments-covid-19-n1154365" TargetMode="External"/><Relationship Id="rId471" Type="http://schemas.openxmlformats.org/officeDocument/2006/relationships/hyperlink" Target="https://storymaps.arcgis.com/stories/463f2d26aca94edda07753fe31f61f11" TargetMode="External"/><Relationship Id="rId592" Type="http://schemas.openxmlformats.org/officeDocument/2006/relationships/hyperlink" Target="https://storymaps.arcgis.com/stories/463f2d26aca94edda07753fe31f61f11" TargetMode="External"/><Relationship Id="rId470" Type="http://schemas.openxmlformats.org/officeDocument/2006/relationships/hyperlink" Target="https://storymaps.arcgis.com/stories/463f2d26aca94edda07753fe31f61f11" TargetMode="External"/><Relationship Id="rId591" Type="http://schemas.openxmlformats.org/officeDocument/2006/relationships/hyperlink" Target="https://storymaps.arcgis.com/stories/463f2d26aca94edda07753fe31f61f11" TargetMode="External"/><Relationship Id="rId114" Type="http://schemas.openxmlformats.org/officeDocument/2006/relationships/hyperlink" Target="https://www.nbcnews.com/health/health-news/coronavirus-timeline-tracking-critical-moments-covid-19-n1154341" TargetMode="External"/><Relationship Id="rId235" Type="http://schemas.openxmlformats.org/officeDocument/2006/relationships/hyperlink" Target="https://www.nbcnews.com/health/health-news/coronavirus-timeline-tracking-critical-moments-covid-19-n1154341" TargetMode="External"/><Relationship Id="rId356" Type="http://schemas.openxmlformats.org/officeDocument/2006/relationships/hyperlink" Target="https://www.nbcnews.com/health/health-news/coronavirus-timeline-tracking-critical-moments-covid-19-n1154371" TargetMode="External"/><Relationship Id="rId477" Type="http://schemas.openxmlformats.org/officeDocument/2006/relationships/hyperlink" Target="https://www.defense.gov/Explore/Spotlight/Coronavirus-DOD-Response/Timeline/" TargetMode="External"/><Relationship Id="rId598" Type="http://schemas.openxmlformats.org/officeDocument/2006/relationships/hyperlink" Target="https://www.defense.gov/Spotlights/Coronavirus-DOD-Response/Timeline/" TargetMode="External"/><Relationship Id="rId113" Type="http://schemas.openxmlformats.org/officeDocument/2006/relationships/hyperlink" Target="https://www.nbcnews.com/health/health-news/coronavirus-timeline-tracking-critical-moments-covid-19-n1154341" TargetMode="External"/><Relationship Id="rId234" Type="http://schemas.openxmlformats.org/officeDocument/2006/relationships/hyperlink" Target="https://www.nbcnews.com/health/health-news/coronavirus-timeline-tracking-critical-moments-covid-19-n1154341" TargetMode="External"/><Relationship Id="rId355" Type="http://schemas.openxmlformats.org/officeDocument/2006/relationships/hyperlink" Target="https://www.nbcnews.com/health/health-news/coronavirus-timeline-tracking-critical-moments-covid-19-n1154370" TargetMode="External"/><Relationship Id="rId476" Type="http://schemas.openxmlformats.org/officeDocument/2006/relationships/hyperlink" Target="https://storymaps.arcgis.com/stories/463f2d26aca94edda07753fe31f61f11" TargetMode="External"/><Relationship Id="rId597" Type="http://schemas.openxmlformats.org/officeDocument/2006/relationships/hyperlink" Target="https://storymaps.arcgis.com/stories/463f2d26aca94edda07753fe31f61f11" TargetMode="External"/><Relationship Id="rId112" Type="http://schemas.openxmlformats.org/officeDocument/2006/relationships/hyperlink" Target="https://www.nbcnews.com/health/health-news/coronavirus-timeline-tracking-critical-moments-covid-19-n1154341" TargetMode="External"/><Relationship Id="rId233" Type="http://schemas.openxmlformats.org/officeDocument/2006/relationships/hyperlink" Target="https://www.nbcnews.com/health/health-news/coronavirus-timeline-tracking-critical-moments-covid-19-n1154341" TargetMode="External"/><Relationship Id="rId354" Type="http://schemas.openxmlformats.org/officeDocument/2006/relationships/hyperlink" Target="https://www.nbcnews.com/health/health-news/coronavirus-timeline-tracking-critical-moments-covid-19-n1154369" TargetMode="External"/><Relationship Id="rId475" Type="http://schemas.openxmlformats.org/officeDocument/2006/relationships/hyperlink" Target="https://storymaps.arcgis.com/stories/463f2d26aca94edda07753fe31f61f11" TargetMode="External"/><Relationship Id="rId596" Type="http://schemas.openxmlformats.org/officeDocument/2006/relationships/hyperlink" Target="https://storymaps.arcgis.com/stories/463f2d26aca94edda07753fe31f61f11" TargetMode="External"/><Relationship Id="rId111" Type="http://schemas.openxmlformats.org/officeDocument/2006/relationships/hyperlink" Target="https://www.nbcnews.com/health/health-news/coronavirus-timeline-tracking-critical-moments-covid-19-n1154341" TargetMode="External"/><Relationship Id="rId232" Type="http://schemas.openxmlformats.org/officeDocument/2006/relationships/hyperlink" Target="https://www.nbcnews.com/health/health-news/coronavirus-timeline-tracking-critical-moments-covid-19-n1154341" TargetMode="External"/><Relationship Id="rId353" Type="http://schemas.openxmlformats.org/officeDocument/2006/relationships/hyperlink" Target="https://www.nbcnews.com/health/health-news/coronavirus-timeline-tracking-critical-moments-covid-19-n1154368" TargetMode="External"/><Relationship Id="rId474" Type="http://schemas.openxmlformats.org/officeDocument/2006/relationships/hyperlink" Target="https://storymaps.arcgis.com/stories/463f2d26aca94edda07753fe31f61f11" TargetMode="External"/><Relationship Id="rId595" Type="http://schemas.openxmlformats.org/officeDocument/2006/relationships/hyperlink" Target="https://www.defense.gov/Spotlights/Coronavirus-DOD-Response/Timeline/" TargetMode="External"/><Relationship Id="rId305" Type="http://schemas.openxmlformats.org/officeDocument/2006/relationships/hyperlink" Target="https://www.nbcnews.com/health/health-news/coronavirus-timeline-tracking-critical-moments-covid-19-n1154341" TargetMode="External"/><Relationship Id="rId426" Type="http://schemas.openxmlformats.org/officeDocument/2006/relationships/hyperlink" Target="https://storymaps.arcgis.com/stories/463f2d26aca94edda07753fe31f61f11" TargetMode="External"/><Relationship Id="rId547" Type="http://schemas.openxmlformats.org/officeDocument/2006/relationships/hyperlink" Target="https://www.defense.gov/Explore/Spotlight/Coronavirus-DOD-Response/Timeline/" TargetMode="External"/><Relationship Id="rId304" Type="http://schemas.openxmlformats.org/officeDocument/2006/relationships/hyperlink" Target="https://www.nbcnews.com/health/health-news/coronavirus-timeline-tracking-critical-moments-covid-19-n1154341" TargetMode="External"/><Relationship Id="rId425" Type="http://schemas.openxmlformats.org/officeDocument/2006/relationships/hyperlink" Target="https://storymaps.arcgis.com/stories/463f2d26aca94edda07753fe31f61f11" TargetMode="External"/><Relationship Id="rId546" Type="http://schemas.openxmlformats.org/officeDocument/2006/relationships/hyperlink" Target="https://storymaps.arcgis.com/stories/463f2d26aca94edda07753fe31f61f11" TargetMode="External"/><Relationship Id="rId303" Type="http://schemas.openxmlformats.org/officeDocument/2006/relationships/hyperlink" Target="https://www.nbcnews.com/health/health-news/coronavirus-timeline-tracking-critical-moments-covid-19-n1154341" TargetMode="External"/><Relationship Id="rId424" Type="http://schemas.openxmlformats.org/officeDocument/2006/relationships/hyperlink" Target="https://storymaps.arcgis.com/stories/463f2d26aca94edda07753fe31f61f11" TargetMode="External"/><Relationship Id="rId545" Type="http://schemas.openxmlformats.org/officeDocument/2006/relationships/hyperlink" Target="https://storymaps.arcgis.com/stories/463f2d26aca94edda07753fe31f61f11" TargetMode="External"/><Relationship Id="rId302" Type="http://schemas.openxmlformats.org/officeDocument/2006/relationships/hyperlink" Target="https://www.nbcnews.com/health/health-news/coronavirus-timeline-tracking-critical-moments-covid-19-n1154341" TargetMode="External"/><Relationship Id="rId423" Type="http://schemas.openxmlformats.org/officeDocument/2006/relationships/hyperlink" Target="https://storymaps.arcgis.com/stories/463f2d26aca94edda07753fe31f61f11" TargetMode="External"/><Relationship Id="rId544" Type="http://schemas.openxmlformats.org/officeDocument/2006/relationships/hyperlink" Target="https://www.defense.gov/Explore/Spotlight/Coronavirus-DOD-Response/Timeline/" TargetMode="External"/><Relationship Id="rId309" Type="http://schemas.openxmlformats.org/officeDocument/2006/relationships/hyperlink" Target="https://www.nbcnews.com/health/health-news/coronavirus-timeline-tracking-critical-moments-covid-19-n1154341" TargetMode="External"/><Relationship Id="rId308" Type="http://schemas.openxmlformats.org/officeDocument/2006/relationships/hyperlink" Target="https://www.nbcnews.com/health/health-news/coronavirus-timeline-tracking-critical-moments-covid-19-n1154341" TargetMode="External"/><Relationship Id="rId429" Type="http://schemas.openxmlformats.org/officeDocument/2006/relationships/hyperlink" Target="https://www.defense.gov/Explore/Spotlight/Coronavirus-DOD-Response/Timeline/" TargetMode="External"/><Relationship Id="rId307" Type="http://schemas.openxmlformats.org/officeDocument/2006/relationships/hyperlink" Target="https://www.nbcnews.com/health/health-news/coronavirus-timeline-tracking-critical-moments-covid-19-n1154341" TargetMode="External"/><Relationship Id="rId428" Type="http://schemas.openxmlformats.org/officeDocument/2006/relationships/hyperlink" Target="https://storymaps.arcgis.com/stories/463f2d26aca94edda07753fe31f61f11" TargetMode="External"/><Relationship Id="rId549" Type="http://schemas.openxmlformats.org/officeDocument/2006/relationships/hyperlink" Target="https://www.defense.gov/Explore/Spotlight/Coronavirus-DOD-Response/Timeline/" TargetMode="External"/><Relationship Id="rId306" Type="http://schemas.openxmlformats.org/officeDocument/2006/relationships/hyperlink" Target="https://www.nbcnews.com/health/health-news/coronavirus-timeline-tracking-critical-moments-covid-19-n1154341" TargetMode="External"/><Relationship Id="rId427" Type="http://schemas.openxmlformats.org/officeDocument/2006/relationships/hyperlink" Target="https://storymaps.arcgis.com/stories/463f2d26aca94edda07753fe31f61f11" TargetMode="External"/><Relationship Id="rId548" Type="http://schemas.openxmlformats.org/officeDocument/2006/relationships/hyperlink" Target="https://storymaps.arcgis.com/stories/463f2d26aca94edda07753fe31f61f11" TargetMode="External"/><Relationship Id="rId301" Type="http://schemas.openxmlformats.org/officeDocument/2006/relationships/hyperlink" Target="https://www.nbcnews.com/health/health-news/coronavirus-timeline-tracking-critical-moments-covid-19-n1154341" TargetMode="External"/><Relationship Id="rId422" Type="http://schemas.openxmlformats.org/officeDocument/2006/relationships/hyperlink" Target="https://storymaps.arcgis.com/stories/463f2d26aca94edda07753fe31f61f11" TargetMode="External"/><Relationship Id="rId543" Type="http://schemas.openxmlformats.org/officeDocument/2006/relationships/hyperlink" Target="https://www.defense.gov/Explore/Spotlight/Coronavirus-DOD-Response/Timeline/" TargetMode="External"/><Relationship Id="rId300" Type="http://schemas.openxmlformats.org/officeDocument/2006/relationships/hyperlink" Target="https://www.businessinsider.com/coronavirus-pandemic-timeline-history-major-events-2020-3" TargetMode="External"/><Relationship Id="rId421" Type="http://schemas.openxmlformats.org/officeDocument/2006/relationships/hyperlink" Target="https://storymaps.arcgis.com/stories/463f2d26aca94edda07753fe31f61f11" TargetMode="External"/><Relationship Id="rId542" Type="http://schemas.openxmlformats.org/officeDocument/2006/relationships/hyperlink" Target="https://www.defense.gov/Explore/Spotlight/Coronavirus-DOD-Response/Timeline/" TargetMode="External"/><Relationship Id="rId420" Type="http://schemas.openxmlformats.org/officeDocument/2006/relationships/hyperlink" Target="https://storymaps.arcgis.com/stories/463f2d26aca94edda07753fe31f61f11" TargetMode="External"/><Relationship Id="rId541" Type="http://schemas.openxmlformats.org/officeDocument/2006/relationships/hyperlink" Target="https://www.defense.gov/Explore/Spotlight/Coronavirus-DOD-Response/Timeline/" TargetMode="External"/><Relationship Id="rId540" Type="http://schemas.openxmlformats.org/officeDocument/2006/relationships/hyperlink" Target="https://storymaps.arcgis.com/stories/463f2d26aca94edda07753fe31f61f11" TargetMode="External"/><Relationship Id="rId415" Type="http://schemas.openxmlformats.org/officeDocument/2006/relationships/hyperlink" Target="https://storymaps.arcgis.com/stories/463f2d26aca94edda07753fe31f61f11" TargetMode="External"/><Relationship Id="rId536" Type="http://schemas.openxmlformats.org/officeDocument/2006/relationships/hyperlink" Target="https://storymaps.arcgis.com/stories/463f2d26aca94edda07753fe31f61f11" TargetMode="External"/><Relationship Id="rId414" Type="http://schemas.openxmlformats.org/officeDocument/2006/relationships/hyperlink" Target="https://storymaps.arcgis.com/stories/463f2d26aca94edda07753fe31f61f11" TargetMode="External"/><Relationship Id="rId535" Type="http://schemas.openxmlformats.org/officeDocument/2006/relationships/hyperlink" Target="https://www.defense.gov/Explore/Spotlight/Coronavirus-DOD-Response/Timeline/" TargetMode="External"/><Relationship Id="rId413" Type="http://schemas.openxmlformats.org/officeDocument/2006/relationships/hyperlink" Target="https://storymaps.arcgis.com/stories/463f2d26aca94edda07753fe31f61f11" TargetMode="External"/><Relationship Id="rId534" Type="http://schemas.openxmlformats.org/officeDocument/2006/relationships/hyperlink" Target="https://storymaps.arcgis.com/stories/463f2d26aca94edda07753fe31f61f11" TargetMode="External"/><Relationship Id="rId412" Type="http://schemas.openxmlformats.org/officeDocument/2006/relationships/hyperlink" Target="https://storymaps.arcgis.com/stories/463f2d26aca94edda07753fe31f61f11" TargetMode="External"/><Relationship Id="rId533" Type="http://schemas.openxmlformats.org/officeDocument/2006/relationships/hyperlink" Target="https://www.defense.gov/Explore/Spotlight/Coronavirus-DOD-Response/Timeline/" TargetMode="External"/><Relationship Id="rId419" Type="http://schemas.openxmlformats.org/officeDocument/2006/relationships/hyperlink" Target="https://storymaps.arcgis.com/stories/463f2d26aca94edda07753fe31f61f11" TargetMode="External"/><Relationship Id="rId418" Type="http://schemas.openxmlformats.org/officeDocument/2006/relationships/hyperlink" Target="https://storymaps.arcgis.com/stories/463f2d26aca94edda07753fe31f61f11" TargetMode="External"/><Relationship Id="rId539" Type="http://schemas.openxmlformats.org/officeDocument/2006/relationships/hyperlink" Target="https://storymaps.arcgis.com/stories/463f2d26aca94edda07753fe31f61f11" TargetMode="External"/><Relationship Id="rId417" Type="http://schemas.openxmlformats.org/officeDocument/2006/relationships/hyperlink" Target="https://storymaps.arcgis.com/stories/463f2d26aca94edda07753fe31f61f11" TargetMode="External"/><Relationship Id="rId538" Type="http://schemas.openxmlformats.org/officeDocument/2006/relationships/hyperlink" Target="https://storymaps.arcgis.com/stories/463f2d26aca94edda07753fe31f61f11" TargetMode="External"/><Relationship Id="rId416" Type="http://schemas.openxmlformats.org/officeDocument/2006/relationships/hyperlink" Target="https://storymaps.arcgis.com/stories/463f2d26aca94edda07753fe31f61f11" TargetMode="External"/><Relationship Id="rId537" Type="http://schemas.openxmlformats.org/officeDocument/2006/relationships/hyperlink" Target="https://storymaps.arcgis.com/stories/463f2d26aca94edda07753fe31f61f11" TargetMode="External"/><Relationship Id="rId411" Type="http://schemas.openxmlformats.org/officeDocument/2006/relationships/hyperlink" Target="https://www.defense.gov/Explore/Spotlight/Coronavirus-DOD-Response/Timeline/" TargetMode="External"/><Relationship Id="rId532" Type="http://schemas.openxmlformats.org/officeDocument/2006/relationships/hyperlink" Target="https://storymaps.arcgis.com/stories/463f2d26aca94edda07753fe31f61f11" TargetMode="External"/><Relationship Id="rId410" Type="http://schemas.openxmlformats.org/officeDocument/2006/relationships/hyperlink" Target="https://storymaps.arcgis.com/stories/463f2d26aca94edda07753fe31f61f11" TargetMode="External"/><Relationship Id="rId531" Type="http://schemas.openxmlformats.org/officeDocument/2006/relationships/hyperlink" Target="https://www.defense.gov/Explore/Spotlight/Coronavirus-DOD-Response/Timeline/" TargetMode="External"/><Relationship Id="rId530" Type="http://schemas.openxmlformats.org/officeDocument/2006/relationships/hyperlink" Target="https://storymaps.arcgis.com/stories/463f2d26aca94edda07753fe31f61f11" TargetMode="External"/><Relationship Id="rId206" Type="http://schemas.openxmlformats.org/officeDocument/2006/relationships/hyperlink" Target="https://www.nbcnews.com/health/health-news/coronavirus-timeline-tracking-critical-moments-covid-19-n1154341" TargetMode="External"/><Relationship Id="rId327" Type="http://schemas.openxmlformats.org/officeDocument/2006/relationships/hyperlink" Target="https://www.nbcnews.com/health/health-news/coronavirus-timeline-tracking-critical-moments-covid-19-n1154342" TargetMode="External"/><Relationship Id="rId448" Type="http://schemas.openxmlformats.org/officeDocument/2006/relationships/hyperlink" Target="https://storymaps.arcgis.com/stories/463f2d26aca94edda07753fe31f61f11" TargetMode="External"/><Relationship Id="rId569" Type="http://schemas.openxmlformats.org/officeDocument/2006/relationships/hyperlink" Target="https://storymaps.arcgis.com/stories/463f2d26aca94edda07753fe31f61f11" TargetMode="External"/><Relationship Id="rId205" Type="http://schemas.openxmlformats.org/officeDocument/2006/relationships/hyperlink" Target="https://www.nbcnews.com/health/health-news/coronavirus-timeline-tracking-critical-moments-covid-19-n1154341" TargetMode="External"/><Relationship Id="rId326" Type="http://schemas.openxmlformats.org/officeDocument/2006/relationships/hyperlink" Target="https://www.nbcnews.com/health/health-news/coronavirus-timeline-tracking-critical-moments-covid-19-n1154341" TargetMode="External"/><Relationship Id="rId447" Type="http://schemas.openxmlformats.org/officeDocument/2006/relationships/hyperlink" Target="https://www.defense.gov/Explore/Spotlight/Coronavirus-DOD-Response/Timeline/" TargetMode="External"/><Relationship Id="rId568" Type="http://schemas.openxmlformats.org/officeDocument/2006/relationships/hyperlink" Target="https://storymaps.arcgis.com/stories/463f2d26aca94edda07753fe31f61f11" TargetMode="External"/><Relationship Id="rId204" Type="http://schemas.openxmlformats.org/officeDocument/2006/relationships/hyperlink" Target="https://www.nbcnews.com/health/health-news/coronavirus-timeline-tracking-critical-moments-covid-19-n1154341" TargetMode="External"/><Relationship Id="rId325" Type="http://schemas.openxmlformats.org/officeDocument/2006/relationships/hyperlink" Target="https://www.who.int/docs/default-source/coronaviruse/situation-reports/20200727-covid-19-sitrep-189.pdf?sfvrsn=b93a6913_2" TargetMode="External"/><Relationship Id="rId446" Type="http://schemas.openxmlformats.org/officeDocument/2006/relationships/hyperlink" Target="https://storymaps.arcgis.com/stories/463f2d26aca94edda07753fe31f61f11" TargetMode="External"/><Relationship Id="rId567" Type="http://schemas.openxmlformats.org/officeDocument/2006/relationships/hyperlink" Target="https://storymaps.arcgis.com/stories/463f2d26aca94edda07753fe31f61f11" TargetMode="External"/><Relationship Id="rId203" Type="http://schemas.openxmlformats.org/officeDocument/2006/relationships/hyperlink" Target="https://www.nbcnews.com/health/health-news/coronavirus-timeline-tracking-critical-moments-covid-19-n1154341" TargetMode="External"/><Relationship Id="rId324" Type="http://schemas.openxmlformats.org/officeDocument/2006/relationships/hyperlink" Target="https://www.nbcnews.com/health/health-news/coronavirus-timeline-tracking-critical-moments-covid-19-n1154341" TargetMode="External"/><Relationship Id="rId445" Type="http://schemas.openxmlformats.org/officeDocument/2006/relationships/hyperlink" Target="https://storymaps.arcgis.com/stories/463f2d26aca94edda07753fe31f61f11" TargetMode="External"/><Relationship Id="rId566" Type="http://schemas.openxmlformats.org/officeDocument/2006/relationships/hyperlink" Target="https://www.defense.gov/Spotlights/Coronavirus-DOD-Response/Timeline/" TargetMode="External"/><Relationship Id="rId209" Type="http://schemas.openxmlformats.org/officeDocument/2006/relationships/hyperlink" Target="https://www.nbcnews.com/health/health-news/coronavirus-timeline-tracking-critical-moments-covid-19-n1154341" TargetMode="External"/><Relationship Id="rId208" Type="http://schemas.openxmlformats.org/officeDocument/2006/relationships/hyperlink" Target="https://www.nbcnews.com/health/health-news/coronavirus-timeline-tracking-critical-moments-covid-19-n1154341" TargetMode="External"/><Relationship Id="rId329" Type="http://schemas.openxmlformats.org/officeDocument/2006/relationships/hyperlink" Target="https://www.nbcnews.com/health/health-news/coronavirus-timeline-tracking-critical-moments-covid-19-n1154344" TargetMode="External"/><Relationship Id="rId207" Type="http://schemas.openxmlformats.org/officeDocument/2006/relationships/hyperlink" Target="https://www.nbcnews.com/health/health-news/coronavirus-timeline-tracking-critical-moments-covid-19-n1154341" TargetMode="External"/><Relationship Id="rId328" Type="http://schemas.openxmlformats.org/officeDocument/2006/relationships/hyperlink" Target="https://www.nbcnews.com/health/health-news/coronavirus-timeline-tracking-critical-moments-covid-19-n1154343" TargetMode="External"/><Relationship Id="rId449" Type="http://schemas.openxmlformats.org/officeDocument/2006/relationships/hyperlink" Target="https://www.defense.gov/Explore/Spotlight/Coronavirus-DOD-Response/Timeline/" TargetMode="External"/><Relationship Id="rId440" Type="http://schemas.openxmlformats.org/officeDocument/2006/relationships/hyperlink" Target="https://storymaps.arcgis.com/stories/463f2d26aca94edda07753fe31f61f11" TargetMode="External"/><Relationship Id="rId561" Type="http://schemas.openxmlformats.org/officeDocument/2006/relationships/hyperlink" Target="https://storymaps.arcgis.com/stories/463f2d26aca94edda07753fe31f61f11" TargetMode="External"/><Relationship Id="rId560" Type="http://schemas.openxmlformats.org/officeDocument/2006/relationships/hyperlink" Target="https://storymaps.arcgis.com/stories/463f2d26aca94edda07753fe31f61f11" TargetMode="External"/><Relationship Id="rId202" Type="http://schemas.openxmlformats.org/officeDocument/2006/relationships/hyperlink" Target="https://www.nbcnews.com/health/health-news/coronavirus-timeline-tracking-critical-moments-covid-19-n1154341" TargetMode="External"/><Relationship Id="rId323" Type="http://schemas.openxmlformats.org/officeDocument/2006/relationships/hyperlink" Target="https://www.who.int/publications/m/item/draft-landscape-of-covid-19-candidate-vaccines" TargetMode="External"/><Relationship Id="rId444" Type="http://schemas.openxmlformats.org/officeDocument/2006/relationships/hyperlink" Target="https://storymaps.arcgis.com/stories/463f2d26aca94edda07753fe31f61f11" TargetMode="External"/><Relationship Id="rId565" Type="http://schemas.openxmlformats.org/officeDocument/2006/relationships/hyperlink" Target="https://storymaps.arcgis.com/stories/463f2d26aca94edda07753fe31f61f11" TargetMode="External"/><Relationship Id="rId201" Type="http://schemas.openxmlformats.org/officeDocument/2006/relationships/hyperlink" Target="https://www.nbcnews.com/health/health-news/coronavirus-timeline-tracking-critical-moments-covid-19-n1154341" TargetMode="External"/><Relationship Id="rId322" Type="http://schemas.openxmlformats.org/officeDocument/2006/relationships/hyperlink" Target="https://www.who.int/news-room/feature-stories/detail/actionables-for-a-healthy-recovery-from-covid-19" TargetMode="External"/><Relationship Id="rId443" Type="http://schemas.openxmlformats.org/officeDocument/2006/relationships/hyperlink" Target="https://www.defense.gov/Explore/Spotlight/Coronavirus-DOD-Response/Timeline/" TargetMode="External"/><Relationship Id="rId564" Type="http://schemas.openxmlformats.org/officeDocument/2006/relationships/hyperlink" Target="https://www.nytimes.com/2022/02/04/us/us-covid-deaths.html" TargetMode="External"/><Relationship Id="rId200" Type="http://schemas.openxmlformats.org/officeDocument/2006/relationships/hyperlink" Target="https://www.nbcnews.com/health/health-news/coronavirus-timeline-tracking-critical-moments-covid-19-n1154341" TargetMode="External"/><Relationship Id="rId321" Type="http://schemas.openxmlformats.org/officeDocument/2006/relationships/hyperlink" Target="https://www.nytimes.com/2020/07/20/world/europe/eu-stimulus-coronavirus.html" TargetMode="External"/><Relationship Id="rId442" Type="http://schemas.openxmlformats.org/officeDocument/2006/relationships/hyperlink" Target="https://storymaps.arcgis.com/stories/463f2d26aca94edda07753fe31f61f11" TargetMode="External"/><Relationship Id="rId563" Type="http://schemas.openxmlformats.org/officeDocument/2006/relationships/hyperlink" Target="https://www.defense.gov/Spotlights/Coronavirus-DOD-Response/Timeline/" TargetMode="External"/><Relationship Id="rId320" Type="http://schemas.openxmlformats.org/officeDocument/2006/relationships/hyperlink" Target="http://www.emro.who.int/media/news/one-million-patients-reported-as-recovered-from-covid-19-in-whos-eastern-mediterranean-region.html" TargetMode="External"/><Relationship Id="rId441" Type="http://schemas.openxmlformats.org/officeDocument/2006/relationships/hyperlink" Target="https://storymaps.arcgis.com/stories/463f2d26aca94edda07753fe31f61f11" TargetMode="External"/><Relationship Id="rId562" Type="http://schemas.openxmlformats.org/officeDocument/2006/relationships/hyperlink" Target="https://storymaps.arcgis.com/stories/463f2d26aca94edda07753fe31f61f11" TargetMode="External"/><Relationship Id="rId316" Type="http://schemas.openxmlformats.org/officeDocument/2006/relationships/hyperlink" Target="https://www.usnews.com/news/world/articles/2020-07-14/tokyo-to-lift-coronavirus-alert-to-highest-level-asahi" TargetMode="External"/><Relationship Id="rId437" Type="http://schemas.openxmlformats.org/officeDocument/2006/relationships/hyperlink" Target="https://storymaps.arcgis.com/stories/463f2d26aca94edda07753fe31f61f11" TargetMode="External"/><Relationship Id="rId558" Type="http://schemas.openxmlformats.org/officeDocument/2006/relationships/hyperlink" Target="https://www.defense.gov/Explore/Spotlight/Coronavirus-DOD-Response/Timeline/" TargetMode="External"/><Relationship Id="rId315" Type="http://schemas.openxmlformats.org/officeDocument/2006/relationships/hyperlink" Target="https://www.who.int/news-room/detail/13-07-2020-as-more-go-hungry-and-malnutrition-persists-achieving-zero-hunger-by-2030-in-doubt-un-report-warns" TargetMode="External"/><Relationship Id="rId436" Type="http://schemas.openxmlformats.org/officeDocument/2006/relationships/hyperlink" Target="https://storymaps.arcgis.com/stories/463f2d26aca94edda07753fe31f61f11" TargetMode="External"/><Relationship Id="rId557" Type="http://schemas.openxmlformats.org/officeDocument/2006/relationships/hyperlink" Target="https://www.defense.gov/Explore/Spotlight/Coronavirus-DOD-Response/Timeline/" TargetMode="External"/><Relationship Id="rId314" Type="http://schemas.openxmlformats.org/officeDocument/2006/relationships/hyperlink" Target="https://www.nytimes.com/2020/07/13/us/politics/coronavirus-health-insurance-trump.html?" TargetMode="External"/><Relationship Id="rId435" Type="http://schemas.openxmlformats.org/officeDocument/2006/relationships/hyperlink" Target="https://storymaps.arcgis.com/stories/463f2d26aca94edda07753fe31f61f11" TargetMode="External"/><Relationship Id="rId556" Type="http://schemas.openxmlformats.org/officeDocument/2006/relationships/hyperlink" Target="https://www.defense.gov/Explore/Spotlight/Coronavirus-DOD-Response/Timeline/" TargetMode="External"/><Relationship Id="rId313" Type="http://schemas.openxmlformats.org/officeDocument/2006/relationships/hyperlink" Target="https://www.cnn.com/2020/07/11/politics/trump-walter-reed-visit-mask/index.html" TargetMode="External"/><Relationship Id="rId434" Type="http://schemas.openxmlformats.org/officeDocument/2006/relationships/hyperlink" Target="https://storymaps.arcgis.com/stories/463f2d26aca94edda07753fe31f61f11" TargetMode="External"/><Relationship Id="rId555" Type="http://schemas.openxmlformats.org/officeDocument/2006/relationships/hyperlink" Target="https://www.npr.org/sections/health-shots/2022/01/11/1071568846/u-s-covid-hospitalizations-hit-new-record-high-raising-risks-for-patients" TargetMode="External"/><Relationship Id="rId319" Type="http://schemas.openxmlformats.org/officeDocument/2006/relationships/hyperlink" Target="https://www.nytimes.com/2020/07/16/world/asia/coronavirus-india-million-cases.html?action=click&amp;module=RelatedLinks&amp;pgtype=Article" TargetMode="External"/><Relationship Id="rId318" Type="http://schemas.openxmlformats.org/officeDocument/2006/relationships/hyperlink" Target="https://wwwnc.cdc.gov/eid/article/26/10/20-1315_article" TargetMode="External"/><Relationship Id="rId439" Type="http://schemas.openxmlformats.org/officeDocument/2006/relationships/hyperlink" Target="https://storymaps.arcgis.com/stories/463f2d26aca94edda07753fe31f61f11" TargetMode="External"/><Relationship Id="rId317" Type="http://schemas.openxmlformats.org/officeDocument/2006/relationships/hyperlink" Target="https://www.who.int/news-room/detail/15-07-2020-more-than-150-countries-engaged-in-covid-19-vaccine-global-access-facility" TargetMode="External"/><Relationship Id="rId438" Type="http://schemas.openxmlformats.org/officeDocument/2006/relationships/hyperlink" Target="https://storymaps.arcgis.com/stories/463f2d26aca94edda07753fe31f61f11" TargetMode="External"/><Relationship Id="rId559" Type="http://schemas.openxmlformats.org/officeDocument/2006/relationships/hyperlink" Target="https://www.defense.gov/Explore/Spotlight/Coronavirus-DOD-Response/Timeline/" TargetMode="External"/><Relationship Id="rId550" Type="http://schemas.openxmlformats.org/officeDocument/2006/relationships/hyperlink" Target="https://www.defense.gov/Explore/Spotlight/Coronavirus-DOD-Response/Timeline/" TargetMode="External"/><Relationship Id="rId312" Type="http://schemas.openxmlformats.org/officeDocument/2006/relationships/hyperlink" Target="https://www.nytimes.com/2020/03/31/world/asia/coronavirus-china-hong-kong-singapore-south-korea.html" TargetMode="External"/><Relationship Id="rId433" Type="http://schemas.openxmlformats.org/officeDocument/2006/relationships/hyperlink" Target="https://storymaps.arcgis.com/stories/463f2d26aca94edda07753fe31f61f11" TargetMode="External"/><Relationship Id="rId554" Type="http://schemas.openxmlformats.org/officeDocument/2006/relationships/hyperlink" Target="https://www.npr.org/sections/health-shots/2022/01/11/1071568846/u-s-covid-hospitalizations-hit-new-record-high-raising-risks-for-patients" TargetMode="External"/><Relationship Id="rId311" Type="http://schemas.openxmlformats.org/officeDocument/2006/relationships/hyperlink" Target="https://www.who.int/docs/default-source/coronaviruse/situation-reports/20200717-covid-19-sitrep-179.pdf?sfvrsn=2f1599fa_2" TargetMode="External"/><Relationship Id="rId432" Type="http://schemas.openxmlformats.org/officeDocument/2006/relationships/hyperlink" Target="https://storymaps.arcgis.com/stories/463f2d26aca94edda07753fe31f61f11" TargetMode="External"/><Relationship Id="rId553" Type="http://schemas.openxmlformats.org/officeDocument/2006/relationships/hyperlink" Target="https://www.npr.org/2022/01/10/1071766924/there-is-a-record-number-of-new-covid-cases-as-well-as-hospitalizations" TargetMode="External"/><Relationship Id="rId310" Type="http://schemas.openxmlformats.org/officeDocument/2006/relationships/hyperlink" Target="https://www.nbcnews.com/health/health-news/coronavirus-timeline-tracking-critical-moments-covid-19-n1154341" TargetMode="External"/><Relationship Id="rId431" Type="http://schemas.openxmlformats.org/officeDocument/2006/relationships/hyperlink" Target="https://storymaps.arcgis.com/stories/463f2d26aca94edda07753fe31f61f11" TargetMode="External"/><Relationship Id="rId552" Type="http://schemas.openxmlformats.org/officeDocument/2006/relationships/hyperlink" Target="https://www.npr.org/2022/01/10/1071766924/there-is-a-record-number-of-new-covid-cases-as-well-as-hospitalizations" TargetMode="External"/><Relationship Id="rId430" Type="http://schemas.openxmlformats.org/officeDocument/2006/relationships/hyperlink" Target="https://storymaps.arcgis.com/stories/463f2d26aca94edda07753fe31f61f11" TargetMode="External"/><Relationship Id="rId551" Type="http://schemas.openxmlformats.org/officeDocument/2006/relationships/hyperlink" Target="https://storymaps.arcgis.com/stories/463f2d26aca94edda07753fe31f61f11"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nashp.org/2020-state-reopening-chart/" TargetMode="External"/><Relationship Id="rId194" Type="http://schemas.openxmlformats.org/officeDocument/2006/relationships/hyperlink" Target="https://www.nashp.org/2020-state-reopening-chart/" TargetMode="External"/><Relationship Id="rId193" Type="http://schemas.openxmlformats.org/officeDocument/2006/relationships/hyperlink" Target="https://www.nashp.org/2020-state-reopening-chart/" TargetMode="External"/><Relationship Id="rId192" Type="http://schemas.openxmlformats.org/officeDocument/2006/relationships/hyperlink" Target="https://www.nashp.org/2020-state-reopening-chart/" TargetMode="External"/><Relationship Id="rId191" Type="http://schemas.openxmlformats.org/officeDocument/2006/relationships/hyperlink" Target="https://www.nashp.org/2020-state-reopening-chart/" TargetMode="External"/><Relationship Id="rId187" Type="http://schemas.openxmlformats.org/officeDocument/2006/relationships/hyperlink" Target="https://www.nashp.org/2020-state-reopening-chart/" TargetMode="External"/><Relationship Id="rId186" Type="http://schemas.openxmlformats.org/officeDocument/2006/relationships/hyperlink" Target="https://www.cnn.com/2020/06/19/us/states-face-mask-coronavirus-trnd/index.html" TargetMode="External"/><Relationship Id="rId185" Type="http://schemas.openxmlformats.org/officeDocument/2006/relationships/hyperlink" Target="https://www.nashp.org/2020-state-reopening-chart/" TargetMode="External"/><Relationship Id="rId184" Type="http://schemas.openxmlformats.org/officeDocument/2006/relationships/hyperlink" Target="https://www.businessinsider.com/california-washington-state-of-emergency-coronavirus-what-it-means-2020-3" TargetMode="External"/><Relationship Id="rId189" Type="http://schemas.openxmlformats.org/officeDocument/2006/relationships/hyperlink" Target="https://www.nashp.org/2020-state-reopening-chart/" TargetMode="External"/><Relationship Id="rId188" Type="http://schemas.openxmlformats.org/officeDocument/2006/relationships/hyperlink" Target="https://www.nashp.org/2020-state-reopening-chart/" TargetMode="External"/><Relationship Id="rId183" Type="http://schemas.openxmlformats.org/officeDocument/2006/relationships/hyperlink" Target="https://www.nashp.org/governors-prioritize-health-for-all/" TargetMode="External"/><Relationship Id="rId182" Type="http://schemas.openxmlformats.org/officeDocument/2006/relationships/hyperlink" Target="https://www.nashp.org/governors-prioritize-health-for-all/" TargetMode="External"/><Relationship Id="rId181" Type="http://schemas.openxmlformats.org/officeDocument/2006/relationships/hyperlink" Target="https://www.nashp.org/governors-prioritize-health-for-all/" TargetMode="External"/><Relationship Id="rId180" Type="http://schemas.openxmlformats.org/officeDocument/2006/relationships/hyperlink" Target="https://www.nashp.org/governors-prioritize-health-for-all/" TargetMode="External"/><Relationship Id="rId176" Type="http://schemas.openxmlformats.org/officeDocument/2006/relationships/hyperlink" Target="https://www.nashp.org/2020-state-reopening-chart/" TargetMode="External"/><Relationship Id="rId175" Type="http://schemas.openxmlformats.org/officeDocument/2006/relationships/hyperlink" Target="https://www.nashp.org/2020-state-reopening-chart/" TargetMode="External"/><Relationship Id="rId174" Type="http://schemas.openxmlformats.org/officeDocument/2006/relationships/hyperlink" Target="https://www.nashp.org/2020-state-reopening-chart/" TargetMode="External"/><Relationship Id="rId173" Type="http://schemas.openxmlformats.org/officeDocument/2006/relationships/hyperlink" Target="https://www.nashp.org/2020-state-reopening-chart/" TargetMode="External"/><Relationship Id="rId179" Type="http://schemas.openxmlformats.org/officeDocument/2006/relationships/hyperlink" Target="https://www.nashp.org/governors-prioritize-health-for-all/" TargetMode="External"/><Relationship Id="rId178" Type="http://schemas.openxmlformats.org/officeDocument/2006/relationships/hyperlink" Target="https://www.nashp.org/governors-prioritize-health-for-all/" TargetMode="External"/><Relationship Id="rId177" Type="http://schemas.openxmlformats.org/officeDocument/2006/relationships/hyperlink" Target="https://www.nashp.org/2020-state-reopening-chart/" TargetMode="External"/><Relationship Id="rId198" Type="http://schemas.openxmlformats.org/officeDocument/2006/relationships/hyperlink" Target="https://www.nashp.org/governors-prioritize-health-for-all/" TargetMode="External"/><Relationship Id="rId197" Type="http://schemas.openxmlformats.org/officeDocument/2006/relationships/hyperlink" Target="https://www.nashp.org/governors-prioritize-health-for-all/" TargetMode="External"/><Relationship Id="rId196" Type="http://schemas.openxmlformats.org/officeDocument/2006/relationships/hyperlink" Target="https://www.nashp.org/governors-prioritize-health-for-all/" TargetMode="External"/><Relationship Id="rId195" Type="http://schemas.openxmlformats.org/officeDocument/2006/relationships/hyperlink" Target="https://www.nashp.org/2020-state-reopening-chart/" TargetMode="External"/><Relationship Id="rId199" Type="http://schemas.openxmlformats.org/officeDocument/2006/relationships/hyperlink" Target="https://www.nashp.org/governors-prioritize-health-for-all/" TargetMode="External"/><Relationship Id="rId150" Type="http://schemas.openxmlformats.org/officeDocument/2006/relationships/hyperlink" Target="https://www.nashp.org/2020-state-reopening-chart/" TargetMode="External"/><Relationship Id="rId392" Type="http://schemas.openxmlformats.org/officeDocument/2006/relationships/hyperlink" Target="https://www.nashp.org/governors-prioritize-health-for-all/" TargetMode="External"/><Relationship Id="rId391" Type="http://schemas.openxmlformats.org/officeDocument/2006/relationships/hyperlink" Target="https://www.nashp.org/governors-prioritize-health-for-all/" TargetMode="External"/><Relationship Id="rId390" Type="http://schemas.openxmlformats.org/officeDocument/2006/relationships/hyperlink" Target="https://www.nashp.org/governors-prioritize-health-for-all/" TargetMode="External"/><Relationship Id="rId1" Type="http://schemas.openxmlformats.org/officeDocument/2006/relationships/hyperlink" Target="https://www.businessinsider.com/california-washington-state-of-emergency-coronavirus-what-it-means-2020-3" TargetMode="External"/><Relationship Id="rId2" Type="http://schemas.openxmlformats.org/officeDocument/2006/relationships/hyperlink" Target="https://www.nashp.org/2020-state-reopening-chart/" TargetMode="External"/><Relationship Id="rId3" Type="http://schemas.openxmlformats.org/officeDocument/2006/relationships/hyperlink" Target="https://www.nashp.org/2020-state-reopening-chart/" TargetMode="External"/><Relationship Id="rId149" Type="http://schemas.openxmlformats.org/officeDocument/2006/relationships/hyperlink" Target="https://www.nashp.org/2020-state-reopening-chart/" TargetMode="External"/><Relationship Id="rId4" Type="http://schemas.openxmlformats.org/officeDocument/2006/relationships/hyperlink" Target="https://www.nashp.org/2020-state-reopening-chart/" TargetMode="External"/><Relationship Id="rId148" Type="http://schemas.openxmlformats.org/officeDocument/2006/relationships/hyperlink" Target="https://www.nashp.org/2020-state-reopening-chart/" TargetMode="External"/><Relationship Id="rId9" Type="http://schemas.openxmlformats.org/officeDocument/2006/relationships/hyperlink" Target="https://www.nashp.org/2020-state-reopening-chart/" TargetMode="External"/><Relationship Id="rId143" Type="http://schemas.openxmlformats.org/officeDocument/2006/relationships/hyperlink" Target="https://www.nashp.org/governors-prioritize-health-for-all/" TargetMode="External"/><Relationship Id="rId385" Type="http://schemas.openxmlformats.org/officeDocument/2006/relationships/hyperlink" Target="https://www.nashp.org/2020-state-reopening-chart/" TargetMode="External"/><Relationship Id="rId142" Type="http://schemas.openxmlformats.org/officeDocument/2006/relationships/hyperlink" Target="https://www.nashp.org/governors-prioritize-health-for-all/" TargetMode="External"/><Relationship Id="rId384" Type="http://schemas.openxmlformats.org/officeDocument/2006/relationships/hyperlink" Target="https://www.nashp.org/2020-state-reopening-chart/" TargetMode="External"/><Relationship Id="rId141" Type="http://schemas.openxmlformats.org/officeDocument/2006/relationships/hyperlink" Target="https://www.nashp.org/governors-prioritize-health-for-all/" TargetMode="External"/><Relationship Id="rId383" Type="http://schemas.openxmlformats.org/officeDocument/2006/relationships/hyperlink" Target="https://www.nashp.org/2020-state-reopening-chart/" TargetMode="External"/><Relationship Id="rId140" Type="http://schemas.openxmlformats.org/officeDocument/2006/relationships/hyperlink" Target="https://www.nashp.org/governors-prioritize-health-for-all/" TargetMode="External"/><Relationship Id="rId382" Type="http://schemas.openxmlformats.org/officeDocument/2006/relationships/hyperlink" Target="https://www.nashp.org/2020-state-reopening-chart/" TargetMode="External"/><Relationship Id="rId5" Type="http://schemas.openxmlformats.org/officeDocument/2006/relationships/hyperlink" Target="https://www.nashp.org/2020-state-reopening-chart/" TargetMode="External"/><Relationship Id="rId147" Type="http://schemas.openxmlformats.org/officeDocument/2006/relationships/hyperlink" Target="https://www.businessinsider.com/california-washington-state-of-emergency-coronavirus-what-it-means-2020-3" TargetMode="External"/><Relationship Id="rId389" Type="http://schemas.openxmlformats.org/officeDocument/2006/relationships/hyperlink" Target="https://www.nashp.org/governors-prioritize-health-for-all/" TargetMode="External"/><Relationship Id="rId6" Type="http://schemas.openxmlformats.org/officeDocument/2006/relationships/hyperlink" Target="https://www.nashp.org/2020-state-reopening-chart/" TargetMode="External"/><Relationship Id="rId146" Type="http://schemas.openxmlformats.org/officeDocument/2006/relationships/hyperlink" Target="https://www.nashp.org/governors-prioritize-health-for-all/" TargetMode="External"/><Relationship Id="rId388" Type="http://schemas.openxmlformats.org/officeDocument/2006/relationships/hyperlink" Target="https://www.nashp.org/2020-state-reopening-chart/" TargetMode="External"/><Relationship Id="rId7" Type="http://schemas.openxmlformats.org/officeDocument/2006/relationships/hyperlink" Target="https://www.cnn.com/2020/06/19/us/states-face-mask-coronavirus-trnd/index.html" TargetMode="External"/><Relationship Id="rId145" Type="http://schemas.openxmlformats.org/officeDocument/2006/relationships/hyperlink" Target="https://www.nashp.org/governors-prioritize-health-for-all/" TargetMode="External"/><Relationship Id="rId387" Type="http://schemas.openxmlformats.org/officeDocument/2006/relationships/hyperlink" Target="https://www.nashp.org/2020-state-reopening-chart/" TargetMode="External"/><Relationship Id="rId8" Type="http://schemas.openxmlformats.org/officeDocument/2006/relationships/hyperlink" Target="https://www.nashp.org/2020-state-reopening-chart/" TargetMode="External"/><Relationship Id="rId144" Type="http://schemas.openxmlformats.org/officeDocument/2006/relationships/hyperlink" Target="https://www.nashp.org/governors-prioritize-health-for-all/" TargetMode="External"/><Relationship Id="rId386" Type="http://schemas.openxmlformats.org/officeDocument/2006/relationships/hyperlink" Target="https://www.nashp.org/2020-state-reopening-chart/" TargetMode="External"/><Relationship Id="rId381" Type="http://schemas.openxmlformats.org/officeDocument/2006/relationships/hyperlink" Target="https://www.nashp.org/2020-state-reopening-chart/" TargetMode="External"/><Relationship Id="rId380" Type="http://schemas.openxmlformats.org/officeDocument/2006/relationships/hyperlink" Target="https://www.nashp.org/2020-state-reopening-chart/" TargetMode="External"/><Relationship Id="rId139" Type="http://schemas.openxmlformats.org/officeDocument/2006/relationships/hyperlink" Target="https://www.nashp.org/governors-prioritize-health-for-all/" TargetMode="External"/><Relationship Id="rId138" Type="http://schemas.openxmlformats.org/officeDocument/2006/relationships/hyperlink" Target="https://www.nashp.org/governors-prioritize-health-for-all/" TargetMode="External"/><Relationship Id="rId137" Type="http://schemas.openxmlformats.org/officeDocument/2006/relationships/hyperlink" Target="https://www.nashp.org/governors-prioritize-health-for-all/" TargetMode="External"/><Relationship Id="rId379" Type="http://schemas.openxmlformats.org/officeDocument/2006/relationships/hyperlink" Target="https://www.nashp.org/2020-state-reopening-chart/" TargetMode="External"/><Relationship Id="rId132" Type="http://schemas.openxmlformats.org/officeDocument/2006/relationships/hyperlink" Target="https://www.nashp.org/2020-state-reopening-chart/" TargetMode="External"/><Relationship Id="rId374" Type="http://schemas.openxmlformats.org/officeDocument/2006/relationships/hyperlink" Target="https://www.businessinsider.com/california-washington-state-of-emergency-coronavirus-what-it-means-2020-3" TargetMode="External"/><Relationship Id="rId131" Type="http://schemas.openxmlformats.org/officeDocument/2006/relationships/hyperlink" Target="https://www.nashp.org/2020-state-reopening-chart/" TargetMode="External"/><Relationship Id="rId373" Type="http://schemas.openxmlformats.org/officeDocument/2006/relationships/hyperlink" Target="https://www.nashp.org/governors-prioritize-health-for-all/" TargetMode="External"/><Relationship Id="rId130" Type="http://schemas.openxmlformats.org/officeDocument/2006/relationships/hyperlink" Target="https://www.nashp.org/2020-state-reopening-chart/" TargetMode="External"/><Relationship Id="rId372" Type="http://schemas.openxmlformats.org/officeDocument/2006/relationships/hyperlink" Target="https://www.nashp.org/governors-prioritize-health-for-all/" TargetMode="External"/><Relationship Id="rId371" Type="http://schemas.openxmlformats.org/officeDocument/2006/relationships/hyperlink" Target="https://www.nashp.org/governors-prioritize-health-for-all/" TargetMode="External"/><Relationship Id="rId136" Type="http://schemas.openxmlformats.org/officeDocument/2006/relationships/hyperlink" Target="https://www.nashp.org/2020-state-reopening-chart/" TargetMode="External"/><Relationship Id="rId378" Type="http://schemas.openxmlformats.org/officeDocument/2006/relationships/hyperlink" Target="https://www.nashp.org/2020-state-reopening-chart/" TargetMode="External"/><Relationship Id="rId135" Type="http://schemas.openxmlformats.org/officeDocument/2006/relationships/hyperlink" Target="https://www.nashp.org/2020-state-reopening-chart/" TargetMode="External"/><Relationship Id="rId377" Type="http://schemas.openxmlformats.org/officeDocument/2006/relationships/hyperlink" Target="https://www.nashp.org/2020-state-reopening-chart/" TargetMode="External"/><Relationship Id="rId134" Type="http://schemas.openxmlformats.org/officeDocument/2006/relationships/hyperlink" Target="https://www.nashp.org/2020-state-reopening-chart/" TargetMode="External"/><Relationship Id="rId376" Type="http://schemas.openxmlformats.org/officeDocument/2006/relationships/hyperlink" Target="https://www.cnn.com/2020/06/19/us/states-face-mask-coronavirus-trnd/index.html" TargetMode="External"/><Relationship Id="rId133" Type="http://schemas.openxmlformats.org/officeDocument/2006/relationships/hyperlink" Target="https://www.nashp.org/2020-state-reopening-chart/" TargetMode="External"/><Relationship Id="rId375" Type="http://schemas.openxmlformats.org/officeDocument/2006/relationships/hyperlink" Target="https://www.cnn.com/2020/03/23/us/coronavirus-which-states-stay-at-home-order-trnd/index.html" TargetMode="External"/><Relationship Id="rId172" Type="http://schemas.openxmlformats.org/officeDocument/2006/relationships/hyperlink" Target="https://www.nashp.org/2020-state-reopening-chart/" TargetMode="External"/><Relationship Id="rId171" Type="http://schemas.openxmlformats.org/officeDocument/2006/relationships/hyperlink" Target="https://www.nashp.org/2020-state-reopening-chart/" TargetMode="External"/><Relationship Id="rId170" Type="http://schemas.openxmlformats.org/officeDocument/2006/relationships/hyperlink" Target="https://www.nashp.org/2020-state-reopening-chart/" TargetMode="External"/><Relationship Id="rId165" Type="http://schemas.openxmlformats.org/officeDocument/2006/relationships/hyperlink" Target="https://www.businessinsider.com/california-washington-state-of-emergency-coronavirus-what-it-means-2020-3" TargetMode="External"/><Relationship Id="rId164" Type="http://schemas.openxmlformats.org/officeDocument/2006/relationships/hyperlink" Target="https://www.nashp.org/governors-prioritize-health-for-all/" TargetMode="External"/><Relationship Id="rId163" Type="http://schemas.openxmlformats.org/officeDocument/2006/relationships/hyperlink" Target="https://www.nashp.org/governors-prioritize-health-for-all/" TargetMode="External"/><Relationship Id="rId162" Type="http://schemas.openxmlformats.org/officeDocument/2006/relationships/hyperlink" Target="https://www.nashp.org/governors-prioritize-health-for-all/" TargetMode="External"/><Relationship Id="rId169" Type="http://schemas.openxmlformats.org/officeDocument/2006/relationships/hyperlink" Target="https://www.nashp.org/2020-state-reopening-chart/" TargetMode="External"/><Relationship Id="rId168" Type="http://schemas.openxmlformats.org/officeDocument/2006/relationships/hyperlink" Target="https://www.nashp.org/2020-state-reopening-chart/" TargetMode="External"/><Relationship Id="rId167" Type="http://schemas.openxmlformats.org/officeDocument/2006/relationships/hyperlink" Target="https://www.nashp.org/2020-state-reopening-chart/" TargetMode="External"/><Relationship Id="rId166" Type="http://schemas.openxmlformats.org/officeDocument/2006/relationships/hyperlink" Target="https://www.nashp.org/2020-state-reopening-chart/" TargetMode="External"/><Relationship Id="rId161" Type="http://schemas.openxmlformats.org/officeDocument/2006/relationships/hyperlink" Target="https://www.nashp.org/governors-prioritize-health-for-all/" TargetMode="External"/><Relationship Id="rId160" Type="http://schemas.openxmlformats.org/officeDocument/2006/relationships/hyperlink" Target="https://www.nashp.org/2020-state-reopening-chart/" TargetMode="External"/><Relationship Id="rId159" Type="http://schemas.openxmlformats.org/officeDocument/2006/relationships/hyperlink" Target="https://www.nashp.org/2020-state-reopening-chart/" TargetMode="External"/><Relationship Id="rId154" Type="http://schemas.openxmlformats.org/officeDocument/2006/relationships/hyperlink" Target="https://www.nashp.org/2020-state-reopening-chart/" TargetMode="External"/><Relationship Id="rId396" Type="http://schemas.openxmlformats.org/officeDocument/2006/relationships/hyperlink" Target="https://www.nashp.org/2020-state-reopening-chart/" TargetMode="External"/><Relationship Id="rId153" Type="http://schemas.openxmlformats.org/officeDocument/2006/relationships/hyperlink" Target="https://www.nashp.org/2020-state-reopening-chart/" TargetMode="External"/><Relationship Id="rId395" Type="http://schemas.openxmlformats.org/officeDocument/2006/relationships/hyperlink" Target="https://www.nashp.org/governors-prioritize-health-for-all/" TargetMode="External"/><Relationship Id="rId152" Type="http://schemas.openxmlformats.org/officeDocument/2006/relationships/hyperlink" Target="https://www.nashp.org/2020-state-reopening-chart/" TargetMode="External"/><Relationship Id="rId394" Type="http://schemas.openxmlformats.org/officeDocument/2006/relationships/hyperlink" Target="https://www.nashp.org/governors-prioritize-health-for-all/" TargetMode="External"/><Relationship Id="rId151" Type="http://schemas.openxmlformats.org/officeDocument/2006/relationships/hyperlink" Target="https://www.nashp.org/2020-state-reopening-chart/" TargetMode="External"/><Relationship Id="rId393" Type="http://schemas.openxmlformats.org/officeDocument/2006/relationships/hyperlink" Target="https://www.nashp.org/governors-prioritize-health-for-all/" TargetMode="External"/><Relationship Id="rId158" Type="http://schemas.openxmlformats.org/officeDocument/2006/relationships/hyperlink" Target="https://www.nashp.org/2020-state-reopening-chart/" TargetMode="External"/><Relationship Id="rId157" Type="http://schemas.openxmlformats.org/officeDocument/2006/relationships/hyperlink" Target="https://www.nashp.org/2020-state-reopening-chart/" TargetMode="External"/><Relationship Id="rId399" Type="http://schemas.openxmlformats.org/officeDocument/2006/relationships/hyperlink" Target="https://www.businessinsider.com/california-washington-state-of-emergency-coronavirus-what-it-means-2020-3" TargetMode="External"/><Relationship Id="rId156" Type="http://schemas.openxmlformats.org/officeDocument/2006/relationships/hyperlink" Target="https://www.nashp.org/2020-state-reopening-chart/" TargetMode="External"/><Relationship Id="rId398" Type="http://schemas.openxmlformats.org/officeDocument/2006/relationships/hyperlink" Target="https://www.nashp.org/governors-prioritize-health-for-all/" TargetMode="External"/><Relationship Id="rId155" Type="http://schemas.openxmlformats.org/officeDocument/2006/relationships/hyperlink" Target="https://www.nashp.org/2020-state-reopening-chart/" TargetMode="External"/><Relationship Id="rId397" Type="http://schemas.openxmlformats.org/officeDocument/2006/relationships/hyperlink" Target="https://www.nashp.org/governors-prioritize-health-for-all/" TargetMode="External"/><Relationship Id="rId808" Type="http://schemas.openxmlformats.org/officeDocument/2006/relationships/hyperlink" Target="https://www.nashp.org/2020-state-reopening-chart/" TargetMode="External"/><Relationship Id="rId807" Type="http://schemas.openxmlformats.org/officeDocument/2006/relationships/hyperlink" Target="https://www.businessinsider.com/california-washington-state-of-emergency-coronavirus-what-it-means-2020-3" TargetMode="External"/><Relationship Id="rId806" Type="http://schemas.openxmlformats.org/officeDocument/2006/relationships/hyperlink" Target="https://www.nashp.org/governors-prioritize-health-for-all/" TargetMode="External"/><Relationship Id="rId805" Type="http://schemas.openxmlformats.org/officeDocument/2006/relationships/hyperlink" Target="https://www.nashp.org/governors-prioritize-health-for-all/" TargetMode="External"/><Relationship Id="rId809" Type="http://schemas.openxmlformats.org/officeDocument/2006/relationships/hyperlink" Target="https://www.cnn.com/2020/06/19/us/states-face-mask-coronavirus-trnd/index.html" TargetMode="External"/><Relationship Id="rId800" Type="http://schemas.openxmlformats.org/officeDocument/2006/relationships/hyperlink" Target="https://www.nashp.org/governors-prioritize-health-for-all/" TargetMode="External"/><Relationship Id="rId804" Type="http://schemas.openxmlformats.org/officeDocument/2006/relationships/hyperlink" Target="https://www.nashp.org/governors-prioritize-health-for-all/" TargetMode="External"/><Relationship Id="rId803" Type="http://schemas.openxmlformats.org/officeDocument/2006/relationships/hyperlink" Target="https://www.nashp.org/governors-prioritize-health-for-all/" TargetMode="External"/><Relationship Id="rId802" Type="http://schemas.openxmlformats.org/officeDocument/2006/relationships/hyperlink" Target="https://www.nashp.org/governors-prioritize-health-for-all/" TargetMode="External"/><Relationship Id="rId801" Type="http://schemas.openxmlformats.org/officeDocument/2006/relationships/hyperlink" Target="https://www.nashp.org/governors-prioritize-health-for-all/" TargetMode="External"/><Relationship Id="rId40" Type="http://schemas.openxmlformats.org/officeDocument/2006/relationships/hyperlink" Target="https://www.nashp.org/2020-state-reopening-chart/" TargetMode="External"/><Relationship Id="rId42" Type="http://schemas.openxmlformats.org/officeDocument/2006/relationships/hyperlink" Target="https://www.cnn.com/2020/06/19/us/states-face-mask-coronavirus-trnd/index.html" TargetMode="External"/><Relationship Id="rId41" Type="http://schemas.openxmlformats.org/officeDocument/2006/relationships/hyperlink" Target="https://www.nashp.org/2020-state-reopening-chart/" TargetMode="External"/><Relationship Id="rId44" Type="http://schemas.openxmlformats.org/officeDocument/2006/relationships/hyperlink" Target="https://www.nashp.org/2020-state-reopening-chart/" TargetMode="External"/><Relationship Id="rId43" Type="http://schemas.openxmlformats.org/officeDocument/2006/relationships/hyperlink" Target="https://www.nashp.org/2020-state-reopening-chart/" TargetMode="External"/><Relationship Id="rId46" Type="http://schemas.openxmlformats.org/officeDocument/2006/relationships/hyperlink" Target="https://www.nashp.org/governors-prioritize-health-for-all/" TargetMode="External"/><Relationship Id="rId45" Type="http://schemas.openxmlformats.org/officeDocument/2006/relationships/hyperlink" Target="https://www.nashp.org/governors-prioritize-health-for-all/" TargetMode="External"/><Relationship Id="rId509" Type="http://schemas.openxmlformats.org/officeDocument/2006/relationships/hyperlink" Target="https://www.nashp.org/governors-prioritize-health-for-all/" TargetMode="External"/><Relationship Id="rId508" Type="http://schemas.openxmlformats.org/officeDocument/2006/relationships/hyperlink" Target="https://www.nashp.org/2020-state-reopening-chart/" TargetMode="External"/><Relationship Id="rId503" Type="http://schemas.openxmlformats.org/officeDocument/2006/relationships/hyperlink" Target="https://www.nashp.org/2020-state-reopening-chart/" TargetMode="External"/><Relationship Id="rId745" Type="http://schemas.openxmlformats.org/officeDocument/2006/relationships/hyperlink" Target="https://www.nashp.org/2020-state-reopening-chart/" TargetMode="External"/><Relationship Id="rId987" Type="http://schemas.openxmlformats.org/officeDocument/2006/relationships/hyperlink" Target="https://www.nashp.org/governors-prioritize-health-for-all/" TargetMode="External"/><Relationship Id="rId502" Type="http://schemas.openxmlformats.org/officeDocument/2006/relationships/hyperlink" Target="https://www.businessinsider.com/california-washington-state-of-emergency-coronavirus-what-it-means-2020-3" TargetMode="External"/><Relationship Id="rId744" Type="http://schemas.openxmlformats.org/officeDocument/2006/relationships/hyperlink" Target="https://www.nashp.org/2020-state-reopening-chart/" TargetMode="External"/><Relationship Id="rId986" Type="http://schemas.openxmlformats.org/officeDocument/2006/relationships/hyperlink" Target="https://www.nashp.org/governors-prioritize-health-for-all/" TargetMode="External"/><Relationship Id="rId501" Type="http://schemas.openxmlformats.org/officeDocument/2006/relationships/hyperlink" Target="https://www.nashp.org/governors-prioritize-health-for-all/" TargetMode="External"/><Relationship Id="rId743" Type="http://schemas.openxmlformats.org/officeDocument/2006/relationships/hyperlink" Target="https://www.nashp.org/2020-state-reopening-chart/" TargetMode="External"/><Relationship Id="rId985" Type="http://schemas.openxmlformats.org/officeDocument/2006/relationships/hyperlink" Target="https://www.nashp.org/governors-prioritize-health-for-all/" TargetMode="External"/><Relationship Id="rId500" Type="http://schemas.openxmlformats.org/officeDocument/2006/relationships/hyperlink" Target="https://www.nashp.org/governors-prioritize-health-for-all/" TargetMode="External"/><Relationship Id="rId742" Type="http://schemas.openxmlformats.org/officeDocument/2006/relationships/hyperlink" Target="https://www.nashp.org/2020-state-reopening-chart/" TargetMode="External"/><Relationship Id="rId984" Type="http://schemas.openxmlformats.org/officeDocument/2006/relationships/hyperlink" Target="https://www.nashp.org/governors-prioritize-health-for-all/" TargetMode="External"/><Relationship Id="rId507" Type="http://schemas.openxmlformats.org/officeDocument/2006/relationships/hyperlink" Target="https://www.nashp.org/2020-state-reopening-chart/" TargetMode="External"/><Relationship Id="rId749" Type="http://schemas.openxmlformats.org/officeDocument/2006/relationships/hyperlink" Target="https://www.nashp.org/governors-prioritize-health-for-all/" TargetMode="External"/><Relationship Id="rId506" Type="http://schemas.openxmlformats.org/officeDocument/2006/relationships/hyperlink" Target="https://www.nashp.org/2020-state-reopening-chart/" TargetMode="External"/><Relationship Id="rId748" Type="http://schemas.openxmlformats.org/officeDocument/2006/relationships/hyperlink" Target="https://www.nashp.org/governors-prioritize-health-for-all/" TargetMode="External"/><Relationship Id="rId505" Type="http://schemas.openxmlformats.org/officeDocument/2006/relationships/hyperlink" Target="https://www.nashp.org/2020-state-reopening-chart/" TargetMode="External"/><Relationship Id="rId747" Type="http://schemas.openxmlformats.org/officeDocument/2006/relationships/hyperlink" Target="https://www.nashp.org/governors-prioritize-health-for-all/" TargetMode="External"/><Relationship Id="rId989" Type="http://schemas.openxmlformats.org/officeDocument/2006/relationships/hyperlink" Target="https://www.nashp.org/governors-prioritize-health-for-all/" TargetMode="External"/><Relationship Id="rId504" Type="http://schemas.openxmlformats.org/officeDocument/2006/relationships/hyperlink" Target="https://www.nashp.org/2020-state-reopening-chart/" TargetMode="External"/><Relationship Id="rId746" Type="http://schemas.openxmlformats.org/officeDocument/2006/relationships/hyperlink" Target="https://www.nashp.org/2020-state-reopening-chart/" TargetMode="External"/><Relationship Id="rId988" Type="http://schemas.openxmlformats.org/officeDocument/2006/relationships/hyperlink" Target="https://www.nashp.org/governors-prioritize-health-for-all/" TargetMode="External"/><Relationship Id="rId48" Type="http://schemas.openxmlformats.org/officeDocument/2006/relationships/hyperlink" Target="https://www.nashp.org/governors-prioritize-health-for-all/" TargetMode="External"/><Relationship Id="rId47" Type="http://schemas.openxmlformats.org/officeDocument/2006/relationships/hyperlink" Target="https://www.nashp.org/governors-prioritize-health-for-all/" TargetMode="External"/><Relationship Id="rId49" Type="http://schemas.openxmlformats.org/officeDocument/2006/relationships/hyperlink" Target="https://www.nashp.org/governors-prioritize-health-for-all/" TargetMode="External"/><Relationship Id="rId741" Type="http://schemas.openxmlformats.org/officeDocument/2006/relationships/hyperlink" Target="https://www.nashp.org/2020-state-reopening-chart/" TargetMode="External"/><Relationship Id="rId983" Type="http://schemas.openxmlformats.org/officeDocument/2006/relationships/hyperlink" Target="https://www.nashp.org/governors-prioritize-health-for-all/" TargetMode="External"/><Relationship Id="rId740" Type="http://schemas.openxmlformats.org/officeDocument/2006/relationships/hyperlink" Target="https://www.nashp.org/2020-state-reopening-chart/" TargetMode="External"/><Relationship Id="rId982" Type="http://schemas.openxmlformats.org/officeDocument/2006/relationships/hyperlink" Target="https://www.nashp.org/governors-prioritize-health-for-all/" TargetMode="External"/><Relationship Id="rId981" Type="http://schemas.openxmlformats.org/officeDocument/2006/relationships/hyperlink" Target="https://www.nashp.org/governors-prioritize-health-for-all/" TargetMode="External"/><Relationship Id="rId980" Type="http://schemas.openxmlformats.org/officeDocument/2006/relationships/hyperlink" Target="https://www.nashp.org/governors-prioritize-health-for-all/" TargetMode="External"/><Relationship Id="rId31" Type="http://schemas.openxmlformats.org/officeDocument/2006/relationships/hyperlink" Target="https://www.nashp.org/governors-prioritize-health-for-all/" TargetMode="External"/><Relationship Id="rId30" Type="http://schemas.openxmlformats.org/officeDocument/2006/relationships/hyperlink" Target="https://www.nashp.org/2020-state-reopening-chart/" TargetMode="External"/><Relationship Id="rId33" Type="http://schemas.openxmlformats.org/officeDocument/2006/relationships/hyperlink" Target="https://www.nashp.org/2020-state-reopening-chart/" TargetMode="External"/><Relationship Id="rId32" Type="http://schemas.openxmlformats.org/officeDocument/2006/relationships/hyperlink" Target="https://www.nashp.org/2020-state-reopening-chart/" TargetMode="External"/><Relationship Id="rId35" Type="http://schemas.openxmlformats.org/officeDocument/2006/relationships/hyperlink" Target="https://www.nashp.org/2020-state-reopening-chart/" TargetMode="External"/><Relationship Id="rId34" Type="http://schemas.openxmlformats.org/officeDocument/2006/relationships/hyperlink" Target="https://www.nashp.org/2020-state-reopening-chart/" TargetMode="External"/><Relationship Id="rId739" Type="http://schemas.openxmlformats.org/officeDocument/2006/relationships/hyperlink" Target="https://www.cnn.com/2020/06/19/us/states-face-mask-coronavirus-trnd/index.html" TargetMode="External"/><Relationship Id="rId734" Type="http://schemas.openxmlformats.org/officeDocument/2006/relationships/hyperlink" Target="https://www.nashp.org/2020-state-reopening-chart/" TargetMode="External"/><Relationship Id="rId976" Type="http://schemas.openxmlformats.org/officeDocument/2006/relationships/hyperlink" Target="https://www.nashp.org/governors-prioritize-health-for-all/" TargetMode="External"/><Relationship Id="rId733" Type="http://schemas.openxmlformats.org/officeDocument/2006/relationships/hyperlink" Target="https://www.nashp.org/2020-state-reopening-chart/" TargetMode="External"/><Relationship Id="rId975" Type="http://schemas.openxmlformats.org/officeDocument/2006/relationships/hyperlink" Target="https://www.nashp.org/2020-state-reopening-chart/" TargetMode="External"/><Relationship Id="rId732" Type="http://schemas.openxmlformats.org/officeDocument/2006/relationships/hyperlink" Target="https://www.businessinsider.com/california-washington-state-of-emergency-coronavirus-what-it-means-2020-3" TargetMode="External"/><Relationship Id="rId974" Type="http://schemas.openxmlformats.org/officeDocument/2006/relationships/hyperlink" Target="https://www.nashp.org/2020-state-reopening-chart/" TargetMode="External"/><Relationship Id="rId731" Type="http://schemas.openxmlformats.org/officeDocument/2006/relationships/hyperlink" Target="https://www.nashp.org/governors-prioritize-health-for-all/" TargetMode="External"/><Relationship Id="rId973" Type="http://schemas.openxmlformats.org/officeDocument/2006/relationships/hyperlink" Target="https://www.nashp.org/2020-state-reopening-chart/" TargetMode="External"/><Relationship Id="rId738" Type="http://schemas.openxmlformats.org/officeDocument/2006/relationships/hyperlink" Target="https://www.nashp.org/2020-state-reopening-chart/" TargetMode="External"/><Relationship Id="rId737" Type="http://schemas.openxmlformats.org/officeDocument/2006/relationships/hyperlink" Target="https://www.nashp.org/2020-state-reopening-chart/" TargetMode="External"/><Relationship Id="rId979" Type="http://schemas.openxmlformats.org/officeDocument/2006/relationships/hyperlink" Target="https://www.nashp.org/governors-prioritize-health-for-all/" TargetMode="External"/><Relationship Id="rId736" Type="http://schemas.openxmlformats.org/officeDocument/2006/relationships/hyperlink" Target="https://www.nashp.org/2020-state-reopening-chart/" TargetMode="External"/><Relationship Id="rId978" Type="http://schemas.openxmlformats.org/officeDocument/2006/relationships/hyperlink" Target="https://www.nashp.org/governors-prioritize-health-for-all/" TargetMode="External"/><Relationship Id="rId735" Type="http://schemas.openxmlformats.org/officeDocument/2006/relationships/hyperlink" Target="https://www.nashp.org/2020-state-reopening-chart/" TargetMode="External"/><Relationship Id="rId977" Type="http://schemas.openxmlformats.org/officeDocument/2006/relationships/hyperlink" Target="https://www.nashp.org/governors-prioritize-health-for-all/" TargetMode="External"/><Relationship Id="rId37" Type="http://schemas.openxmlformats.org/officeDocument/2006/relationships/hyperlink" Target="https://www.businessinsider.com/california-washington-state-of-emergency-coronavirus-what-it-means-2020-3" TargetMode="External"/><Relationship Id="rId36" Type="http://schemas.openxmlformats.org/officeDocument/2006/relationships/hyperlink" Target="https://www.nashp.org/2020-state-reopening-chart/" TargetMode="External"/><Relationship Id="rId39" Type="http://schemas.openxmlformats.org/officeDocument/2006/relationships/hyperlink" Target="https://www.nashp.org/2020-state-reopening-chart/" TargetMode="External"/><Relationship Id="rId38" Type="http://schemas.openxmlformats.org/officeDocument/2006/relationships/hyperlink" Target="https://www.nashp.org/2020-state-reopening-chart/" TargetMode="External"/><Relationship Id="rId730" Type="http://schemas.openxmlformats.org/officeDocument/2006/relationships/hyperlink" Target="https://www.nashp.org/governors-prioritize-health-for-all/" TargetMode="External"/><Relationship Id="rId972" Type="http://schemas.openxmlformats.org/officeDocument/2006/relationships/hyperlink" Target="https://www.nashp.org/2020-state-reopening-chart/" TargetMode="External"/><Relationship Id="rId971" Type="http://schemas.openxmlformats.org/officeDocument/2006/relationships/hyperlink" Target="https://www.nashp.org/2020-state-reopening-chart/" TargetMode="External"/><Relationship Id="rId970" Type="http://schemas.openxmlformats.org/officeDocument/2006/relationships/hyperlink" Target="https://www.nashp.org/2020-state-reopening-chart/" TargetMode="External"/><Relationship Id="rId20" Type="http://schemas.openxmlformats.org/officeDocument/2006/relationships/hyperlink" Target="https://www.nashp.org/2020-state-reopening-chart/" TargetMode="External"/><Relationship Id="rId22" Type="http://schemas.openxmlformats.org/officeDocument/2006/relationships/hyperlink" Target="https://www.nashp.org/2020-state-reopening-chart/" TargetMode="External"/><Relationship Id="rId21" Type="http://schemas.openxmlformats.org/officeDocument/2006/relationships/hyperlink" Target="https://www.nashp.org/2020-state-reopening-chart/" TargetMode="External"/><Relationship Id="rId24" Type="http://schemas.openxmlformats.org/officeDocument/2006/relationships/hyperlink" Target="https://www.nashp.org/governors-prioritize-health-for-all/" TargetMode="External"/><Relationship Id="rId23" Type="http://schemas.openxmlformats.org/officeDocument/2006/relationships/hyperlink" Target="https://www.nashp.org/governors-prioritize-health-for-all/" TargetMode="External"/><Relationship Id="rId525" Type="http://schemas.openxmlformats.org/officeDocument/2006/relationships/hyperlink" Target="https://www.nashp.org/2020-state-reopening-chart/" TargetMode="External"/><Relationship Id="rId767" Type="http://schemas.openxmlformats.org/officeDocument/2006/relationships/hyperlink" Target="https://www.nashp.org/governors-prioritize-health-for-all/" TargetMode="External"/><Relationship Id="rId524" Type="http://schemas.openxmlformats.org/officeDocument/2006/relationships/hyperlink" Target="https://www.nashp.org/2020-state-reopening-chart/" TargetMode="External"/><Relationship Id="rId766" Type="http://schemas.openxmlformats.org/officeDocument/2006/relationships/hyperlink" Target="https://www.nashp.org/governors-prioritize-health-for-all/" TargetMode="External"/><Relationship Id="rId523" Type="http://schemas.openxmlformats.org/officeDocument/2006/relationships/hyperlink" Target="https://www.businessinsider.com/california-washington-state-of-emergency-coronavirus-what-it-means-2020-3" TargetMode="External"/><Relationship Id="rId765" Type="http://schemas.openxmlformats.org/officeDocument/2006/relationships/hyperlink" Target="https://www.nashp.org/governors-prioritize-health-for-all/" TargetMode="External"/><Relationship Id="rId522" Type="http://schemas.openxmlformats.org/officeDocument/2006/relationships/hyperlink" Target="https://www.nashp.org/governors-prioritize-health-for-all/" TargetMode="External"/><Relationship Id="rId764" Type="http://schemas.openxmlformats.org/officeDocument/2006/relationships/hyperlink" Target="https://www.nashp.org/2020-state-reopening-chart/" TargetMode="External"/><Relationship Id="rId529" Type="http://schemas.openxmlformats.org/officeDocument/2006/relationships/hyperlink" Target="https://www.nashp.org/2020-state-reopening-chart/" TargetMode="External"/><Relationship Id="rId528" Type="http://schemas.openxmlformats.org/officeDocument/2006/relationships/hyperlink" Target="https://www.nashp.org/2020-state-reopening-chart/" TargetMode="External"/><Relationship Id="rId527" Type="http://schemas.openxmlformats.org/officeDocument/2006/relationships/hyperlink" Target="https://www.nashp.org/2020-state-reopening-chart/" TargetMode="External"/><Relationship Id="rId769" Type="http://schemas.openxmlformats.org/officeDocument/2006/relationships/hyperlink" Target="https://www.nashp.org/2020-state-reopening-chart/" TargetMode="External"/><Relationship Id="rId526" Type="http://schemas.openxmlformats.org/officeDocument/2006/relationships/hyperlink" Target="https://www.nashp.org/2020-state-reopening-chart/" TargetMode="External"/><Relationship Id="rId768" Type="http://schemas.openxmlformats.org/officeDocument/2006/relationships/hyperlink" Target="https://www.businessinsider.com/california-washington-state-of-emergency-coronavirus-what-it-means-2020-3" TargetMode="External"/><Relationship Id="rId26" Type="http://schemas.openxmlformats.org/officeDocument/2006/relationships/hyperlink" Target="https://www.azcentral.com/story/news/politics/arizona/2020/03/11/ducey-declares-health-emergency-arizona-new-coronavirus/5025505002/" TargetMode="External"/><Relationship Id="rId25" Type="http://schemas.openxmlformats.org/officeDocument/2006/relationships/hyperlink" Target="https://www.nashp.org/2020-state-reopening-chart/" TargetMode="External"/><Relationship Id="rId28" Type="http://schemas.openxmlformats.org/officeDocument/2006/relationships/hyperlink" Target="https://www.nashp.org/governors-prioritize-health-for-all/" TargetMode="External"/><Relationship Id="rId27" Type="http://schemas.openxmlformats.org/officeDocument/2006/relationships/hyperlink" Target="https://www.nashp.org/governors-prioritize-health-for-all/" TargetMode="External"/><Relationship Id="rId521" Type="http://schemas.openxmlformats.org/officeDocument/2006/relationships/hyperlink" Target="https://www.nashp.org/governors-prioritize-health-for-all/" TargetMode="External"/><Relationship Id="rId763" Type="http://schemas.openxmlformats.org/officeDocument/2006/relationships/hyperlink" Target="https://www.nashp.org/2020-state-reopening-chart/" TargetMode="External"/><Relationship Id="rId29" Type="http://schemas.openxmlformats.org/officeDocument/2006/relationships/hyperlink" Target="https://www.nashp.org/governors-prioritize-health-for-all/" TargetMode="External"/><Relationship Id="rId520" Type="http://schemas.openxmlformats.org/officeDocument/2006/relationships/hyperlink" Target="https://www.nashp.org/governors-prioritize-health-for-all/" TargetMode="External"/><Relationship Id="rId762" Type="http://schemas.openxmlformats.org/officeDocument/2006/relationships/hyperlink" Target="https://www.nashp.org/2020-state-reopening-chart/" TargetMode="External"/><Relationship Id="rId761" Type="http://schemas.openxmlformats.org/officeDocument/2006/relationships/hyperlink" Target="https://www.nashp.org/2020-state-reopening-chart/" TargetMode="External"/><Relationship Id="rId760" Type="http://schemas.openxmlformats.org/officeDocument/2006/relationships/hyperlink" Target="https://www.nashp.org/2020-state-reopening-chart/" TargetMode="External"/><Relationship Id="rId11" Type="http://schemas.openxmlformats.org/officeDocument/2006/relationships/hyperlink" Target="https://www.nashp.org/2020-state-reopening-chart/" TargetMode="External"/><Relationship Id="rId10" Type="http://schemas.openxmlformats.org/officeDocument/2006/relationships/hyperlink" Target="https://www.nashp.org/2020-state-reopening-chart/" TargetMode="External"/><Relationship Id="rId13" Type="http://schemas.openxmlformats.org/officeDocument/2006/relationships/hyperlink" Target="https://www.nashp.org/2021-covid-19-state-restrictions-re-openings-and-mask-requirements/" TargetMode="External"/><Relationship Id="rId12" Type="http://schemas.openxmlformats.org/officeDocument/2006/relationships/hyperlink" Target="https://www.nashp.org/2020-state-reopening-chart/" TargetMode="External"/><Relationship Id="rId519" Type="http://schemas.openxmlformats.org/officeDocument/2006/relationships/hyperlink" Target="https://www.nashp.org/2020-state-reopening-chart/" TargetMode="External"/><Relationship Id="rId514" Type="http://schemas.openxmlformats.org/officeDocument/2006/relationships/hyperlink" Target="https://www.nashp.org/2020-state-reopening-chart/" TargetMode="External"/><Relationship Id="rId756" Type="http://schemas.openxmlformats.org/officeDocument/2006/relationships/hyperlink" Target="https://okcfox.com/news/local/governor-stitt-declares-state-of-emergency-in-oklahoma" TargetMode="External"/><Relationship Id="rId998" Type="http://schemas.openxmlformats.org/officeDocument/2006/relationships/hyperlink" Target="https://www.nashp.org/governors-prioritize-health-for-all/" TargetMode="External"/><Relationship Id="rId513" Type="http://schemas.openxmlformats.org/officeDocument/2006/relationships/hyperlink" Target="https://www.businessinsider.com/california-washington-state-of-emergency-coronavirus-what-it-means-2020-3" TargetMode="External"/><Relationship Id="rId755" Type="http://schemas.openxmlformats.org/officeDocument/2006/relationships/hyperlink" Target="https://www.nashp.org/governors-prioritize-health-for-all/" TargetMode="External"/><Relationship Id="rId997" Type="http://schemas.openxmlformats.org/officeDocument/2006/relationships/hyperlink" Target="https://www.nashp.org/2020-state-reopening-chart/" TargetMode="External"/><Relationship Id="rId512" Type="http://schemas.openxmlformats.org/officeDocument/2006/relationships/hyperlink" Target="https://www.nashp.org/governors-prioritize-health-for-all/" TargetMode="External"/><Relationship Id="rId754" Type="http://schemas.openxmlformats.org/officeDocument/2006/relationships/hyperlink" Target="https://www.nashp.org/governors-prioritize-health-for-all/" TargetMode="External"/><Relationship Id="rId996" Type="http://schemas.openxmlformats.org/officeDocument/2006/relationships/hyperlink" Target="https://www.nashp.org/2020-state-reopening-chart/" TargetMode="External"/><Relationship Id="rId511" Type="http://schemas.openxmlformats.org/officeDocument/2006/relationships/hyperlink" Target="https://www.nashp.org/governors-prioritize-health-for-all/" TargetMode="External"/><Relationship Id="rId753" Type="http://schemas.openxmlformats.org/officeDocument/2006/relationships/hyperlink" Target="https://www.nashp.org/governors-prioritize-health-for-all/" TargetMode="External"/><Relationship Id="rId995" Type="http://schemas.openxmlformats.org/officeDocument/2006/relationships/hyperlink" Target="https://www.cnn.com/2020/06/19/us/states-face-mask-coronavirus-trnd/index.html" TargetMode="External"/><Relationship Id="rId518" Type="http://schemas.openxmlformats.org/officeDocument/2006/relationships/hyperlink" Target="https://www.cnn.com/2020/06/19/us/states-face-mask-coronavirus-trnd/index.html" TargetMode="External"/><Relationship Id="rId517" Type="http://schemas.openxmlformats.org/officeDocument/2006/relationships/hyperlink" Target="https://www.nashp.org/2020-state-reopening-chart/" TargetMode="External"/><Relationship Id="rId759" Type="http://schemas.openxmlformats.org/officeDocument/2006/relationships/hyperlink" Target="https://www.nashp.org/2020-state-reopening-chart/" TargetMode="External"/><Relationship Id="rId516" Type="http://schemas.openxmlformats.org/officeDocument/2006/relationships/hyperlink" Target="https://www.nashp.org/2020-state-reopening-chart/" TargetMode="External"/><Relationship Id="rId758" Type="http://schemas.openxmlformats.org/officeDocument/2006/relationships/hyperlink" Target="https://www.nashp.org/2020-state-reopening-chart/" TargetMode="External"/><Relationship Id="rId515" Type="http://schemas.openxmlformats.org/officeDocument/2006/relationships/hyperlink" Target="https://www.nashp.org/2020-state-reopening-chart/" TargetMode="External"/><Relationship Id="rId757" Type="http://schemas.openxmlformats.org/officeDocument/2006/relationships/hyperlink" Target="https://www.nashp.org/2020-state-reopening-chart/" TargetMode="External"/><Relationship Id="rId999" Type="http://schemas.openxmlformats.org/officeDocument/2006/relationships/hyperlink" Target="https://www.nashp.org/governors-prioritize-health-for-all/" TargetMode="External"/><Relationship Id="rId15" Type="http://schemas.openxmlformats.org/officeDocument/2006/relationships/hyperlink" Target="https://www.nashp.org/governors-prioritize-health-for-all/" TargetMode="External"/><Relationship Id="rId990" Type="http://schemas.openxmlformats.org/officeDocument/2006/relationships/hyperlink" Target="https://www.nashp.org/governors-prioritize-health-for-all/" TargetMode="External"/><Relationship Id="rId14" Type="http://schemas.openxmlformats.org/officeDocument/2006/relationships/hyperlink" Target="https://www.nashp.org/governors-prioritize-health-for-all/" TargetMode="External"/><Relationship Id="rId17" Type="http://schemas.openxmlformats.org/officeDocument/2006/relationships/hyperlink" Target="https://www.nashp.org/governors-prioritize-health-for-all/" TargetMode="External"/><Relationship Id="rId16" Type="http://schemas.openxmlformats.org/officeDocument/2006/relationships/hyperlink" Target="https://www.nashp.org/governors-prioritize-health-for-all/" TargetMode="External"/><Relationship Id="rId19" Type="http://schemas.openxmlformats.org/officeDocument/2006/relationships/hyperlink" Target="https://www.nashp.org/governors-prioritize-health-for-all/" TargetMode="External"/><Relationship Id="rId510" Type="http://schemas.openxmlformats.org/officeDocument/2006/relationships/hyperlink" Target="https://www.nashp.org/governors-prioritize-health-for-all/" TargetMode="External"/><Relationship Id="rId752" Type="http://schemas.openxmlformats.org/officeDocument/2006/relationships/hyperlink" Target="https://www.nashp.org/governors-prioritize-health-for-all/" TargetMode="External"/><Relationship Id="rId994" Type="http://schemas.openxmlformats.org/officeDocument/2006/relationships/hyperlink" Target="https://www.nashp.org/2020-state-reopening-chart/" TargetMode="External"/><Relationship Id="rId18" Type="http://schemas.openxmlformats.org/officeDocument/2006/relationships/hyperlink" Target="https://www.nashp.org/governors-prioritize-health-for-all/" TargetMode="External"/><Relationship Id="rId751" Type="http://schemas.openxmlformats.org/officeDocument/2006/relationships/hyperlink" Target="https://www.nashp.org/governors-prioritize-health-for-all/" TargetMode="External"/><Relationship Id="rId993" Type="http://schemas.openxmlformats.org/officeDocument/2006/relationships/hyperlink" Target="https://www.nashp.org/2020-state-reopening-chart/" TargetMode="External"/><Relationship Id="rId750" Type="http://schemas.openxmlformats.org/officeDocument/2006/relationships/hyperlink" Target="https://www.nashp.org/governors-prioritize-health-for-all/" TargetMode="External"/><Relationship Id="rId992" Type="http://schemas.openxmlformats.org/officeDocument/2006/relationships/hyperlink" Target="https://www.nashp.org/2020-state-reopening-chart/" TargetMode="External"/><Relationship Id="rId991" Type="http://schemas.openxmlformats.org/officeDocument/2006/relationships/hyperlink" Target="https://www.wdtv.com/content/news/West-Virginia-governor-declares-emergency-as-virus-threatens-568840751.html" TargetMode="External"/><Relationship Id="rId84" Type="http://schemas.openxmlformats.org/officeDocument/2006/relationships/hyperlink" Target="https://www.nashp.org/2020-state-reopening-chart/" TargetMode="External"/><Relationship Id="rId83" Type="http://schemas.openxmlformats.org/officeDocument/2006/relationships/hyperlink" Target="https://www.nashp.org/2020-state-reopening-chart/" TargetMode="External"/><Relationship Id="rId86" Type="http://schemas.openxmlformats.org/officeDocument/2006/relationships/hyperlink" Target="https://www.nashp.org/2020-state-reopening-chart/" TargetMode="External"/><Relationship Id="rId85" Type="http://schemas.openxmlformats.org/officeDocument/2006/relationships/hyperlink" Target="https://www.nashp.org/2020-state-reopening-chart/" TargetMode="External"/><Relationship Id="rId88" Type="http://schemas.openxmlformats.org/officeDocument/2006/relationships/hyperlink" Target="https://www.nashp.org/2020-state-reopening-chart/" TargetMode="External"/><Relationship Id="rId87" Type="http://schemas.openxmlformats.org/officeDocument/2006/relationships/hyperlink" Target="https://www.cnn.com/2020/06/19/us/states-face-mask-coronavirus-trnd/index.html" TargetMode="External"/><Relationship Id="rId89" Type="http://schemas.openxmlformats.org/officeDocument/2006/relationships/hyperlink" Target="https://www.nashp.org/2020-state-reopening-chart/" TargetMode="External"/><Relationship Id="rId709" Type="http://schemas.openxmlformats.org/officeDocument/2006/relationships/hyperlink" Target="https://www.nashp.org/governors-prioritize-health-for-all/" TargetMode="External"/><Relationship Id="rId708" Type="http://schemas.openxmlformats.org/officeDocument/2006/relationships/hyperlink" Target="https://www.nashp.org/governors-prioritize-health-for-all/" TargetMode="External"/><Relationship Id="rId707" Type="http://schemas.openxmlformats.org/officeDocument/2006/relationships/hyperlink" Target="https://www.nashp.org/governors-prioritize-health-for-all/" TargetMode="External"/><Relationship Id="rId949" Type="http://schemas.openxmlformats.org/officeDocument/2006/relationships/hyperlink" Target="https://www.nashp.org/2020-state-reopening-chart/" TargetMode="External"/><Relationship Id="rId706" Type="http://schemas.openxmlformats.org/officeDocument/2006/relationships/hyperlink" Target="https://www.nashp.org/governors-prioritize-health-for-all/" TargetMode="External"/><Relationship Id="rId948" Type="http://schemas.openxmlformats.org/officeDocument/2006/relationships/hyperlink" Target="https://www.nashp.org/2020-state-reopening-chart/" TargetMode="External"/><Relationship Id="rId80" Type="http://schemas.openxmlformats.org/officeDocument/2006/relationships/hyperlink" Target="https://www.nashp.org/governors-prioritize-health-for-all/" TargetMode="External"/><Relationship Id="rId82" Type="http://schemas.openxmlformats.org/officeDocument/2006/relationships/hyperlink" Target="https://www.businessinsider.com/california-washington-state-of-emergency-coronavirus-what-it-means-2020-3" TargetMode="External"/><Relationship Id="rId81" Type="http://schemas.openxmlformats.org/officeDocument/2006/relationships/hyperlink" Target="https://www.nashp.org/governors-prioritize-health-for-all/" TargetMode="External"/><Relationship Id="rId701" Type="http://schemas.openxmlformats.org/officeDocument/2006/relationships/hyperlink" Target="https://www.nashp.org/2020-state-reopening-chart/" TargetMode="External"/><Relationship Id="rId943" Type="http://schemas.openxmlformats.org/officeDocument/2006/relationships/hyperlink" Target="https://www.nashp.org/2020-state-reopening-chart/" TargetMode="External"/><Relationship Id="rId700" Type="http://schemas.openxmlformats.org/officeDocument/2006/relationships/hyperlink" Target="https://www.nashp.org/2020-state-reopening-chart/" TargetMode="External"/><Relationship Id="rId942" Type="http://schemas.openxmlformats.org/officeDocument/2006/relationships/hyperlink" Target="https://www.nashp.org/2020-state-reopening-chart/" TargetMode="External"/><Relationship Id="rId941" Type="http://schemas.openxmlformats.org/officeDocument/2006/relationships/hyperlink" Target="https://www.nashp.org/2020-state-reopening-chart/" TargetMode="External"/><Relationship Id="rId940" Type="http://schemas.openxmlformats.org/officeDocument/2006/relationships/hyperlink" Target="https://www.cnn.com/2020/06/19/us/states-face-mask-coronavirus-trnd/index.html" TargetMode="External"/><Relationship Id="rId705" Type="http://schemas.openxmlformats.org/officeDocument/2006/relationships/hyperlink" Target="https://www.nashp.org/2020-state-reopening-chart/" TargetMode="External"/><Relationship Id="rId947" Type="http://schemas.openxmlformats.org/officeDocument/2006/relationships/hyperlink" Target="https://www.nashp.org/2020-state-reopening-chart/" TargetMode="External"/><Relationship Id="rId704" Type="http://schemas.openxmlformats.org/officeDocument/2006/relationships/hyperlink" Target="https://www.nashp.org/2020-state-reopening-chart/" TargetMode="External"/><Relationship Id="rId946" Type="http://schemas.openxmlformats.org/officeDocument/2006/relationships/hyperlink" Target="https://www.nashp.org/2020-state-reopening-chart/" TargetMode="External"/><Relationship Id="rId703" Type="http://schemas.openxmlformats.org/officeDocument/2006/relationships/hyperlink" Target="https://www.nashp.org/2020-state-reopening-chart/" TargetMode="External"/><Relationship Id="rId945" Type="http://schemas.openxmlformats.org/officeDocument/2006/relationships/hyperlink" Target="https://www.nashp.org/2020-state-reopening-chart/" TargetMode="External"/><Relationship Id="rId702" Type="http://schemas.openxmlformats.org/officeDocument/2006/relationships/hyperlink" Target="https://www.nashp.org/2020-state-reopening-chart/" TargetMode="External"/><Relationship Id="rId944" Type="http://schemas.openxmlformats.org/officeDocument/2006/relationships/hyperlink" Target="https://www.nashp.org/2020-state-reopening-chart/" TargetMode="External"/><Relationship Id="rId73" Type="http://schemas.openxmlformats.org/officeDocument/2006/relationships/hyperlink" Target="https://www.nashp.org/governors-prioritize-health-for-all/" TargetMode="External"/><Relationship Id="rId72" Type="http://schemas.openxmlformats.org/officeDocument/2006/relationships/hyperlink" Target="https://www.nashp.org/governors-prioritize-health-for-all/" TargetMode="External"/><Relationship Id="rId75" Type="http://schemas.openxmlformats.org/officeDocument/2006/relationships/hyperlink" Target="https://www.nashp.org/governors-prioritize-health-for-all/" TargetMode="External"/><Relationship Id="rId74" Type="http://schemas.openxmlformats.org/officeDocument/2006/relationships/hyperlink" Target="https://www.nashp.org/governors-prioritize-health-for-all/" TargetMode="External"/><Relationship Id="rId77" Type="http://schemas.openxmlformats.org/officeDocument/2006/relationships/hyperlink" Target="https://www.nashp.org/governors-prioritize-health-for-all/" TargetMode="External"/><Relationship Id="rId76" Type="http://schemas.openxmlformats.org/officeDocument/2006/relationships/hyperlink" Target="https://www.nashp.org/governors-prioritize-health-for-all/" TargetMode="External"/><Relationship Id="rId79" Type="http://schemas.openxmlformats.org/officeDocument/2006/relationships/hyperlink" Target="https://www.nashp.org/governors-prioritize-health-for-all/" TargetMode="External"/><Relationship Id="rId78" Type="http://schemas.openxmlformats.org/officeDocument/2006/relationships/hyperlink" Target="https://www.nashp.org/governors-prioritize-health-for-all/" TargetMode="External"/><Relationship Id="rId939" Type="http://schemas.openxmlformats.org/officeDocument/2006/relationships/hyperlink" Target="https://www.nashp.org/2020-state-reopening-chart/" TargetMode="External"/><Relationship Id="rId938" Type="http://schemas.openxmlformats.org/officeDocument/2006/relationships/hyperlink" Target="https://www.businessinsider.com/california-washington-state-of-emergency-coronavirus-what-it-means-2020-3" TargetMode="External"/><Relationship Id="rId937" Type="http://schemas.openxmlformats.org/officeDocument/2006/relationships/hyperlink" Target="https://www.nashp.org/governors-prioritize-health-for-all/" TargetMode="External"/><Relationship Id="rId71" Type="http://schemas.openxmlformats.org/officeDocument/2006/relationships/hyperlink" Target="https://www.nashp.org/governors-prioritize-health-for-all/" TargetMode="External"/><Relationship Id="rId70" Type="http://schemas.openxmlformats.org/officeDocument/2006/relationships/hyperlink" Target="https://www.nashp.org/2020-state-reopening-chart/" TargetMode="External"/><Relationship Id="rId932" Type="http://schemas.openxmlformats.org/officeDocument/2006/relationships/hyperlink" Target="https://www.nashp.org/governors-prioritize-health-for-all/" TargetMode="External"/><Relationship Id="rId931" Type="http://schemas.openxmlformats.org/officeDocument/2006/relationships/hyperlink" Target="https://www.nashp.org/governors-prioritize-health-for-all/" TargetMode="External"/><Relationship Id="rId930" Type="http://schemas.openxmlformats.org/officeDocument/2006/relationships/hyperlink" Target="https://www.nashp.org/governors-prioritize-health-for-all/" TargetMode="External"/><Relationship Id="rId936" Type="http://schemas.openxmlformats.org/officeDocument/2006/relationships/hyperlink" Target="https://www.nashp.org/governors-prioritize-health-for-all/" TargetMode="External"/><Relationship Id="rId935" Type="http://schemas.openxmlformats.org/officeDocument/2006/relationships/hyperlink" Target="https://www.nashp.org/governors-prioritize-health-for-all/" TargetMode="External"/><Relationship Id="rId934" Type="http://schemas.openxmlformats.org/officeDocument/2006/relationships/hyperlink" Target="https://www.nashp.org/governors-prioritize-health-for-all/" TargetMode="External"/><Relationship Id="rId933" Type="http://schemas.openxmlformats.org/officeDocument/2006/relationships/hyperlink" Target="https://www.nashp.org/governors-prioritize-health-for-all/" TargetMode="External"/><Relationship Id="rId62" Type="http://schemas.openxmlformats.org/officeDocument/2006/relationships/hyperlink" Target="https://www.nashp.org/2020-state-reopening-chart/" TargetMode="External"/><Relationship Id="rId61" Type="http://schemas.openxmlformats.org/officeDocument/2006/relationships/hyperlink" Target="https://www.nashp.org/2020-state-reopening-chart/" TargetMode="External"/><Relationship Id="rId64" Type="http://schemas.openxmlformats.org/officeDocument/2006/relationships/hyperlink" Target="https://www.nashp.org/2020-state-reopening-chart/" TargetMode="External"/><Relationship Id="rId63" Type="http://schemas.openxmlformats.org/officeDocument/2006/relationships/hyperlink" Target="https://www.nashp.org/2020-state-reopening-chart/" TargetMode="External"/><Relationship Id="rId66" Type="http://schemas.openxmlformats.org/officeDocument/2006/relationships/hyperlink" Target="https://www.nashp.org/2020-state-reopening-chart/" TargetMode="External"/><Relationship Id="rId65" Type="http://schemas.openxmlformats.org/officeDocument/2006/relationships/hyperlink" Target="https://www.nashp.org/2020-state-reopening-chart/" TargetMode="External"/><Relationship Id="rId68" Type="http://schemas.openxmlformats.org/officeDocument/2006/relationships/hyperlink" Target="https://www.nashp.org/2020-state-reopening-chart/" TargetMode="External"/><Relationship Id="rId67" Type="http://schemas.openxmlformats.org/officeDocument/2006/relationships/hyperlink" Target="https://www.nashp.org/2020-state-reopening-chart/" TargetMode="External"/><Relationship Id="rId729" Type="http://schemas.openxmlformats.org/officeDocument/2006/relationships/hyperlink" Target="https://www.nashp.org/governors-prioritize-health-for-all/" TargetMode="External"/><Relationship Id="rId728" Type="http://schemas.openxmlformats.org/officeDocument/2006/relationships/hyperlink" Target="https://www.nashp.org/governors-prioritize-health-for-all/" TargetMode="External"/><Relationship Id="rId60" Type="http://schemas.openxmlformats.org/officeDocument/2006/relationships/hyperlink" Target="https://www.nashp.org/2020-state-reopening-chart/" TargetMode="External"/><Relationship Id="rId723" Type="http://schemas.openxmlformats.org/officeDocument/2006/relationships/hyperlink" Target="https://www.nashp.org/2020-state-reopening-chart/" TargetMode="External"/><Relationship Id="rId965" Type="http://schemas.openxmlformats.org/officeDocument/2006/relationships/hyperlink" Target="https://www.nashp.org/2020-state-reopening-chart/" TargetMode="External"/><Relationship Id="rId722" Type="http://schemas.openxmlformats.org/officeDocument/2006/relationships/hyperlink" Target="https://www.nashp.org/2020-state-reopening-chart/" TargetMode="External"/><Relationship Id="rId964" Type="http://schemas.openxmlformats.org/officeDocument/2006/relationships/hyperlink" Target="https://www.cnn.com/2020/06/19/us/states-face-mask-coronavirus-trnd/index.html" TargetMode="External"/><Relationship Id="rId721" Type="http://schemas.openxmlformats.org/officeDocument/2006/relationships/hyperlink" Target="https://masks4all.co/what-states-require-masks/" TargetMode="External"/><Relationship Id="rId963" Type="http://schemas.openxmlformats.org/officeDocument/2006/relationships/hyperlink" Target="https://www.nashp.org/2020-state-reopening-chart/" TargetMode="External"/><Relationship Id="rId720" Type="http://schemas.openxmlformats.org/officeDocument/2006/relationships/hyperlink" Target="https://www.nashp.org/2020-state-reopening-chart/" TargetMode="External"/><Relationship Id="rId962" Type="http://schemas.openxmlformats.org/officeDocument/2006/relationships/hyperlink" Target="https://www.nashp.org/2020-state-reopening-chart/" TargetMode="External"/><Relationship Id="rId727" Type="http://schemas.openxmlformats.org/officeDocument/2006/relationships/hyperlink" Target="https://www.nashp.org/governors-prioritize-health-for-all/" TargetMode="External"/><Relationship Id="rId969" Type="http://schemas.openxmlformats.org/officeDocument/2006/relationships/hyperlink" Target="https://www.nashp.org/2020-state-reopening-chart/" TargetMode="External"/><Relationship Id="rId726" Type="http://schemas.openxmlformats.org/officeDocument/2006/relationships/hyperlink" Target="https://www.nashp.org/governors-prioritize-health-for-all/" TargetMode="External"/><Relationship Id="rId968" Type="http://schemas.openxmlformats.org/officeDocument/2006/relationships/hyperlink" Target="https://www.nashp.org/2020-state-reopening-chart/" TargetMode="External"/><Relationship Id="rId725" Type="http://schemas.openxmlformats.org/officeDocument/2006/relationships/hyperlink" Target="https://www.nashp.org/governors-prioritize-health-for-all/" TargetMode="External"/><Relationship Id="rId967" Type="http://schemas.openxmlformats.org/officeDocument/2006/relationships/hyperlink" Target="https://www.nashp.org/2020-state-reopening-chart/" TargetMode="External"/><Relationship Id="rId724" Type="http://schemas.openxmlformats.org/officeDocument/2006/relationships/hyperlink" Target="https://www.nashp.org/2020-state-reopening-chart/" TargetMode="External"/><Relationship Id="rId966" Type="http://schemas.openxmlformats.org/officeDocument/2006/relationships/hyperlink" Target="https://www.nashp.org/2020-state-reopening-chart/" TargetMode="External"/><Relationship Id="rId69" Type="http://schemas.openxmlformats.org/officeDocument/2006/relationships/hyperlink" Target="https://www.nashp.org/2020-state-reopening-chart/" TargetMode="External"/><Relationship Id="rId961" Type="http://schemas.openxmlformats.org/officeDocument/2006/relationships/hyperlink" Target="https://www.nashp.org/2020-state-reopening-chart/" TargetMode="External"/><Relationship Id="rId960" Type="http://schemas.openxmlformats.org/officeDocument/2006/relationships/hyperlink" Target="https://www.businessinsider.com/california-washington-state-of-emergency-coronavirus-what-it-means-2020-3" TargetMode="External"/><Relationship Id="rId51" Type="http://schemas.openxmlformats.org/officeDocument/2006/relationships/hyperlink" Target="https://www.nashp.org/governors-prioritize-health-for-all/" TargetMode="External"/><Relationship Id="rId50" Type="http://schemas.openxmlformats.org/officeDocument/2006/relationships/hyperlink" Target="https://www.nashp.org/governors-prioritize-health-for-all/" TargetMode="External"/><Relationship Id="rId53" Type="http://schemas.openxmlformats.org/officeDocument/2006/relationships/hyperlink" Target="https://www.nashp.org/2020-state-reopening-chart/" TargetMode="External"/><Relationship Id="rId52" Type="http://schemas.openxmlformats.org/officeDocument/2006/relationships/hyperlink" Target="https://www.businessinsider.com/california-washington-state-of-emergency-coronavirus-what-it-means-2020-3" TargetMode="External"/><Relationship Id="rId55" Type="http://schemas.openxmlformats.org/officeDocument/2006/relationships/hyperlink" Target="https://www.cnn.com/2020/06/19/us/states-face-mask-coronavirus-trnd/index.html" TargetMode="External"/><Relationship Id="rId54" Type="http://schemas.openxmlformats.org/officeDocument/2006/relationships/hyperlink" Target="https://www.nashp.org/2020-state-reopening-chart/" TargetMode="External"/><Relationship Id="rId57" Type="http://schemas.openxmlformats.org/officeDocument/2006/relationships/hyperlink" Target="https://www.nashp.org/2020-state-reopening-chart/" TargetMode="External"/><Relationship Id="rId56" Type="http://schemas.openxmlformats.org/officeDocument/2006/relationships/hyperlink" Target="https://www.nashp.org/2020-state-reopening-chart/" TargetMode="External"/><Relationship Id="rId719" Type="http://schemas.openxmlformats.org/officeDocument/2006/relationships/hyperlink" Target="https://www.nashp.org/2020-state-reopening-chart/" TargetMode="External"/><Relationship Id="rId718" Type="http://schemas.openxmlformats.org/officeDocument/2006/relationships/hyperlink" Target="https://www.nashp.org/2020-state-reopening-chart/" TargetMode="External"/><Relationship Id="rId717" Type="http://schemas.openxmlformats.org/officeDocument/2006/relationships/hyperlink" Target="https://www.nashp.org/2020-state-reopening-chart/" TargetMode="External"/><Relationship Id="rId959" Type="http://schemas.openxmlformats.org/officeDocument/2006/relationships/hyperlink" Target="https://www.nashp.org/governors-prioritize-health-for-all/" TargetMode="External"/><Relationship Id="rId712" Type="http://schemas.openxmlformats.org/officeDocument/2006/relationships/hyperlink" Target="https://www.nashp.org/governors-prioritize-health-for-all/" TargetMode="External"/><Relationship Id="rId954" Type="http://schemas.openxmlformats.org/officeDocument/2006/relationships/hyperlink" Target="https://www.nashp.org/governors-prioritize-health-for-all/" TargetMode="External"/><Relationship Id="rId711" Type="http://schemas.openxmlformats.org/officeDocument/2006/relationships/hyperlink" Target="https://www.nashp.org/governors-prioritize-health-for-all/" TargetMode="External"/><Relationship Id="rId953" Type="http://schemas.openxmlformats.org/officeDocument/2006/relationships/hyperlink" Target="https://www.nashp.org/governors-prioritize-health-for-all/" TargetMode="External"/><Relationship Id="rId710" Type="http://schemas.openxmlformats.org/officeDocument/2006/relationships/hyperlink" Target="https://www.nashp.org/governors-prioritize-health-for-all/" TargetMode="External"/><Relationship Id="rId952" Type="http://schemas.openxmlformats.org/officeDocument/2006/relationships/hyperlink" Target="https://www.nashp.org/governors-prioritize-health-for-all/" TargetMode="External"/><Relationship Id="rId951" Type="http://schemas.openxmlformats.org/officeDocument/2006/relationships/hyperlink" Target="https://www.nashp.org/governors-prioritize-health-for-all/" TargetMode="External"/><Relationship Id="rId716" Type="http://schemas.openxmlformats.org/officeDocument/2006/relationships/hyperlink" Target="https://www.nashp.org/2020-state-reopening-chart/" TargetMode="External"/><Relationship Id="rId958" Type="http://schemas.openxmlformats.org/officeDocument/2006/relationships/hyperlink" Target="https://www.nashp.org/governors-prioritize-health-for-all/" TargetMode="External"/><Relationship Id="rId715" Type="http://schemas.openxmlformats.org/officeDocument/2006/relationships/hyperlink" Target="https://www.businessinsider.com/california-washington-state-of-emergency-coronavirus-what-it-means-2020-3" TargetMode="External"/><Relationship Id="rId957" Type="http://schemas.openxmlformats.org/officeDocument/2006/relationships/hyperlink" Target="https://www.nashp.org/governors-prioritize-health-for-all/" TargetMode="External"/><Relationship Id="rId714" Type="http://schemas.openxmlformats.org/officeDocument/2006/relationships/hyperlink" Target="https://www.nashp.org/governors-prioritize-health-for-all/" TargetMode="External"/><Relationship Id="rId956" Type="http://schemas.openxmlformats.org/officeDocument/2006/relationships/hyperlink" Target="https://www.nashp.org/governors-prioritize-health-for-all/" TargetMode="External"/><Relationship Id="rId713" Type="http://schemas.openxmlformats.org/officeDocument/2006/relationships/hyperlink" Target="https://www.nashp.org/governors-prioritize-health-for-all/" TargetMode="External"/><Relationship Id="rId955" Type="http://schemas.openxmlformats.org/officeDocument/2006/relationships/hyperlink" Target="https://www.nashp.org/governors-prioritize-health-for-all/" TargetMode="External"/><Relationship Id="rId59" Type="http://schemas.openxmlformats.org/officeDocument/2006/relationships/hyperlink" Target="https://www.nashp.org/2020-state-reopening-chart/" TargetMode="External"/><Relationship Id="rId58" Type="http://schemas.openxmlformats.org/officeDocument/2006/relationships/hyperlink" Target="https://www.nashp.org/2020-state-reopening-chart/" TargetMode="External"/><Relationship Id="rId950" Type="http://schemas.openxmlformats.org/officeDocument/2006/relationships/hyperlink" Target="https://www.nashp.org/governors-prioritize-health-for-all/" TargetMode="External"/><Relationship Id="rId590" Type="http://schemas.openxmlformats.org/officeDocument/2006/relationships/hyperlink" Target="https://www.nashp.org/2020-state-reopening-chart/" TargetMode="External"/><Relationship Id="rId107" Type="http://schemas.openxmlformats.org/officeDocument/2006/relationships/hyperlink" Target="https://www.nashp.org/2020-state-reopening-chart/" TargetMode="External"/><Relationship Id="rId349" Type="http://schemas.openxmlformats.org/officeDocument/2006/relationships/hyperlink" Target="https://www.businessinsider.com/california-washington-state-of-emergency-coronavirus-what-it-means-2020-3" TargetMode="External"/><Relationship Id="rId106" Type="http://schemas.openxmlformats.org/officeDocument/2006/relationships/hyperlink" Target="https://www.nashp.org/2020-state-reopening-chart/" TargetMode="External"/><Relationship Id="rId348" Type="http://schemas.openxmlformats.org/officeDocument/2006/relationships/hyperlink" Target="https://www.nashp.org/governors-prioritize-health-for-all/" TargetMode="External"/><Relationship Id="rId105" Type="http://schemas.openxmlformats.org/officeDocument/2006/relationships/hyperlink" Target="https://www.cnn.com/2020/06/19/us/states-face-mask-coronavirus-trnd/index.html" TargetMode="External"/><Relationship Id="rId347" Type="http://schemas.openxmlformats.org/officeDocument/2006/relationships/hyperlink" Target="https://www.nashp.org/governors-prioritize-health-for-all/" TargetMode="External"/><Relationship Id="rId589" Type="http://schemas.openxmlformats.org/officeDocument/2006/relationships/hyperlink" Target="https://www.nashp.org/2020-state-reopening-chart/" TargetMode="External"/><Relationship Id="rId104" Type="http://schemas.openxmlformats.org/officeDocument/2006/relationships/hyperlink" Target="https://www.nashp.org/2020-state-reopening-chart/" TargetMode="External"/><Relationship Id="rId346" Type="http://schemas.openxmlformats.org/officeDocument/2006/relationships/hyperlink" Target="https://www.nashp.org/governors-prioritize-health-for-all/" TargetMode="External"/><Relationship Id="rId588" Type="http://schemas.openxmlformats.org/officeDocument/2006/relationships/hyperlink" Target="https://www.nashp.org/2020-state-reopening-chart/" TargetMode="External"/><Relationship Id="rId109" Type="http://schemas.openxmlformats.org/officeDocument/2006/relationships/hyperlink" Target="https://www.nashp.org/2020-state-reopening-chart/" TargetMode="External"/><Relationship Id="rId108" Type="http://schemas.openxmlformats.org/officeDocument/2006/relationships/hyperlink" Target="https://www.nashp.org/2020-state-reopening-chart/" TargetMode="External"/><Relationship Id="rId341" Type="http://schemas.openxmlformats.org/officeDocument/2006/relationships/hyperlink" Target="https://www.nashp.org/2020-state-reopening-chart/" TargetMode="External"/><Relationship Id="rId583" Type="http://schemas.openxmlformats.org/officeDocument/2006/relationships/hyperlink" Target="https://www.nashp.org/2020-state-reopening-chart/" TargetMode="External"/><Relationship Id="rId340" Type="http://schemas.openxmlformats.org/officeDocument/2006/relationships/hyperlink" Target="https://www.nashp.org/2020-state-reopening-chart/" TargetMode="External"/><Relationship Id="rId582" Type="http://schemas.openxmlformats.org/officeDocument/2006/relationships/hyperlink" Target="https://www.nashp.org/2020-state-reopening-chart/" TargetMode="External"/><Relationship Id="rId581" Type="http://schemas.openxmlformats.org/officeDocument/2006/relationships/hyperlink" Target="https://www.nashp.org/2020-state-reopening-chart/" TargetMode="External"/><Relationship Id="rId580" Type="http://schemas.openxmlformats.org/officeDocument/2006/relationships/hyperlink" Target="https://www.nashp.org/2020-state-reopening-chart/" TargetMode="External"/><Relationship Id="rId103" Type="http://schemas.openxmlformats.org/officeDocument/2006/relationships/hyperlink" Target="https://www.businessinsider.com/california-washington-state-of-emergency-coronavirus-what-it-means-2020-3" TargetMode="External"/><Relationship Id="rId345" Type="http://schemas.openxmlformats.org/officeDocument/2006/relationships/hyperlink" Target="https://www.nashp.org/governors-prioritize-health-for-all/" TargetMode="External"/><Relationship Id="rId587" Type="http://schemas.openxmlformats.org/officeDocument/2006/relationships/hyperlink" Target="https://www.nashp.org/2020-state-reopening-chart/" TargetMode="External"/><Relationship Id="rId102" Type="http://schemas.openxmlformats.org/officeDocument/2006/relationships/hyperlink" Target="https://www.nashp.org/governors-prioritize-health-for-all/" TargetMode="External"/><Relationship Id="rId344" Type="http://schemas.openxmlformats.org/officeDocument/2006/relationships/hyperlink" Target="https://www.nashp.org/governors-prioritize-health-for-all/" TargetMode="External"/><Relationship Id="rId586" Type="http://schemas.openxmlformats.org/officeDocument/2006/relationships/hyperlink" Target="https://www.nashp.org/2020-state-reopening-chart/" TargetMode="External"/><Relationship Id="rId101" Type="http://schemas.openxmlformats.org/officeDocument/2006/relationships/hyperlink" Target="https://www.nashp.org/governors-prioritize-health-for-all/" TargetMode="External"/><Relationship Id="rId343" Type="http://schemas.openxmlformats.org/officeDocument/2006/relationships/hyperlink" Target="https://www.nashp.org/governors-prioritize-health-for-all/" TargetMode="External"/><Relationship Id="rId585" Type="http://schemas.openxmlformats.org/officeDocument/2006/relationships/hyperlink" Target="https://www.nashp.org/2020-state-reopening-chart/" TargetMode="External"/><Relationship Id="rId100" Type="http://schemas.openxmlformats.org/officeDocument/2006/relationships/hyperlink" Target="https://www.nashp.org/governors-prioritize-health-for-all/" TargetMode="External"/><Relationship Id="rId342" Type="http://schemas.openxmlformats.org/officeDocument/2006/relationships/hyperlink" Target="https://www.nashp.org/2020-state-reopening-chart/" TargetMode="External"/><Relationship Id="rId584" Type="http://schemas.openxmlformats.org/officeDocument/2006/relationships/hyperlink" Target="https://www.nashp.org/2020-state-reopening-chart/" TargetMode="External"/><Relationship Id="rId338" Type="http://schemas.openxmlformats.org/officeDocument/2006/relationships/hyperlink" Target="https://www.nashp.org/2020-state-reopening-chart/" TargetMode="External"/><Relationship Id="rId337" Type="http://schemas.openxmlformats.org/officeDocument/2006/relationships/hyperlink" Target="https://www.nashp.org/2020-state-reopening-chart/" TargetMode="External"/><Relationship Id="rId579" Type="http://schemas.openxmlformats.org/officeDocument/2006/relationships/hyperlink" Target="https://www.nashp.org/2020-state-reopening-chart/" TargetMode="External"/><Relationship Id="rId336" Type="http://schemas.openxmlformats.org/officeDocument/2006/relationships/hyperlink" Target="https://www.nashp.org/2020-state-reopening-chart/" TargetMode="External"/><Relationship Id="rId578" Type="http://schemas.openxmlformats.org/officeDocument/2006/relationships/hyperlink" Target="https://www.nashp.org/2020-state-reopening-chart/" TargetMode="External"/><Relationship Id="rId335" Type="http://schemas.openxmlformats.org/officeDocument/2006/relationships/hyperlink" Target="https://www.nashp.org/2020-state-reopening-chart/" TargetMode="External"/><Relationship Id="rId577" Type="http://schemas.openxmlformats.org/officeDocument/2006/relationships/hyperlink" Target="https://www.cnn.com/2020/06/19/us/states-face-mask-coronavirus-trnd/index.html" TargetMode="External"/><Relationship Id="rId339" Type="http://schemas.openxmlformats.org/officeDocument/2006/relationships/hyperlink" Target="https://www.nashp.org/2020-state-reopening-chart/" TargetMode="External"/><Relationship Id="rId330" Type="http://schemas.openxmlformats.org/officeDocument/2006/relationships/hyperlink" Target="https://www.nashp.org/2020-state-reopening-chart/" TargetMode="External"/><Relationship Id="rId572" Type="http://schemas.openxmlformats.org/officeDocument/2006/relationships/hyperlink" Target="https://www.nashp.org/governors-prioritize-health-for-all/" TargetMode="External"/><Relationship Id="rId571" Type="http://schemas.openxmlformats.org/officeDocument/2006/relationships/hyperlink" Target="https://www.nashp.org/governors-prioritize-health-for-all/" TargetMode="External"/><Relationship Id="rId570" Type="http://schemas.openxmlformats.org/officeDocument/2006/relationships/hyperlink" Target="https://www.nashp.org/governors-prioritize-health-for-all/" TargetMode="External"/><Relationship Id="rId334" Type="http://schemas.openxmlformats.org/officeDocument/2006/relationships/hyperlink" Target="https://www.nashp.org/2020-state-reopening-chart/" TargetMode="External"/><Relationship Id="rId576" Type="http://schemas.openxmlformats.org/officeDocument/2006/relationships/hyperlink" Target="https://www.nashp.org/2020-state-reopening-chart/" TargetMode="External"/><Relationship Id="rId333" Type="http://schemas.openxmlformats.org/officeDocument/2006/relationships/hyperlink" Target="https://www.cnn.com/2020/06/19/us/states-face-mask-coronavirus-trnd/index.html" TargetMode="External"/><Relationship Id="rId575" Type="http://schemas.openxmlformats.org/officeDocument/2006/relationships/hyperlink" Target="https://www.businessinsider.com/california-washington-state-of-emergency-coronavirus-what-it-means-2020-3" TargetMode="External"/><Relationship Id="rId332" Type="http://schemas.openxmlformats.org/officeDocument/2006/relationships/hyperlink" Target="https://www.nashp.org/2020-state-reopening-chart/" TargetMode="External"/><Relationship Id="rId574" Type="http://schemas.openxmlformats.org/officeDocument/2006/relationships/hyperlink" Target="https://www.nashp.org/governors-prioritize-health-for-all/" TargetMode="External"/><Relationship Id="rId331" Type="http://schemas.openxmlformats.org/officeDocument/2006/relationships/hyperlink" Target="https://www.nashp.org/2020-state-reopening-chart/" TargetMode="External"/><Relationship Id="rId573" Type="http://schemas.openxmlformats.org/officeDocument/2006/relationships/hyperlink" Target="https://www.nashp.org/governors-prioritize-health-for-all/" TargetMode="External"/><Relationship Id="rId370" Type="http://schemas.openxmlformats.org/officeDocument/2006/relationships/hyperlink" Target="https://www.nashp.org/governors-prioritize-health-for-all/" TargetMode="External"/><Relationship Id="rId129" Type="http://schemas.openxmlformats.org/officeDocument/2006/relationships/hyperlink" Target="https://www.nashp.org/2020-state-reopening-chart/" TargetMode="External"/><Relationship Id="rId128" Type="http://schemas.openxmlformats.org/officeDocument/2006/relationships/hyperlink" Target="https://www.nashp.org/2020-state-reopening-chart/" TargetMode="External"/><Relationship Id="rId127" Type="http://schemas.openxmlformats.org/officeDocument/2006/relationships/hyperlink" Target="https://www.nashp.org/2020-state-reopening-chart/" TargetMode="External"/><Relationship Id="rId369" Type="http://schemas.openxmlformats.org/officeDocument/2006/relationships/hyperlink" Target="https://www.nashp.org/governors-prioritize-health-for-all/" TargetMode="External"/><Relationship Id="rId126" Type="http://schemas.openxmlformats.org/officeDocument/2006/relationships/hyperlink" Target="https://www.nashp.org/2020-state-reopening-chart/" TargetMode="External"/><Relationship Id="rId368" Type="http://schemas.openxmlformats.org/officeDocument/2006/relationships/hyperlink" Target="https://www.nashp.org/governors-prioritize-health-for-all/" TargetMode="External"/><Relationship Id="rId121" Type="http://schemas.openxmlformats.org/officeDocument/2006/relationships/hyperlink" Target="https://www.businessinsider.com/california-washington-state-of-emergency-coronavirus-what-it-means-2020-3" TargetMode="External"/><Relationship Id="rId363" Type="http://schemas.openxmlformats.org/officeDocument/2006/relationships/hyperlink" Target="https://www.nashp.org/2020-state-reopening-chart/" TargetMode="External"/><Relationship Id="rId120" Type="http://schemas.openxmlformats.org/officeDocument/2006/relationships/hyperlink" Target="https://www.nashp.org/governors-prioritize-health-for-all/" TargetMode="External"/><Relationship Id="rId362" Type="http://schemas.openxmlformats.org/officeDocument/2006/relationships/hyperlink" Target="https://www.nashp.org/2020-state-reopening-chart/" TargetMode="External"/><Relationship Id="rId361" Type="http://schemas.openxmlformats.org/officeDocument/2006/relationships/hyperlink" Target="https://www.nashp.org/2020-state-reopening-chart/" TargetMode="External"/><Relationship Id="rId360" Type="http://schemas.openxmlformats.org/officeDocument/2006/relationships/hyperlink" Target="https://www.nashp.org/2020-state-reopening-chart/" TargetMode="External"/><Relationship Id="rId125" Type="http://schemas.openxmlformats.org/officeDocument/2006/relationships/hyperlink" Target="https://www.nashp.org/2020-state-reopening-chart/" TargetMode="External"/><Relationship Id="rId367" Type="http://schemas.openxmlformats.org/officeDocument/2006/relationships/hyperlink" Target="https://www.nashp.org/governors-prioritize-health-for-all/" TargetMode="External"/><Relationship Id="rId124" Type="http://schemas.openxmlformats.org/officeDocument/2006/relationships/hyperlink" Target="https://www.nashp.org/2020-state-reopening-chart/" TargetMode="External"/><Relationship Id="rId366" Type="http://schemas.openxmlformats.org/officeDocument/2006/relationships/hyperlink" Target="https://www.nashp.org/governors-prioritize-health-for-all/" TargetMode="External"/><Relationship Id="rId123" Type="http://schemas.openxmlformats.org/officeDocument/2006/relationships/hyperlink" Target="https://www.cnn.com/2020/06/19/us/states-face-mask-coronavirus-trnd/index.html" TargetMode="External"/><Relationship Id="rId365" Type="http://schemas.openxmlformats.org/officeDocument/2006/relationships/hyperlink" Target="https://www.nashp.org/governors-prioritize-health-for-all/" TargetMode="External"/><Relationship Id="rId122" Type="http://schemas.openxmlformats.org/officeDocument/2006/relationships/hyperlink" Target="https://www.nashp.org/2020-state-reopening-chart/" TargetMode="External"/><Relationship Id="rId364" Type="http://schemas.openxmlformats.org/officeDocument/2006/relationships/hyperlink" Target="https://www.nashp.org/2020-state-reopening-chart/" TargetMode="External"/><Relationship Id="rId95" Type="http://schemas.openxmlformats.org/officeDocument/2006/relationships/hyperlink" Target="https://www.nashp.org/2020-state-reopening-chart/" TargetMode="External"/><Relationship Id="rId94" Type="http://schemas.openxmlformats.org/officeDocument/2006/relationships/hyperlink" Target="https://www.nashp.org/2020-state-reopening-chart/" TargetMode="External"/><Relationship Id="rId97" Type="http://schemas.openxmlformats.org/officeDocument/2006/relationships/hyperlink" Target="https://www.nashp.org/2020-state-reopening-chart/" TargetMode="External"/><Relationship Id="rId96" Type="http://schemas.openxmlformats.org/officeDocument/2006/relationships/hyperlink" Target="https://www.nashp.org/2020-state-reopening-chart/" TargetMode="External"/><Relationship Id="rId99" Type="http://schemas.openxmlformats.org/officeDocument/2006/relationships/hyperlink" Target="https://www.nashp.org/governors-prioritize-health-for-all/" TargetMode="External"/><Relationship Id="rId98" Type="http://schemas.openxmlformats.org/officeDocument/2006/relationships/hyperlink" Target="https://www.nashp.org/governors-prioritize-health-for-all/" TargetMode="External"/><Relationship Id="rId91" Type="http://schemas.openxmlformats.org/officeDocument/2006/relationships/hyperlink" Target="https://www.nashp.org/2020-state-reopening-chart/" TargetMode="External"/><Relationship Id="rId90" Type="http://schemas.openxmlformats.org/officeDocument/2006/relationships/hyperlink" Target="https://www.nashp.org/2020-state-reopening-chart/" TargetMode="External"/><Relationship Id="rId93" Type="http://schemas.openxmlformats.org/officeDocument/2006/relationships/hyperlink" Target="https://www.nashp.org/2020-state-reopening-chart/" TargetMode="External"/><Relationship Id="rId92" Type="http://schemas.openxmlformats.org/officeDocument/2006/relationships/hyperlink" Target="https://www.nashp.org/2020-state-reopening-chart/" TargetMode="External"/><Relationship Id="rId118" Type="http://schemas.openxmlformats.org/officeDocument/2006/relationships/hyperlink" Target="https://www.nashp.org/governors-prioritize-health-for-all/" TargetMode="External"/><Relationship Id="rId117" Type="http://schemas.openxmlformats.org/officeDocument/2006/relationships/hyperlink" Target="https://www.nashp.org/governors-prioritize-health-for-all/" TargetMode="External"/><Relationship Id="rId359" Type="http://schemas.openxmlformats.org/officeDocument/2006/relationships/hyperlink" Target="https://www.nashp.org/2020-state-reopening-chart/" TargetMode="External"/><Relationship Id="rId116" Type="http://schemas.openxmlformats.org/officeDocument/2006/relationships/hyperlink" Target="https://www.nashp.org/governors-prioritize-health-for-all/" TargetMode="External"/><Relationship Id="rId358" Type="http://schemas.openxmlformats.org/officeDocument/2006/relationships/hyperlink" Target="https://www.nashp.org/2020-state-reopening-chart/" TargetMode="External"/><Relationship Id="rId115" Type="http://schemas.openxmlformats.org/officeDocument/2006/relationships/hyperlink" Target="https://www.nashp.org/governors-prioritize-health-for-all/" TargetMode="External"/><Relationship Id="rId357" Type="http://schemas.openxmlformats.org/officeDocument/2006/relationships/hyperlink" Target="https://www.nashp.org/2020-state-reopening-chart/" TargetMode="External"/><Relationship Id="rId599" Type="http://schemas.openxmlformats.org/officeDocument/2006/relationships/hyperlink" Target="https://www.nashp.org/governors-prioritize-health-for-all/" TargetMode="External"/><Relationship Id="rId119" Type="http://schemas.openxmlformats.org/officeDocument/2006/relationships/hyperlink" Target="https://www.nashp.org/governors-prioritize-health-for-all/" TargetMode="External"/><Relationship Id="rId110" Type="http://schemas.openxmlformats.org/officeDocument/2006/relationships/hyperlink" Target="https://www.nashp.org/2020-state-reopening-chart/" TargetMode="External"/><Relationship Id="rId352" Type="http://schemas.openxmlformats.org/officeDocument/2006/relationships/hyperlink" Target="https://www.nashp.org/2020-state-reopening-chart/" TargetMode="External"/><Relationship Id="rId594" Type="http://schemas.openxmlformats.org/officeDocument/2006/relationships/hyperlink" Target="https://www.nashp.org/governors-prioritize-health-for-all/" TargetMode="External"/><Relationship Id="rId351" Type="http://schemas.openxmlformats.org/officeDocument/2006/relationships/hyperlink" Target="https://www.cnn.com/2020/06/19/us/states-face-mask-coronavirus-trnd/index.html" TargetMode="External"/><Relationship Id="rId593" Type="http://schemas.openxmlformats.org/officeDocument/2006/relationships/hyperlink" Target="https://www.nashp.org/2020-state-reopening-chart/" TargetMode="External"/><Relationship Id="rId350" Type="http://schemas.openxmlformats.org/officeDocument/2006/relationships/hyperlink" Target="https://www.nashp.org/2020-state-reopening-chart/" TargetMode="External"/><Relationship Id="rId592" Type="http://schemas.openxmlformats.org/officeDocument/2006/relationships/hyperlink" Target="https://www.nashp.org/2020-state-reopening-chart/" TargetMode="External"/><Relationship Id="rId591" Type="http://schemas.openxmlformats.org/officeDocument/2006/relationships/hyperlink" Target="https://www.nashp.org/2020-state-reopening-chart/" TargetMode="External"/><Relationship Id="rId114" Type="http://schemas.openxmlformats.org/officeDocument/2006/relationships/hyperlink" Target="https://www.nashp.org/2020-state-reopening-chart/" TargetMode="External"/><Relationship Id="rId356" Type="http://schemas.openxmlformats.org/officeDocument/2006/relationships/hyperlink" Target="https://www.nashp.org/2020-state-reopening-chart/" TargetMode="External"/><Relationship Id="rId598" Type="http://schemas.openxmlformats.org/officeDocument/2006/relationships/hyperlink" Target="https://www.nashp.org/governors-prioritize-health-for-all/" TargetMode="External"/><Relationship Id="rId113" Type="http://schemas.openxmlformats.org/officeDocument/2006/relationships/hyperlink" Target="https://www.nashp.org/2020-state-reopening-chart/" TargetMode="External"/><Relationship Id="rId355" Type="http://schemas.openxmlformats.org/officeDocument/2006/relationships/hyperlink" Target="https://www.nashp.org/2020-state-reopening-chart/" TargetMode="External"/><Relationship Id="rId597" Type="http://schemas.openxmlformats.org/officeDocument/2006/relationships/hyperlink" Target="https://www.nashp.org/governors-prioritize-health-for-all/" TargetMode="External"/><Relationship Id="rId112" Type="http://schemas.openxmlformats.org/officeDocument/2006/relationships/hyperlink" Target="https://www.nashp.org/2020-state-reopening-chart/" TargetMode="External"/><Relationship Id="rId354" Type="http://schemas.openxmlformats.org/officeDocument/2006/relationships/hyperlink" Target="https://www.nashp.org/2020-state-reopening-chart/" TargetMode="External"/><Relationship Id="rId596" Type="http://schemas.openxmlformats.org/officeDocument/2006/relationships/hyperlink" Target="https://www.nashp.org/governors-prioritize-health-for-all/" TargetMode="External"/><Relationship Id="rId111" Type="http://schemas.openxmlformats.org/officeDocument/2006/relationships/hyperlink" Target="https://www.nashp.org/2020-state-reopening-chart/" TargetMode="External"/><Relationship Id="rId353" Type="http://schemas.openxmlformats.org/officeDocument/2006/relationships/hyperlink" Target="https://www.nashp.org/2020-state-reopening-chart/" TargetMode="External"/><Relationship Id="rId595" Type="http://schemas.openxmlformats.org/officeDocument/2006/relationships/hyperlink" Target="https://www.nashp.org/governors-prioritize-health-for-all/" TargetMode="External"/><Relationship Id="rId305" Type="http://schemas.openxmlformats.org/officeDocument/2006/relationships/hyperlink" Target="https://www.nashp.org/2020-state-reopening-chart/" TargetMode="External"/><Relationship Id="rId547" Type="http://schemas.openxmlformats.org/officeDocument/2006/relationships/hyperlink" Target="https://www.nashp.org/2020-state-reopening-chart/" TargetMode="External"/><Relationship Id="rId789" Type="http://schemas.openxmlformats.org/officeDocument/2006/relationships/hyperlink" Target="https://www.nashp.org/governors-prioritize-health-for-all/" TargetMode="External"/><Relationship Id="rId304" Type="http://schemas.openxmlformats.org/officeDocument/2006/relationships/hyperlink" Target="https://www.nashp.org/2020-state-reopening-chart/" TargetMode="External"/><Relationship Id="rId546" Type="http://schemas.openxmlformats.org/officeDocument/2006/relationships/hyperlink" Target="https://www.nashp.org/2020-state-reopening-chart/" TargetMode="External"/><Relationship Id="rId788" Type="http://schemas.openxmlformats.org/officeDocument/2006/relationships/hyperlink" Target="https://www.nashp.org/governors-prioritize-health-for-all/" TargetMode="External"/><Relationship Id="rId303" Type="http://schemas.openxmlformats.org/officeDocument/2006/relationships/hyperlink" Target="https://www.nashp.org/2020-state-reopening-chart/" TargetMode="External"/><Relationship Id="rId545" Type="http://schemas.openxmlformats.org/officeDocument/2006/relationships/hyperlink" Target="https://www.nashp.org/2020-state-reopening-chart/" TargetMode="External"/><Relationship Id="rId787" Type="http://schemas.openxmlformats.org/officeDocument/2006/relationships/hyperlink" Target="https://www.nashp.org/governors-prioritize-health-for-all/" TargetMode="External"/><Relationship Id="rId302" Type="http://schemas.openxmlformats.org/officeDocument/2006/relationships/hyperlink" Target="https://www.cnn.com/2020/06/19/us/states-face-mask-coronavirus-trnd/index.html" TargetMode="External"/><Relationship Id="rId544" Type="http://schemas.openxmlformats.org/officeDocument/2006/relationships/hyperlink" Target="https://www.nashp.org/2020-state-reopening-chart/" TargetMode="External"/><Relationship Id="rId786" Type="http://schemas.openxmlformats.org/officeDocument/2006/relationships/hyperlink" Target="https://www.nashp.org/governors-prioritize-health-for-all/" TargetMode="External"/><Relationship Id="rId309" Type="http://schemas.openxmlformats.org/officeDocument/2006/relationships/hyperlink" Target="https://www.nashp.org/2020-state-reopening-chart/" TargetMode="External"/><Relationship Id="rId308" Type="http://schemas.openxmlformats.org/officeDocument/2006/relationships/hyperlink" Target="https://www.nashp.org/2020-state-reopening-chart/" TargetMode="External"/><Relationship Id="rId307" Type="http://schemas.openxmlformats.org/officeDocument/2006/relationships/hyperlink" Target="https://www.nashp.org/2020-state-reopening-chart/" TargetMode="External"/><Relationship Id="rId549" Type="http://schemas.openxmlformats.org/officeDocument/2006/relationships/hyperlink" Target="https://www.nashp.org/2020-state-reopening-chart/" TargetMode="External"/><Relationship Id="rId306" Type="http://schemas.openxmlformats.org/officeDocument/2006/relationships/hyperlink" Target="https://www.nashp.org/2020-state-reopening-chart/" TargetMode="External"/><Relationship Id="rId548" Type="http://schemas.openxmlformats.org/officeDocument/2006/relationships/hyperlink" Target="https://www.nashp.org/2020-state-reopening-chart/" TargetMode="External"/><Relationship Id="rId781" Type="http://schemas.openxmlformats.org/officeDocument/2006/relationships/hyperlink" Target="https://www.nashp.org/2020-state-reopening-chart/" TargetMode="External"/><Relationship Id="rId780" Type="http://schemas.openxmlformats.org/officeDocument/2006/relationships/hyperlink" Target="https://www.nashp.org/2020-state-reopening-chart/" TargetMode="External"/><Relationship Id="rId301" Type="http://schemas.openxmlformats.org/officeDocument/2006/relationships/hyperlink" Target="https://www.nashp.org/2020-state-reopening-chart/" TargetMode="External"/><Relationship Id="rId543" Type="http://schemas.openxmlformats.org/officeDocument/2006/relationships/hyperlink" Target="https://www.cnn.com/2020/06/19/us/states-face-mask-coronavirus-trnd/index.html" TargetMode="External"/><Relationship Id="rId785" Type="http://schemas.openxmlformats.org/officeDocument/2006/relationships/hyperlink" Target="https://www.nashp.org/governors-prioritize-health-for-all/" TargetMode="External"/><Relationship Id="rId300" Type="http://schemas.openxmlformats.org/officeDocument/2006/relationships/hyperlink" Target="https://www.businessinsider.com/california-washington-state-of-emergency-coronavirus-what-it-means-2020-3" TargetMode="External"/><Relationship Id="rId542" Type="http://schemas.openxmlformats.org/officeDocument/2006/relationships/hyperlink" Target="https://www.nashp.org/2020-state-reopening-chart/" TargetMode="External"/><Relationship Id="rId784" Type="http://schemas.openxmlformats.org/officeDocument/2006/relationships/hyperlink" Target="https://www.nashp.org/2020-state-reopening-chart/" TargetMode="External"/><Relationship Id="rId541" Type="http://schemas.openxmlformats.org/officeDocument/2006/relationships/hyperlink" Target="https://www.nashp.org/2020-state-reopening-chart/" TargetMode="External"/><Relationship Id="rId783" Type="http://schemas.openxmlformats.org/officeDocument/2006/relationships/hyperlink" Target="https://www.nashp.org/2020-state-reopening-chart/" TargetMode="External"/><Relationship Id="rId540" Type="http://schemas.openxmlformats.org/officeDocument/2006/relationships/hyperlink" Target="https://www.nashp.org/2020-state-reopening-chart/" TargetMode="External"/><Relationship Id="rId782" Type="http://schemas.openxmlformats.org/officeDocument/2006/relationships/hyperlink" Target="https://www.nashp.org/2020-state-reopening-chart/" TargetMode="External"/><Relationship Id="rId536" Type="http://schemas.openxmlformats.org/officeDocument/2006/relationships/hyperlink" Target="https://www.nashp.org/governors-prioritize-health-for-all/" TargetMode="External"/><Relationship Id="rId778" Type="http://schemas.openxmlformats.org/officeDocument/2006/relationships/hyperlink" Target="https://www.nashp.org/2020-state-reopening-chart/" TargetMode="External"/><Relationship Id="rId535" Type="http://schemas.openxmlformats.org/officeDocument/2006/relationships/hyperlink" Target="https://www.nashp.org/governors-prioritize-health-for-all/" TargetMode="External"/><Relationship Id="rId777" Type="http://schemas.openxmlformats.org/officeDocument/2006/relationships/hyperlink" Target="https://www.nashp.org/2020-state-reopening-chart/" TargetMode="External"/><Relationship Id="rId534" Type="http://schemas.openxmlformats.org/officeDocument/2006/relationships/hyperlink" Target="https://www.nashp.org/governors-prioritize-health-for-all/" TargetMode="External"/><Relationship Id="rId776" Type="http://schemas.openxmlformats.org/officeDocument/2006/relationships/hyperlink" Target="https://www.nashp.org/2020-state-reopening-chart/" TargetMode="External"/><Relationship Id="rId533" Type="http://schemas.openxmlformats.org/officeDocument/2006/relationships/hyperlink" Target="https://www.nashp.org/2020-state-reopening-chart/" TargetMode="External"/><Relationship Id="rId775" Type="http://schemas.openxmlformats.org/officeDocument/2006/relationships/hyperlink" Target="https://www.nashp.org/2020-state-reopening-chart/" TargetMode="External"/><Relationship Id="rId539" Type="http://schemas.openxmlformats.org/officeDocument/2006/relationships/hyperlink" Target="https://www.nashp.org/2020-state-reopening-chart/" TargetMode="External"/><Relationship Id="rId538" Type="http://schemas.openxmlformats.org/officeDocument/2006/relationships/hyperlink" Target="https://www.nashp.org/2020-state-reopening-chart/" TargetMode="External"/><Relationship Id="rId537" Type="http://schemas.openxmlformats.org/officeDocument/2006/relationships/hyperlink" Target="https://www.businessinsider.com/california-washington-state-of-emergency-coronavirus-what-it-means-2020-3" TargetMode="External"/><Relationship Id="rId779" Type="http://schemas.openxmlformats.org/officeDocument/2006/relationships/hyperlink" Target="https://www.nashp.org/2020-state-reopening-chart/" TargetMode="External"/><Relationship Id="rId770" Type="http://schemas.openxmlformats.org/officeDocument/2006/relationships/hyperlink" Target="https://www.nashp.org/2020-state-reopening-chart/" TargetMode="External"/><Relationship Id="rId532" Type="http://schemas.openxmlformats.org/officeDocument/2006/relationships/hyperlink" Target="https://www.nashp.org/2020-state-reopening-chart/" TargetMode="External"/><Relationship Id="rId774" Type="http://schemas.openxmlformats.org/officeDocument/2006/relationships/hyperlink" Target="https://www.cnn.com/2020/06/19/us/states-face-mask-coronavirus-trnd/index.html" TargetMode="External"/><Relationship Id="rId531" Type="http://schemas.openxmlformats.org/officeDocument/2006/relationships/hyperlink" Target="https://www.nashp.org/2020-state-reopening-chart/" TargetMode="External"/><Relationship Id="rId773" Type="http://schemas.openxmlformats.org/officeDocument/2006/relationships/hyperlink" Target="https://www.nashp.org/2020-state-reopening-chart/" TargetMode="External"/><Relationship Id="rId530" Type="http://schemas.openxmlformats.org/officeDocument/2006/relationships/hyperlink" Target="https://www.nashp.org/2020-state-reopening-chart/" TargetMode="External"/><Relationship Id="rId772" Type="http://schemas.openxmlformats.org/officeDocument/2006/relationships/hyperlink" Target="https://www.nashp.org/2020-state-reopening-chart/" TargetMode="External"/><Relationship Id="rId771" Type="http://schemas.openxmlformats.org/officeDocument/2006/relationships/hyperlink" Target="https://www.nashp.org/2020-state-reopening-chart/" TargetMode="External"/><Relationship Id="rId327" Type="http://schemas.openxmlformats.org/officeDocument/2006/relationships/hyperlink" Target="https://www.nashp.org/2020-state-reopening-chart/" TargetMode="External"/><Relationship Id="rId569" Type="http://schemas.openxmlformats.org/officeDocument/2006/relationships/hyperlink" Target="https://www.nashp.org/2020-state-reopening-chart/" TargetMode="External"/><Relationship Id="rId326" Type="http://schemas.openxmlformats.org/officeDocument/2006/relationships/hyperlink" Target="https://www.nashp.org/2020-state-reopening-chart/" TargetMode="External"/><Relationship Id="rId568" Type="http://schemas.openxmlformats.org/officeDocument/2006/relationships/hyperlink" Target="https://www.nashp.org/2020-state-reopening-chart/" TargetMode="External"/><Relationship Id="rId325" Type="http://schemas.openxmlformats.org/officeDocument/2006/relationships/hyperlink" Target="https://www.businessinsider.com/california-washington-state-of-emergency-coronavirus-what-it-means-2020-3" TargetMode="External"/><Relationship Id="rId567" Type="http://schemas.openxmlformats.org/officeDocument/2006/relationships/hyperlink" Target="https://www.nashp.org/2020-state-reopening-chart/" TargetMode="External"/><Relationship Id="rId324" Type="http://schemas.openxmlformats.org/officeDocument/2006/relationships/hyperlink" Target="https://www.nashp.org/governors-prioritize-health-for-all/" TargetMode="External"/><Relationship Id="rId566" Type="http://schemas.openxmlformats.org/officeDocument/2006/relationships/hyperlink" Target="https://www.nashp.org/2020-state-reopening-chart/" TargetMode="External"/><Relationship Id="rId329" Type="http://schemas.openxmlformats.org/officeDocument/2006/relationships/hyperlink" Target="https://www.nashp.org/governors-prioritize-health-for-all/" TargetMode="External"/><Relationship Id="rId328" Type="http://schemas.openxmlformats.org/officeDocument/2006/relationships/hyperlink" Target="https://www.nashp.org/2020-state-reopening-chart/" TargetMode="External"/><Relationship Id="rId561" Type="http://schemas.openxmlformats.org/officeDocument/2006/relationships/hyperlink" Target="https://www.nashp.org/2020-state-reopening-chart/" TargetMode="External"/><Relationship Id="rId560" Type="http://schemas.openxmlformats.org/officeDocument/2006/relationships/hyperlink" Target="https://www.nashp.org/2020-state-reopening-chart/" TargetMode="External"/><Relationship Id="rId323" Type="http://schemas.openxmlformats.org/officeDocument/2006/relationships/hyperlink" Target="https://www.nashp.org/governors-prioritize-health-for-all/" TargetMode="External"/><Relationship Id="rId565" Type="http://schemas.openxmlformats.org/officeDocument/2006/relationships/hyperlink" Target="https://www.cnn.com/2020/06/19/us/states-face-mask-coronavirus-trnd/index.html" TargetMode="External"/><Relationship Id="rId322" Type="http://schemas.openxmlformats.org/officeDocument/2006/relationships/hyperlink" Target="https://www.nashp.org/governors-prioritize-health-for-all/" TargetMode="External"/><Relationship Id="rId564" Type="http://schemas.openxmlformats.org/officeDocument/2006/relationships/hyperlink" Target="https://www.nashp.org/2020-state-reopening-chart/" TargetMode="External"/><Relationship Id="rId321" Type="http://schemas.openxmlformats.org/officeDocument/2006/relationships/hyperlink" Target="https://www.nashp.org/governors-prioritize-health-for-all/" TargetMode="External"/><Relationship Id="rId563" Type="http://schemas.openxmlformats.org/officeDocument/2006/relationships/hyperlink" Target="https://www.nashp.org/2020-state-reopening-chart/" TargetMode="External"/><Relationship Id="rId320" Type="http://schemas.openxmlformats.org/officeDocument/2006/relationships/hyperlink" Target="https://www.nashp.org/governors-prioritize-health-for-all/" TargetMode="External"/><Relationship Id="rId562" Type="http://schemas.openxmlformats.org/officeDocument/2006/relationships/hyperlink" Target="https://www.nashp.org/2020-state-reopening-chart/" TargetMode="External"/><Relationship Id="rId316" Type="http://schemas.openxmlformats.org/officeDocument/2006/relationships/hyperlink" Target="https://www.nashp.org/governors-prioritize-health-for-all/" TargetMode="External"/><Relationship Id="rId558" Type="http://schemas.openxmlformats.org/officeDocument/2006/relationships/hyperlink" Target="https://www.nashp.org/governors-prioritize-health-for-all/" TargetMode="External"/><Relationship Id="rId315" Type="http://schemas.openxmlformats.org/officeDocument/2006/relationships/hyperlink" Target="https://www.nashp.org/2020-state-reopening-chart/" TargetMode="External"/><Relationship Id="rId557" Type="http://schemas.openxmlformats.org/officeDocument/2006/relationships/hyperlink" Target="https://www.nashp.org/governors-prioritize-health-for-all/" TargetMode="External"/><Relationship Id="rId799" Type="http://schemas.openxmlformats.org/officeDocument/2006/relationships/hyperlink" Target="https://www.nashp.org/governors-prioritize-health-for-all/" TargetMode="External"/><Relationship Id="rId314" Type="http://schemas.openxmlformats.org/officeDocument/2006/relationships/hyperlink" Target="https://www.nashp.org/2020-state-reopening-chart/" TargetMode="External"/><Relationship Id="rId556" Type="http://schemas.openxmlformats.org/officeDocument/2006/relationships/hyperlink" Target="https://www.nashp.org/governors-prioritize-health-for-all/" TargetMode="External"/><Relationship Id="rId798" Type="http://schemas.openxmlformats.org/officeDocument/2006/relationships/hyperlink" Target="https://www.nashp.org/governors-prioritize-health-for-all/" TargetMode="External"/><Relationship Id="rId313" Type="http://schemas.openxmlformats.org/officeDocument/2006/relationships/hyperlink" Target="https://www.nashp.org/2020-state-reopening-chart/" TargetMode="External"/><Relationship Id="rId555" Type="http://schemas.openxmlformats.org/officeDocument/2006/relationships/hyperlink" Target="https://www.nashp.org/governors-prioritize-health-for-all/" TargetMode="External"/><Relationship Id="rId797" Type="http://schemas.openxmlformats.org/officeDocument/2006/relationships/hyperlink" Target="https://www.nashp.org/governors-prioritize-health-for-all/" TargetMode="External"/><Relationship Id="rId319" Type="http://schemas.openxmlformats.org/officeDocument/2006/relationships/hyperlink" Target="https://www.nashp.org/governors-prioritize-health-for-all/" TargetMode="External"/><Relationship Id="rId318" Type="http://schemas.openxmlformats.org/officeDocument/2006/relationships/hyperlink" Target="https://www.nashp.org/governors-prioritize-health-for-all/" TargetMode="External"/><Relationship Id="rId317" Type="http://schemas.openxmlformats.org/officeDocument/2006/relationships/hyperlink" Target="https://www.nashp.org/governors-prioritize-health-for-all/" TargetMode="External"/><Relationship Id="rId559" Type="http://schemas.openxmlformats.org/officeDocument/2006/relationships/hyperlink" Target="https://www.businessinsider.com/california-washington-state-of-emergency-coronavirus-what-it-means-2020-3" TargetMode="External"/><Relationship Id="rId550" Type="http://schemas.openxmlformats.org/officeDocument/2006/relationships/hyperlink" Target="https://www.nashp.org/governors-prioritize-health-for-all/" TargetMode="External"/><Relationship Id="rId792" Type="http://schemas.openxmlformats.org/officeDocument/2006/relationships/hyperlink" Target="https://www.nashp.org/governors-prioritize-health-for-all/" TargetMode="External"/><Relationship Id="rId791" Type="http://schemas.openxmlformats.org/officeDocument/2006/relationships/hyperlink" Target="https://www.nashp.org/governors-prioritize-health-for-all/" TargetMode="External"/><Relationship Id="rId790" Type="http://schemas.openxmlformats.org/officeDocument/2006/relationships/hyperlink" Target="https://www.nashp.org/governors-prioritize-health-for-all/" TargetMode="External"/><Relationship Id="rId312" Type="http://schemas.openxmlformats.org/officeDocument/2006/relationships/hyperlink" Target="https://www.nashp.org/2020-state-reopening-chart/" TargetMode="External"/><Relationship Id="rId554" Type="http://schemas.openxmlformats.org/officeDocument/2006/relationships/hyperlink" Target="https://www.nashp.org/governors-prioritize-health-for-all/" TargetMode="External"/><Relationship Id="rId796" Type="http://schemas.openxmlformats.org/officeDocument/2006/relationships/hyperlink" Target="https://www.nashp.org/governors-prioritize-health-for-all/" TargetMode="External"/><Relationship Id="rId311" Type="http://schemas.openxmlformats.org/officeDocument/2006/relationships/hyperlink" Target="https://www.nashp.org/2020-state-reopening-chart/" TargetMode="External"/><Relationship Id="rId553" Type="http://schemas.openxmlformats.org/officeDocument/2006/relationships/hyperlink" Target="https://www.nashp.org/governors-prioritize-health-for-all/" TargetMode="External"/><Relationship Id="rId795" Type="http://schemas.openxmlformats.org/officeDocument/2006/relationships/hyperlink" Target="https://www.nashp.org/governors-prioritize-health-for-all/" TargetMode="External"/><Relationship Id="rId310" Type="http://schemas.openxmlformats.org/officeDocument/2006/relationships/hyperlink" Target="https://www.nashp.org/2020-state-reopening-chart/" TargetMode="External"/><Relationship Id="rId552" Type="http://schemas.openxmlformats.org/officeDocument/2006/relationships/hyperlink" Target="https://www.nashp.org/governors-prioritize-health-for-all/" TargetMode="External"/><Relationship Id="rId794" Type="http://schemas.openxmlformats.org/officeDocument/2006/relationships/hyperlink" Target="https://www.nashp.org/governors-prioritize-health-for-all/" TargetMode="External"/><Relationship Id="rId551" Type="http://schemas.openxmlformats.org/officeDocument/2006/relationships/hyperlink" Target="https://www.nashp.org/governors-prioritize-health-for-all/" TargetMode="External"/><Relationship Id="rId793" Type="http://schemas.openxmlformats.org/officeDocument/2006/relationships/hyperlink" Target="https://www.nashp.org/governors-prioritize-health-for-all/" TargetMode="External"/><Relationship Id="rId297" Type="http://schemas.openxmlformats.org/officeDocument/2006/relationships/hyperlink" Target="https://www.nashp.org/governors-prioritize-health-for-all/" TargetMode="External"/><Relationship Id="rId296" Type="http://schemas.openxmlformats.org/officeDocument/2006/relationships/hyperlink" Target="https://www.nashp.org/governors-prioritize-health-for-all/" TargetMode="External"/><Relationship Id="rId295" Type="http://schemas.openxmlformats.org/officeDocument/2006/relationships/hyperlink" Target="https://www.nashp.org/governors-prioritize-health-for-all/" TargetMode="External"/><Relationship Id="rId294" Type="http://schemas.openxmlformats.org/officeDocument/2006/relationships/hyperlink" Target="https://www.nashp.org/2020-state-reopening-chart/" TargetMode="External"/><Relationship Id="rId299" Type="http://schemas.openxmlformats.org/officeDocument/2006/relationships/hyperlink" Target="https://www.nashp.org/governors-prioritize-health-for-all/" TargetMode="External"/><Relationship Id="rId298" Type="http://schemas.openxmlformats.org/officeDocument/2006/relationships/hyperlink" Target="https://www.nashp.org/governors-prioritize-health-for-all/" TargetMode="External"/><Relationship Id="rId271" Type="http://schemas.openxmlformats.org/officeDocument/2006/relationships/hyperlink" Target="https://www.nashp.org/2020-state-reopening-chart/" TargetMode="External"/><Relationship Id="rId270" Type="http://schemas.openxmlformats.org/officeDocument/2006/relationships/hyperlink" Target="https://www.nashp.org/2020-state-reopening-chart/" TargetMode="External"/><Relationship Id="rId269" Type="http://schemas.openxmlformats.org/officeDocument/2006/relationships/hyperlink" Target="https://www.nashp.org/2020-state-reopening-chart/" TargetMode="External"/><Relationship Id="rId264" Type="http://schemas.openxmlformats.org/officeDocument/2006/relationships/hyperlink" Target="https://www.nashp.org/governors-prioritize-health-for-all/" TargetMode="External"/><Relationship Id="rId263" Type="http://schemas.openxmlformats.org/officeDocument/2006/relationships/hyperlink" Target="https://www.nashp.org/governors-prioritize-health-for-all/" TargetMode="External"/><Relationship Id="rId262" Type="http://schemas.openxmlformats.org/officeDocument/2006/relationships/hyperlink" Target="https://www.nashp.org/governors-prioritize-health-for-all/" TargetMode="External"/><Relationship Id="rId261" Type="http://schemas.openxmlformats.org/officeDocument/2006/relationships/hyperlink" Target="https://www.nashp.org/governors-prioritize-health-for-all/" TargetMode="External"/><Relationship Id="rId268" Type="http://schemas.openxmlformats.org/officeDocument/2006/relationships/hyperlink" Target="https://www.businessinsider.com/california-washington-state-of-emergency-coronavirus-what-it-means-2020-3" TargetMode="External"/><Relationship Id="rId267" Type="http://schemas.openxmlformats.org/officeDocument/2006/relationships/hyperlink" Target="https://www.nashp.org/governors-prioritize-health-for-all/" TargetMode="External"/><Relationship Id="rId266" Type="http://schemas.openxmlformats.org/officeDocument/2006/relationships/hyperlink" Target="https://www.nashp.org/governors-prioritize-health-for-all/" TargetMode="External"/><Relationship Id="rId265" Type="http://schemas.openxmlformats.org/officeDocument/2006/relationships/hyperlink" Target="https://www.nashp.org/governors-prioritize-health-for-all/" TargetMode="External"/><Relationship Id="rId260" Type="http://schemas.openxmlformats.org/officeDocument/2006/relationships/hyperlink" Target="https://www.nashp.org/governors-prioritize-health-for-all/" TargetMode="External"/><Relationship Id="rId259" Type="http://schemas.openxmlformats.org/officeDocument/2006/relationships/hyperlink" Target="https://www.nashp.org/2020-state-reopening-chart/" TargetMode="External"/><Relationship Id="rId258" Type="http://schemas.openxmlformats.org/officeDocument/2006/relationships/hyperlink" Target="https://www.nashp.org/2020-state-reopening-chart/" TargetMode="External"/><Relationship Id="rId253" Type="http://schemas.openxmlformats.org/officeDocument/2006/relationships/hyperlink" Target="https://www.nashp.org/2020-state-reopening-chart/" TargetMode="External"/><Relationship Id="rId495" Type="http://schemas.openxmlformats.org/officeDocument/2006/relationships/hyperlink" Target="https://www.nashp.org/2020-state-reopening-chart/" TargetMode="External"/><Relationship Id="rId252" Type="http://schemas.openxmlformats.org/officeDocument/2006/relationships/hyperlink" Target="https://www.nashp.org/2020-state-reopening-chart/" TargetMode="External"/><Relationship Id="rId494" Type="http://schemas.openxmlformats.org/officeDocument/2006/relationships/hyperlink" Target="https://www.nashp.org/2020-state-reopening-chart/" TargetMode="External"/><Relationship Id="rId251" Type="http://schemas.openxmlformats.org/officeDocument/2006/relationships/hyperlink" Target="https://www.cnn.com/2020/06/19/us/states-face-mask-coronavirus-trnd/index.html" TargetMode="External"/><Relationship Id="rId493" Type="http://schemas.openxmlformats.org/officeDocument/2006/relationships/hyperlink" Target="https://www.nashp.org/2020-state-reopening-chart/" TargetMode="External"/><Relationship Id="rId250" Type="http://schemas.openxmlformats.org/officeDocument/2006/relationships/hyperlink" Target="https://www.nashp.org/2020-state-reopening-chart/" TargetMode="External"/><Relationship Id="rId492" Type="http://schemas.openxmlformats.org/officeDocument/2006/relationships/hyperlink" Target="https://www.nashp.org/2020-state-reopening-chart/" TargetMode="External"/><Relationship Id="rId257" Type="http://schemas.openxmlformats.org/officeDocument/2006/relationships/hyperlink" Target="https://www.nashp.org/2020-state-reopening-chart/" TargetMode="External"/><Relationship Id="rId499" Type="http://schemas.openxmlformats.org/officeDocument/2006/relationships/hyperlink" Target="https://www.nashp.org/governors-prioritize-health-for-all/" TargetMode="External"/><Relationship Id="rId256" Type="http://schemas.openxmlformats.org/officeDocument/2006/relationships/hyperlink" Target="https://www.nashp.org/2020-state-reopening-chart/" TargetMode="External"/><Relationship Id="rId498" Type="http://schemas.openxmlformats.org/officeDocument/2006/relationships/hyperlink" Target="https://www.nashp.org/governors-prioritize-health-for-all/" TargetMode="External"/><Relationship Id="rId255" Type="http://schemas.openxmlformats.org/officeDocument/2006/relationships/hyperlink" Target="https://www.nashp.org/2020-state-reopening-chart/" TargetMode="External"/><Relationship Id="rId497" Type="http://schemas.openxmlformats.org/officeDocument/2006/relationships/hyperlink" Target="https://www.nashp.org/governors-prioritize-health-for-all/" TargetMode="External"/><Relationship Id="rId254" Type="http://schemas.openxmlformats.org/officeDocument/2006/relationships/hyperlink" Target="https://www.nashp.org/2020-state-reopening-chart/" TargetMode="External"/><Relationship Id="rId496" Type="http://schemas.openxmlformats.org/officeDocument/2006/relationships/hyperlink" Target="https://www.sos.ms.gov/content/executiveorders/ExecutiveOrders/1536.pdf" TargetMode="External"/><Relationship Id="rId293" Type="http://schemas.openxmlformats.org/officeDocument/2006/relationships/hyperlink" Target="https://www.nashp.org/2020-state-reopening-chart/" TargetMode="External"/><Relationship Id="rId292" Type="http://schemas.openxmlformats.org/officeDocument/2006/relationships/hyperlink" Target="https://www.cnn.com/2020/06/19/us/states-face-mask-coronavirus-trnd/index.html" TargetMode="External"/><Relationship Id="rId291" Type="http://schemas.openxmlformats.org/officeDocument/2006/relationships/hyperlink" Target="https://www.nashp.org/2020-state-reopening-chart/" TargetMode="External"/><Relationship Id="rId290" Type="http://schemas.openxmlformats.org/officeDocument/2006/relationships/hyperlink" Target="https://www.nashp.org/2020-state-reopening-chart/" TargetMode="External"/><Relationship Id="rId286" Type="http://schemas.openxmlformats.org/officeDocument/2006/relationships/hyperlink" Target="https://www.nashp.org/governors-prioritize-health-for-all/" TargetMode="External"/><Relationship Id="rId285" Type="http://schemas.openxmlformats.org/officeDocument/2006/relationships/hyperlink" Target="https://www.nashp.org/governors-prioritize-health-for-all/" TargetMode="External"/><Relationship Id="rId284" Type="http://schemas.openxmlformats.org/officeDocument/2006/relationships/hyperlink" Target="https://www.nashp.org/governors-prioritize-health-for-all/" TargetMode="External"/><Relationship Id="rId283" Type="http://schemas.openxmlformats.org/officeDocument/2006/relationships/hyperlink" Target="https://www.nashp.org/governors-prioritize-health-for-all/" TargetMode="External"/><Relationship Id="rId289" Type="http://schemas.openxmlformats.org/officeDocument/2006/relationships/hyperlink" Target="https://www.nashp.org/2020-state-reopening-chart/" TargetMode="External"/><Relationship Id="rId288" Type="http://schemas.openxmlformats.org/officeDocument/2006/relationships/hyperlink" Target="https://www.nashp.org/2020-state-reopening-chart/" TargetMode="External"/><Relationship Id="rId287" Type="http://schemas.openxmlformats.org/officeDocument/2006/relationships/hyperlink" Target="https://www.businessinsider.com/california-washington-state-of-emergency-coronavirus-what-it-means-2020-3" TargetMode="External"/><Relationship Id="rId282" Type="http://schemas.openxmlformats.org/officeDocument/2006/relationships/hyperlink" Target="https://www.nashp.org/governors-prioritize-health-for-all/" TargetMode="External"/><Relationship Id="rId281" Type="http://schemas.openxmlformats.org/officeDocument/2006/relationships/hyperlink" Target="https://www.nashp.org/governors-prioritize-health-for-all/" TargetMode="External"/><Relationship Id="rId280" Type="http://schemas.openxmlformats.org/officeDocument/2006/relationships/hyperlink" Target="https://www.nashp.org/2020-state-reopening-chart/" TargetMode="External"/><Relationship Id="rId275" Type="http://schemas.openxmlformats.org/officeDocument/2006/relationships/hyperlink" Target="https://www.nashp.org/2020-state-reopening-chart/" TargetMode="External"/><Relationship Id="rId274" Type="http://schemas.openxmlformats.org/officeDocument/2006/relationships/hyperlink" Target="https://www.nashp.org/2020-state-reopening-chart/" TargetMode="External"/><Relationship Id="rId273" Type="http://schemas.openxmlformats.org/officeDocument/2006/relationships/hyperlink" Target="https://www.nashp.org/2020-state-reopening-chart/" TargetMode="External"/><Relationship Id="rId272" Type="http://schemas.openxmlformats.org/officeDocument/2006/relationships/hyperlink" Target="https://www.nashp.org/2020-state-reopening-chart/" TargetMode="External"/><Relationship Id="rId279" Type="http://schemas.openxmlformats.org/officeDocument/2006/relationships/hyperlink" Target="https://www.nashp.org/2020-state-reopening-chart/" TargetMode="External"/><Relationship Id="rId278" Type="http://schemas.openxmlformats.org/officeDocument/2006/relationships/hyperlink" Target="https://masks4all.co/what-states-require-masks/" TargetMode="External"/><Relationship Id="rId277" Type="http://schemas.openxmlformats.org/officeDocument/2006/relationships/hyperlink" Target="https://www.nashp.org/2020-state-reopening-chart/" TargetMode="External"/><Relationship Id="rId276" Type="http://schemas.openxmlformats.org/officeDocument/2006/relationships/hyperlink" Target="https://www.nashp.org/2020-state-reopening-chart/" TargetMode="External"/><Relationship Id="rId907" Type="http://schemas.openxmlformats.org/officeDocument/2006/relationships/hyperlink" Target="https://www.nashp.org/2020-state-reopening-chart/" TargetMode="External"/><Relationship Id="rId906" Type="http://schemas.openxmlformats.org/officeDocument/2006/relationships/hyperlink" Target="https://www.nashp.org/2020-state-reopening-chart/" TargetMode="External"/><Relationship Id="rId905" Type="http://schemas.openxmlformats.org/officeDocument/2006/relationships/hyperlink" Target="https://www.nashp.org/2020-state-reopening-chart/" TargetMode="External"/><Relationship Id="rId904" Type="http://schemas.openxmlformats.org/officeDocument/2006/relationships/hyperlink" Target="https://www.nashp.org/2020-state-reopening-chart/" TargetMode="External"/><Relationship Id="rId909" Type="http://schemas.openxmlformats.org/officeDocument/2006/relationships/hyperlink" Target="https://masks4all.co/what-states-require-masks/" TargetMode="External"/><Relationship Id="rId908" Type="http://schemas.openxmlformats.org/officeDocument/2006/relationships/hyperlink" Target="https://www.nashp.org/2020-state-reopening-chart/" TargetMode="External"/><Relationship Id="rId903" Type="http://schemas.openxmlformats.org/officeDocument/2006/relationships/hyperlink" Target="https://www.businessinsider.com/california-washington-state-of-emergency-coronavirus-what-it-means-2020-3" TargetMode="External"/><Relationship Id="rId902" Type="http://schemas.openxmlformats.org/officeDocument/2006/relationships/hyperlink" Target="https://www.nashp.org/governors-prioritize-health-for-all/" TargetMode="External"/><Relationship Id="rId901" Type="http://schemas.openxmlformats.org/officeDocument/2006/relationships/hyperlink" Target="https://www.nashp.org/governors-prioritize-health-for-all/" TargetMode="External"/><Relationship Id="rId900" Type="http://schemas.openxmlformats.org/officeDocument/2006/relationships/hyperlink" Target="https://www.nashp.org/governors-prioritize-health-for-all/" TargetMode="External"/><Relationship Id="rId929" Type="http://schemas.openxmlformats.org/officeDocument/2006/relationships/hyperlink" Target="https://www.nashp.org/governors-prioritize-health-for-all/" TargetMode="External"/><Relationship Id="rId928" Type="http://schemas.openxmlformats.org/officeDocument/2006/relationships/hyperlink" Target="https://www.nashp.org/governors-prioritize-health-for-all/" TargetMode="External"/><Relationship Id="rId927" Type="http://schemas.openxmlformats.org/officeDocument/2006/relationships/hyperlink" Target="https://www.nashp.org/governors-prioritize-health-for-all/" TargetMode="External"/><Relationship Id="rId926" Type="http://schemas.openxmlformats.org/officeDocument/2006/relationships/hyperlink" Target="https://www.nashp.org/governors-prioritize-health-for-all/" TargetMode="External"/><Relationship Id="rId921" Type="http://schemas.openxmlformats.org/officeDocument/2006/relationships/hyperlink" Target="https://www.cnn.com/2020/06/19/us/states-face-mask-coronavirus-trnd/index.html" TargetMode="External"/><Relationship Id="rId920" Type="http://schemas.openxmlformats.org/officeDocument/2006/relationships/hyperlink" Target="https://www.nashp.org/2020-state-reopening-chart/" TargetMode="External"/><Relationship Id="rId925" Type="http://schemas.openxmlformats.org/officeDocument/2006/relationships/hyperlink" Target="https://www.nashp.org/2020-state-reopening-chart/" TargetMode="External"/><Relationship Id="rId924" Type="http://schemas.openxmlformats.org/officeDocument/2006/relationships/hyperlink" Target="https://www.nashp.org/2020-state-reopening-chart/" TargetMode="External"/><Relationship Id="rId923" Type="http://schemas.openxmlformats.org/officeDocument/2006/relationships/hyperlink" Target="https://www.nashp.org/2020-state-reopening-chart/" TargetMode="External"/><Relationship Id="rId922" Type="http://schemas.openxmlformats.org/officeDocument/2006/relationships/hyperlink" Target="https://www.nashp.org/2020-state-reopening-chart/" TargetMode="External"/><Relationship Id="rId918" Type="http://schemas.openxmlformats.org/officeDocument/2006/relationships/hyperlink" Target="https://www.nashp.org/2020-state-reopening-chart/" TargetMode="External"/><Relationship Id="rId917" Type="http://schemas.openxmlformats.org/officeDocument/2006/relationships/hyperlink" Target="https://www.nashp.org/2020-state-reopening-chart/" TargetMode="External"/><Relationship Id="rId916" Type="http://schemas.openxmlformats.org/officeDocument/2006/relationships/hyperlink" Target="https://www.businessinsider.com/california-washington-state-of-emergency-coronavirus-what-it-means-2020-3" TargetMode="External"/><Relationship Id="rId915" Type="http://schemas.openxmlformats.org/officeDocument/2006/relationships/hyperlink" Target="https://www.nashp.org/governors-prioritize-health-for-all/" TargetMode="External"/><Relationship Id="rId919" Type="http://schemas.openxmlformats.org/officeDocument/2006/relationships/hyperlink" Target="https://www.nashp.org/2020-state-reopening-chart/" TargetMode="External"/><Relationship Id="rId910" Type="http://schemas.openxmlformats.org/officeDocument/2006/relationships/hyperlink" Target="https://www.nashp.org/2020-state-reopening-chart/" TargetMode="External"/><Relationship Id="rId914" Type="http://schemas.openxmlformats.org/officeDocument/2006/relationships/hyperlink" Target="https://www.nashp.org/governors-prioritize-health-for-all/" TargetMode="External"/><Relationship Id="rId913" Type="http://schemas.openxmlformats.org/officeDocument/2006/relationships/hyperlink" Target="https://www.nashp.org/governors-prioritize-health-for-all/" TargetMode="External"/><Relationship Id="rId912" Type="http://schemas.openxmlformats.org/officeDocument/2006/relationships/hyperlink" Target="https://www.nashp.org/governors-prioritize-health-for-all/" TargetMode="External"/><Relationship Id="rId911" Type="http://schemas.openxmlformats.org/officeDocument/2006/relationships/hyperlink" Target="https://www.nashp.org/2020-state-reopening-chart/" TargetMode="External"/><Relationship Id="rId629" Type="http://schemas.openxmlformats.org/officeDocument/2006/relationships/hyperlink" Target="https://www.nashp.org/governors-prioritize-health-for-all/" TargetMode="External"/><Relationship Id="rId624" Type="http://schemas.openxmlformats.org/officeDocument/2006/relationships/hyperlink" Target="https://www.nashp.org/governors-prioritize-health-for-all/" TargetMode="External"/><Relationship Id="rId866" Type="http://schemas.openxmlformats.org/officeDocument/2006/relationships/hyperlink" Target="https://www.nashp.org/2020-state-reopening-chart/" TargetMode="External"/><Relationship Id="rId623" Type="http://schemas.openxmlformats.org/officeDocument/2006/relationships/hyperlink" Target="https://www.nashp.org/governors-prioritize-health-for-all/" TargetMode="External"/><Relationship Id="rId865" Type="http://schemas.openxmlformats.org/officeDocument/2006/relationships/hyperlink" Target="https://www.businessinsider.com/california-washington-state-of-emergency-coronavirus-what-it-means-2020-3" TargetMode="External"/><Relationship Id="rId622" Type="http://schemas.openxmlformats.org/officeDocument/2006/relationships/hyperlink" Target="https://www.nashp.org/2020-state-reopening-chart/" TargetMode="External"/><Relationship Id="rId864" Type="http://schemas.openxmlformats.org/officeDocument/2006/relationships/hyperlink" Target="https://www.nashp.org/governors-prioritize-health-for-all/" TargetMode="External"/><Relationship Id="rId621" Type="http://schemas.openxmlformats.org/officeDocument/2006/relationships/hyperlink" Target="https://www.nashp.org/2020-state-reopening-chart/" TargetMode="External"/><Relationship Id="rId863" Type="http://schemas.openxmlformats.org/officeDocument/2006/relationships/hyperlink" Target="https://www.nashp.org/governors-prioritize-health-for-all/" TargetMode="External"/><Relationship Id="rId628" Type="http://schemas.openxmlformats.org/officeDocument/2006/relationships/hyperlink" Target="https://www.nashp.org/governors-prioritize-health-for-all/" TargetMode="External"/><Relationship Id="rId627" Type="http://schemas.openxmlformats.org/officeDocument/2006/relationships/hyperlink" Target="https://www.nashp.org/governors-prioritize-health-for-all/" TargetMode="External"/><Relationship Id="rId869" Type="http://schemas.openxmlformats.org/officeDocument/2006/relationships/hyperlink" Target="https://www.nashp.org/2020-state-reopening-chart/" TargetMode="External"/><Relationship Id="rId626" Type="http://schemas.openxmlformats.org/officeDocument/2006/relationships/hyperlink" Target="https://www.nashp.org/governors-prioritize-health-for-all/" TargetMode="External"/><Relationship Id="rId868" Type="http://schemas.openxmlformats.org/officeDocument/2006/relationships/hyperlink" Target="https://www.businessinsider.com/california-washington-state-of-emergency-coronavirus-what-it-means-2020-3" TargetMode="External"/><Relationship Id="rId625" Type="http://schemas.openxmlformats.org/officeDocument/2006/relationships/hyperlink" Target="https://www.nashp.org/governors-prioritize-health-for-all/" TargetMode="External"/><Relationship Id="rId867" Type="http://schemas.openxmlformats.org/officeDocument/2006/relationships/hyperlink" Target="https://www.nashp.org/2020-state-reopening-chart/" TargetMode="External"/><Relationship Id="rId620" Type="http://schemas.openxmlformats.org/officeDocument/2006/relationships/hyperlink" Target="https://www.nashp.org/2020-state-reopening-chart/" TargetMode="External"/><Relationship Id="rId862" Type="http://schemas.openxmlformats.org/officeDocument/2006/relationships/hyperlink" Target="https://www.nashp.org/governors-prioritize-health-for-all/" TargetMode="External"/><Relationship Id="rId861" Type="http://schemas.openxmlformats.org/officeDocument/2006/relationships/hyperlink" Target="https://www.nashp.org/governors-prioritize-health-for-all/" TargetMode="External"/><Relationship Id="rId860" Type="http://schemas.openxmlformats.org/officeDocument/2006/relationships/hyperlink" Target="https://www.nashp.org/2020-state-reopening-chart/" TargetMode="External"/><Relationship Id="rId619" Type="http://schemas.openxmlformats.org/officeDocument/2006/relationships/hyperlink" Target="https://www.nashp.org/2020-state-reopening-chart/" TargetMode="External"/><Relationship Id="rId618" Type="http://schemas.openxmlformats.org/officeDocument/2006/relationships/hyperlink" Target="https://www.nashp.org/2020-state-reopening-chart/" TargetMode="External"/><Relationship Id="rId613" Type="http://schemas.openxmlformats.org/officeDocument/2006/relationships/hyperlink" Target="https://www.nashp.org/2020-state-reopening-chart/" TargetMode="External"/><Relationship Id="rId855" Type="http://schemas.openxmlformats.org/officeDocument/2006/relationships/hyperlink" Target="https://www.nashp.org/2020-state-reopening-chart/" TargetMode="External"/><Relationship Id="rId612" Type="http://schemas.openxmlformats.org/officeDocument/2006/relationships/hyperlink" Target="https://www.nashp.org/2020-state-reopening-chart/" TargetMode="External"/><Relationship Id="rId854" Type="http://schemas.openxmlformats.org/officeDocument/2006/relationships/hyperlink" Target="https://www.nashp.org/2020-state-reopening-chart/" TargetMode="External"/><Relationship Id="rId611" Type="http://schemas.openxmlformats.org/officeDocument/2006/relationships/hyperlink" Target="https://www.cnn.com/2020/06/19/us/states-face-mask-coronavirus-trnd/index.html" TargetMode="External"/><Relationship Id="rId853" Type="http://schemas.openxmlformats.org/officeDocument/2006/relationships/hyperlink" Target="https://www.businessinsider.com/california-washington-state-of-emergency-coronavirus-what-it-means-2020-3" TargetMode="External"/><Relationship Id="rId610" Type="http://schemas.openxmlformats.org/officeDocument/2006/relationships/hyperlink" Target="https://www.nashp.org/2020-state-reopening-chart/" TargetMode="External"/><Relationship Id="rId852" Type="http://schemas.openxmlformats.org/officeDocument/2006/relationships/hyperlink" Target="https://www.nashp.org/governors-prioritize-health-for-all/" TargetMode="External"/><Relationship Id="rId617" Type="http://schemas.openxmlformats.org/officeDocument/2006/relationships/hyperlink" Target="https://www.nashp.org/2020-state-reopening-chart/" TargetMode="External"/><Relationship Id="rId859" Type="http://schemas.openxmlformats.org/officeDocument/2006/relationships/hyperlink" Target="https://www.nashp.org/2020-state-reopening-chart/" TargetMode="External"/><Relationship Id="rId616" Type="http://schemas.openxmlformats.org/officeDocument/2006/relationships/hyperlink" Target="https://www.nashp.org/2020-state-reopening-chart/" TargetMode="External"/><Relationship Id="rId858" Type="http://schemas.openxmlformats.org/officeDocument/2006/relationships/hyperlink" Target="https://www.nashp.org/2020-state-reopening-chart/" TargetMode="External"/><Relationship Id="rId615" Type="http://schemas.openxmlformats.org/officeDocument/2006/relationships/hyperlink" Target="https://www.nashp.org/2020-state-reopening-chart/" TargetMode="External"/><Relationship Id="rId857" Type="http://schemas.openxmlformats.org/officeDocument/2006/relationships/hyperlink" Target="https://www.nashp.org/2020-state-reopening-chart/" TargetMode="External"/><Relationship Id="rId614" Type="http://schemas.openxmlformats.org/officeDocument/2006/relationships/hyperlink" Target="https://www.nashp.org/2020-state-reopening-chart/" TargetMode="External"/><Relationship Id="rId856" Type="http://schemas.openxmlformats.org/officeDocument/2006/relationships/hyperlink" Target="https://www.nashp.org/2020-state-reopening-chart/" TargetMode="External"/><Relationship Id="rId851" Type="http://schemas.openxmlformats.org/officeDocument/2006/relationships/hyperlink" Target="https://www.nashp.org/governors-prioritize-health-for-all/" TargetMode="External"/><Relationship Id="rId850" Type="http://schemas.openxmlformats.org/officeDocument/2006/relationships/hyperlink" Target="https://www.nashp.org/governors-prioritize-health-for-all/" TargetMode="External"/><Relationship Id="rId409" Type="http://schemas.openxmlformats.org/officeDocument/2006/relationships/hyperlink" Target="https://www.nashp.org/2020-state-reopening-chart/" TargetMode="External"/><Relationship Id="rId404" Type="http://schemas.openxmlformats.org/officeDocument/2006/relationships/hyperlink" Target="https://www.nashp.org/2020-state-reopening-chart/" TargetMode="External"/><Relationship Id="rId646" Type="http://schemas.openxmlformats.org/officeDocument/2006/relationships/hyperlink" Target="https://www.nashp.org/2020-state-reopening-chart/" TargetMode="External"/><Relationship Id="rId888" Type="http://schemas.openxmlformats.org/officeDocument/2006/relationships/hyperlink" Target="https://www.nashp.org/2020-state-reopening-chart/" TargetMode="External"/><Relationship Id="rId403" Type="http://schemas.openxmlformats.org/officeDocument/2006/relationships/hyperlink" Target="https://www.nashp.org/2020-state-reopening-chart/" TargetMode="External"/><Relationship Id="rId645" Type="http://schemas.openxmlformats.org/officeDocument/2006/relationships/hyperlink" Target="https://www.nashp.org/2020-state-reopening-chart/" TargetMode="External"/><Relationship Id="rId887" Type="http://schemas.openxmlformats.org/officeDocument/2006/relationships/hyperlink" Target="https://www.nashp.org/2020-state-reopening-chart/" TargetMode="External"/><Relationship Id="rId402" Type="http://schemas.openxmlformats.org/officeDocument/2006/relationships/hyperlink" Target="https://www.nashp.org/2020-state-reopening-chart/" TargetMode="External"/><Relationship Id="rId644" Type="http://schemas.openxmlformats.org/officeDocument/2006/relationships/hyperlink" Target="https://www.nashp.org/2020-state-reopening-chart/" TargetMode="External"/><Relationship Id="rId886" Type="http://schemas.openxmlformats.org/officeDocument/2006/relationships/hyperlink" Target="https://www.nashp.org/2020-state-reopening-chart/" TargetMode="External"/><Relationship Id="rId401" Type="http://schemas.openxmlformats.org/officeDocument/2006/relationships/hyperlink" Target="https://www.cnn.com/2020/06/19/us/states-face-mask-coronavirus-trnd/index.html" TargetMode="External"/><Relationship Id="rId643" Type="http://schemas.openxmlformats.org/officeDocument/2006/relationships/hyperlink" Target="https://www.nashp.org/2020-state-reopening-chart/" TargetMode="External"/><Relationship Id="rId885" Type="http://schemas.openxmlformats.org/officeDocument/2006/relationships/hyperlink" Target="https://www.businessinsider.com/california-washington-state-of-emergency-coronavirus-what-it-means-2020-3" TargetMode="External"/><Relationship Id="rId408" Type="http://schemas.openxmlformats.org/officeDocument/2006/relationships/hyperlink" Target="https://www.nashp.org/2020-state-reopening-chart/" TargetMode="External"/><Relationship Id="rId407" Type="http://schemas.openxmlformats.org/officeDocument/2006/relationships/hyperlink" Target="https://www.nashp.org/2020-state-reopening-chart/" TargetMode="External"/><Relationship Id="rId649" Type="http://schemas.openxmlformats.org/officeDocument/2006/relationships/hyperlink" Target="https://www.nashp.org/2020-state-reopening-chart/" TargetMode="External"/><Relationship Id="rId406" Type="http://schemas.openxmlformats.org/officeDocument/2006/relationships/hyperlink" Target="https://www.nashp.org/2020-state-reopening-chart/" TargetMode="External"/><Relationship Id="rId648" Type="http://schemas.openxmlformats.org/officeDocument/2006/relationships/hyperlink" Target="https://www.nashp.org/2020-state-reopening-chart/" TargetMode="External"/><Relationship Id="rId405" Type="http://schemas.openxmlformats.org/officeDocument/2006/relationships/hyperlink" Target="https://www.nashp.org/2020-state-reopening-chart/" TargetMode="External"/><Relationship Id="rId647" Type="http://schemas.openxmlformats.org/officeDocument/2006/relationships/hyperlink" Target="https://www.nashp.org/2020-state-reopening-chart/" TargetMode="External"/><Relationship Id="rId889" Type="http://schemas.openxmlformats.org/officeDocument/2006/relationships/hyperlink" Target="https://www.nashp.org/2020-state-reopening-chart/" TargetMode="External"/><Relationship Id="rId880" Type="http://schemas.openxmlformats.org/officeDocument/2006/relationships/hyperlink" Target="https://www.nashp.org/2020-state-reopening-chart/" TargetMode="External"/><Relationship Id="rId400" Type="http://schemas.openxmlformats.org/officeDocument/2006/relationships/hyperlink" Target="https://www.nashp.org/2020-state-reopening-chart/" TargetMode="External"/><Relationship Id="rId642" Type="http://schemas.openxmlformats.org/officeDocument/2006/relationships/hyperlink" Target="https://www.nashp.org/2020-state-reopening-chart/" TargetMode="External"/><Relationship Id="rId884" Type="http://schemas.openxmlformats.org/officeDocument/2006/relationships/hyperlink" Target="https://www.nashp.org/governors-prioritize-health-for-all/" TargetMode="External"/><Relationship Id="rId641" Type="http://schemas.openxmlformats.org/officeDocument/2006/relationships/hyperlink" Target="https://www.nashp.org/2020-state-reopening-chart/" TargetMode="External"/><Relationship Id="rId883" Type="http://schemas.openxmlformats.org/officeDocument/2006/relationships/hyperlink" Target="https://www.nashp.org/governors-prioritize-health-for-all/" TargetMode="External"/><Relationship Id="rId640" Type="http://schemas.openxmlformats.org/officeDocument/2006/relationships/hyperlink" Target="https://www.nashp.org/2020-state-reopening-chart/" TargetMode="External"/><Relationship Id="rId882" Type="http://schemas.openxmlformats.org/officeDocument/2006/relationships/hyperlink" Target="https://www.nashp.org/governors-prioritize-health-for-all/" TargetMode="External"/><Relationship Id="rId881" Type="http://schemas.openxmlformats.org/officeDocument/2006/relationships/hyperlink" Target="https://www.nashp.org/governors-prioritize-health-for-all/" TargetMode="External"/><Relationship Id="rId635" Type="http://schemas.openxmlformats.org/officeDocument/2006/relationships/hyperlink" Target="https://www.nashp.org/governors-prioritize-health-for-all/" TargetMode="External"/><Relationship Id="rId877" Type="http://schemas.openxmlformats.org/officeDocument/2006/relationships/hyperlink" Target="https://www.nashp.org/2020-state-reopening-chart/" TargetMode="External"/><Relationship Id="rId634" Type="http://schemas.openxmlformats.org/officeDocument/2006/relationships/hyperlink" Target="https://www.nashp.org/governors-prioritize-health-for-all/" TargetMode="External"/><Relationship Id="rId876" Type="http://schemas.openxmlformats.org/officeDocument/2006/relationships/hyperlink" Target="https://www.nashp.org/2020-state-reopening-chart/" TargetMode="External"/><Relationship Id="rId633" Type="http://schemas.openxmlformats.org/officeDocument/2006/relationships/hyperlink" Target="https://www.nashp.org/governors-prioritize-health-for-all/" TargetMode="External"/><Relationship Id="rId875" Type="http://schemas.openxmlformats.org/officeDocument/2006/relationships/hyperlink" Target="https://www.nashp.org/2020-state-reopening-chart/" TargetMode="External"/><Relationship Id="rId632" Type="http://schemas.openxmlformats.org/officeDocument/2006/relationships/hyperlink" Target="https://www.nashp.org/governors-prioritize-health-for-all/" TargetMode="External"/><Relationship Id="rId874" Type="http://schemas.openxmlformats.org/officeDocument/2006/relationships/hyperlink" Target="https://www.nashp.org/2020-state-reopening-chart/" TargetMode="External"/><Relationship Id="rId639" Type="http://schemas.openxmlformats.org/officeDocument/2006/relationships/hyperlink" Target="https://www.cnn.com/2020/06/19/us/states-face-mask-coronavirus-trnd/index.html" TargetMode="External"/><Relationship Id="rId638" Type="http://schemas.openxmlformats.org/officeDocument/2006/relationships/hyperlink" Target="https://www.nashp.org/2020-state-reopening-chart/" TargetMode="External"/><Relationship Id="rId637" Type="http://schemas.openxmlformats.org/officeDocument/2006/relationships/hyperlink" Target="https://www.governor.ny.gov/news/novel-coronavirus-briefing-governor-cuomo-declares-state-emergency-contain-spread-virus" TargetMode="External"/><Relationship Id="rId879" Type="http://schemas.openxmlformats.org/officeDocument/2006/relationships/hyperlink" Target="https://www.nashp.org/2020-state-reopening-chart/" TargetMode="External"/><Relationship Id="rId636" Type="http://schemas.openxmlformats.org/officeDocument/2006/relationships/hyperlink" Target="https://www.nashp.org/governors-prioritize-health-for-all/" TargetMode="External"/><Relationship Id="rId878" Type="http://schemas.openxmlformats.org/officeDocument/2006/relationships/hyperlink" Target="https://www.nashp.org/2020-state-reopening-chart/" TargetMode="External"/><Relationship Id="rId631" Type="http://schemas.openxmlformats.org/officeDocument/2006/relationships/hyperlink" Target="https://www.nashp.org/governors-prioritize-health-for-all/" TargetMode="External"/><Relationship Id="rId873" Type="http://schemas.openxmlformats.org/officeDocument/2006/relationships/hyperlink" Target="https://www.nashp.org/2020-state-reopening-chart/" TargetMode="External"/><Relationship Id="rId630" Type="http://schemas.openxmlformats.org/officeDocument/2006/relationships/hyperlink" Target="https://www.nashp.org/governors-prioritize-health-for-all/" TargetMode="External"/><Relationship Id="rId872" Type="http://schemas.openxmlformats.org/officeDocument/2006/relationships/hyperlink" Target="https://www.nashp.org/2020-state-reopening-chart/" TargetMode="External"/><Relationship Id="rId871" Type="http://schemas.openxmlformats.org/officeDocument/2006/relationships/hyperlink" Target="https://www.nashp.org/2020-state-reopening-chart/" TargetMode="External"/><Relationship Id="rId870" Type="http://schemas.openxmlformats.org/officeDocument/2006/relationships/hyperlink" Target="https://www.nashp.org/2020-state-reopening-chart/" TargetMode="External"/><Relationship Id="rId829" Type="http://schemas.openxmlformats.org/officeDocument/2006/relationships/hyperlink" Target="https://www.cnn.com/2020/06/19/us/states-face-mask-coronavirus-trnd/index.html" TargetMode="External"/><Relationship Id="rId828" Type="http://schemas.openxmlformats.org/officeDocument/2006/relationships/hyperlink" Target="https://www.nashp.org/2020-state-reopening-chart/" TargetMode="External"/><Relationship Id="rId827" Type="http://schemas.openxmlformats.org/officeDocument/2006/relationships/hyperlink" Target="https://www.nashp.org/2020-state-reopening-chart/" TargetMode="External"/><Relationship Id="rId822" Type="http://schemas.openxmlformats.org/officeDocument/2006/relationships/hyperlink" Target="https://www.nashp.org/governors-prioritize-health-for-all/" TargetMode="External"/><Relationship Id="rId821" Type="http://schemas.openxmlformats.org/officeDocument/2006/relationships/hyperlink" Target="https://www.nashp.org/governors-prioritize-health-for-all/" TargetMode="External"/><Relationship Id="rId820" Type="http://schemas.openxmlformats.org/officeDocument/2006/relationships/hyperlink" Target="https://www.nashp.org/governors-prioritize-health-for-all/" TargetMode="External"/><Relationship Id="rId826" Type="http://schemas.openxmlformats.org/officeDocument/2006/relationships/hyperlink" Target="https://www.businessinsider.com/california-washington-state-of-emergency-coronavirus-what-it-means-2020-3" TargetMode="External"/><Relationship Id="rId825" Type="http://schemas.openxmlformats.org/officeDocument/2006/relationships/hyperlink" Target="https://www.nashp.org/governors-prioritize-health-for-all/" TargetMode="External"/><Relationship Id="rId824" Type="http://schemas.openxmlformats.org/officeDocument/2006/relationships/hyperlink" Target="https://www.nashp.org/governors-prioritize-health-for-all/" TargetMode="External"/><Relationship Id="rId823" Type="http://schemas.openxmlformats.org/officeDocument/2006/relationships/hyperlink" Target="https://www.nashp.org/governors-prioritize-health-for-all/" TargetMode="External"/><Relationship Id="rId819" Type="http://schemas.openxmlformats.org/officeDocument/2006/relationships/hyperlink" Target="https://www.nashp.org/2020-state-reopening-chart/" TargetMode="External"/><Relationship Id="rId818" Type="http://schemas.openxmlformats.org/officeDocument/2006/relationships/hyperlink" Target="https://www.nashp.org/2020-state-reopening-chart/" TargetMode="External"/><Relationship Id="rId817" Type="http://schemas.openxmlformats.org/officeDocument/2006/relationships/hyperlink" Target="https://www.nashp.org/2020-state-reopening-chart/" TargetMode="External"/><Relationship Id="rId816" Type="http://schemas.openxmlformats.org/officeDocument/2006/relationships/hyperlink" Target="https://www.nashp.org/2020-state-reopening-chart/" TargetMode="External"/><Relationship Id="rId811" Type="http://schemas.openxmlformats.org/officeDocument/2006/relationships/hyperlink" Target="https://www.nashp.org/2020-state-reopening-chart/" TargetMode="External"/><Relationship Id="rId810" Type="http://schemas.openxmlformats.org/officeDocument/2006/relationships/hyperlink" Target="https://www.nashp.org/2020-state-reopening-chart/" TargetMode="External"/><Relationship Id="rId815" Type="http://schemas.openxmlformats.org/officeDocument/2006/relationships/hyperlink" Target="https://www.nashp.org/2020-state-reopening-chart/" TargetMode="External"/><Relationship Id="rId814" Type="http://schemas.openxmlformats.org/officeDocument/2006/relationships/hyperlink" Target="https://www.nashp.org/2020-state-reopening-chart/" TargetMode="External"/><Relationship Id="rId813" Type="http://schemas.openxmlformats.org/officeDocument/2006/relationships/hyperlink" Target="https://www.nashp.org/2020-state-reopening-chart/" TargetMode="External"/><Relationship Id="rId812" Type="http://schemas.openxmlformats.org/officeDocument/2006/relationships/hyperlink" Target="https://www.nashp.org/2020-state-reopening-chart/" TargetMode="External"/><Relationship Id="rId609" Type="http://schemas.openxmlformats.org/officeDocument/2006/relationships/hyperlink" Target="https://www.businessinsider.com/california-washington-state-of-emergency-coronavirus-what-it-means-2020-3" TargetMode="External"/><Relationship Id="rId608" Type="http://schemas.openxmlformats.org/officeDocument/2006/relationships/hyperlink" Target="https://www.nashp.org/governors-prioritize-health-for-all/" TargetMode="External"/><Relationship Id="rId607" Type="http://schemas.openxmlformats.org/officeDocument/2006/relationships/hyperlink" Target="https://www.nashp.org/governors-prioritize-health-for-all/" TargetMode="External"/><Relationship Id="rId849" Type="http://schemas.openxmlformats.org/officeDocument/2006/relationships/hyperlink" Target="https://www.nashp.org/governors-prioritize-health-for-all/" TargetMode="External"/><Relationship Id="rId602" Type="http://schemas.openxmlformats.org/officeDocument/2006/relationships/hyperlink" Target="https://www.nashp.org/governors-prioritize-health-for-all/" TargetMode="External"/><Relationship Id="rId844" Type="http://schemas.openxmlformats.org/officeDocument/2006/relationships/hyperlink" Target="https://www.nashp.org/governors-prioritize-health-for-all/" TargetMode="External"/><Relationship Id="rId601" Type="http://schemas.openxmlformats.org/officeDocument/2006/relationships/hyperlink" Target="https://www.nashp.org/governors-prioritize-health-for-all/" TargetMode="External"/><Relationship Id="rId843" Type="http://schemas.openxmlformats.org/officeDocument/2006/relationships/hyperlink" Target="https://www.nashp.org/governors-prioritize-health-for-all/" TargetMode="External"/><Relationship Id="rId600" Type="http://schemas.openxmlformats.org/officeDocument/2006/relationships/hyperlink" Target="https://www.nashp.org/governors-prioritize-health-for-all/" TargetMode="External"/><Relationship Id="rId842" Type="http://schemas.openxmlformats.org/officeDocument/2006/relationships/hyperlink" Target="https://www.nashp.org/governors-prioritize-health-for-all/" TargetMode="External"/><Relationship Id="rId841" Type="http://schemas.openxmlformats.org/officeDocument/2006/relationships/hyperlink" Target="https://www.nashp.org/governors-prioritize-health-for-all/" TargetMode="External"/><Relationship Id="rId606" Type="http://schemas.openxmlformats.org/officeDocument/2006/relationships/hyperlink" Target="https://www.nashp.org/governors-prioritize-health-for-all/" TargetMode="External"/><Relationship Id="rId848" Type="http://schemas.openxmlformats.org/officeDocument/2006/relationships/hyperlink" Target="https://www.nashp.org/governors-prioritize-health-for-all/" TargetMode="External"/><Relationship Id="rId605" Type="http://schemas.openxmlformats.org/officeDocument/2006/relationships/hyperlink" Target="https://www.nashp.org/governors-prioritize-health-for-all/" TargetMode="External"/><Relationship Id="rId847" Type="http://schemas.openxmlformats.org/officeDocument/2006/relationships/hyperlink" Target="https://www.nashp.org/governors-prioritize-health-for-all/" TargetMode="External"/><Relationship Id="rId604" Type="http://schemas.openxmlformats.org/officeDocument/2006/relationships/hyperlink" Target="https://www.nashp.org/governors-prioritize-health-for-all/" TargetMode="External"/><Relationship Id="rId846" Type="http://schemas.openxmlformats.org/officeDocument/2006/relationships/hyperlink" Target="https://www.nashp.org/governors-prioritize-health-for-all/" TargetMode="External"/><Relationship Id="rId603" Type="http://schemas.openxmlformats.org/officeDocument/2006/relationships/hyperlink" Target="https://www.nashp.org/governors-prioritize-health-for-all/" TargetMode="External"/><Relationship Id="rId845" Type="http://schemas.openxmlformats.org/officeDocument/2006/relationships/hyperlink" Target="https://www.nashp.org/governors-prioritize-health-for-all/" TargetMode="External"/><Relationship Id="rId840" Type="http://schemas.openxmlformats.org/officeDocument/2006/relationships/hyperlink" Target="https://www.nashp.org/2020-state-reopening-chart/" TargetMode="External"/><Relationship Id="rId839" Type="http://schemas.openxmlformats.org/officeDocument/2006/relationships/hyperlink" Target="https://www.nashp.org/2020-state-reopening-chart/" TargetMode="External"/><Relationship Id="rId838" Type="http://schemas.openxmlformats.org/officeDocument/2006/relationships/hyperlink" Target="https://www.nashp.org/2020-state-reopening-chart/" TargetMode="External"/><Relationship Id="rId833" Type="http://schemas.openxmlformats.org/officeDocument/2006/relationships/hyperlink" Target="https://www.nashp.org/2020-state-reopening-chart/" TargetMode="External"/><Relationship Id="rId832" Type="http://schemas.openxmlformats.org/officeDocument/2006/relationships/hyperlink" Target="https://www.nashp.org/2020-state-reopening-chart/" TargetMode="External"/><Relationship Id="rId831" Type="http://schemas.openxmlformats.org/officeDocument/2006/relationships/hyperlink" Target="https://www.nashp.org/2020-state-reopening-chart/" TargetMode="External"/><Relationship Id="rId830" Type="http://schemas.openxmlformats.org/officeDocument/2006/relationships/hyperlink" Target="https://www.nashp.org/2020-state-reopening-chart/" TargetMode="External"/><Relationship Id="rId837" Type="http://schemas.openxmlformats.org/officeDocument/2006/relationships/hyperlink" Target="https://www.nashp.org/2020-state-reopening-chart/" TargetMode="External"/><Relationship Id="rId836" Type="http://schemas.openxmlformats.org/officeDocument/2006/relationships/hyperlink" Target="https://www.nashp.org/2020-state-reopening-chart/" TargetMode="External"/><Relationship Id="rId835" Type="http://schemas.openxmlformats.org/officeDocument/2006/relationships/hyperlink" Target="https://www.nashp.org/2020-state-reopening-chart/" TargetMode="External"/><Relationship Id="rId834" Type="http://schemas.openxmlformats.org/officeDocument/2006/relationships/hyperlink" Target="https://www.nashp.org/2020-state-reopening-chart/" TargetMode="External"/><Relationship Id="rId228" Type="http://schemas.openxmlformats.org/officeDocument/2006/relationships/hyperlink" Target="https://www.nashp.org/2020-state-reopening-chart/" TargetMode="External"/><Relationship Id="rId227" Type="http://schemas.openxmlformats.org/officeDocument/2006/relationships/hyperlink" Target="https://www.nashp.org/2020-state-reopening-chart/" TargetMode="External"/><Relationship Id="rId469" Type="http://schemas.openxmlformats.org/officeDocument/2006/relationships/hyperlink" Target="https://www.nashp.org/governors-prioritize-health-for-all/" TargetMode="External"/><Relationship Id="rId226" Type="http://schemas.openxmlformats.org/officeDocument/2006/relationships/hyperlink" Target="https://www.nashp.org/2020-state-reopening-chart/" TargetMode="External"/><Relationship Id="rId468" Type="http://schemas.openxmlformats.org/officeDocument/2006/relationships/hyperlink" Target="https://www.nashp.org/governors-prioritize-health-for-all/" TargetMode="External"/><Relationship Id="rId225" Type="http://schemas.openxmlformats.org/officeDocument/2006/relationships/hyperlink" Target="https://www.nashp.org/2020-state-reopening-chart/" TargetMode="External"/><Relationship Id="rId467" Type="http://schemas.openxmlformats.org/officeDocument/2006/relationships/hyperlink" Target="https://www.nashp.org/governors-prioritize-health-for-all/" TargetMode="External"/><Relationship Id="rId229" Type="http://schemas.openxmlformats.org/officeDocument/2006/relationships/hyperlink" Target="https://www.nashp.org/2020-state-reopening-chart/" TargetMode="External"/><Relationship Id="rId220" Type="http://schemas.openxmlformats.org/officeDocument/2006/relationships/hyperlink" Target="https://www.nashp.org/2020-state-reopening-chart/" TargetMode="External"/><Relationship Id="rId462" Type="http://schemas.openxmlformats.org/officeDocument/2006/relationships/hyperlink" Target="https://www.nashp.org/2020-state-reopening-chart/" TargetMode="External"/><Relationship Id="rId461" Type="http://schemas.openxmlformats.org/officeDocument/2006/relationships/hyperlink" Target="https://www.nashp.org/2020-state-reopening-chart/" TargetMode="External"/><Relationship Id="rId460" Type="http://schemas.openxmlformats.org/officeDocument/2006/relationships/hyperlink" Target="https://www.cnn.com/2020/06/19/us/states-face-mask-coronavirus-trnd/index.html" TargetMode="External"/><Relationship Id="rId224" Type="http://schemas.openxmlformats.org/officeDocument/2006/relationships/hyperlink" Target="https://www.nashp.org/2020-state-reopening-chart/" TargetMode="External"/><Relationship Id="rId466" Type="http://schemas.openxmlformats.org/officeDocument/2006/relationships/hyperlink" Target="https://www.nashp.org/2020-state-reopening-chart/" TargetMode="External"/><Relationship Id="rId223" Type="http://schemas.openxmlformats.org/officeDocument/2006/relationships/hyperlink" Target="https://www.nashp.org/2020-state-reopening-chart/" TargetMode="External"/><Relationship Id="rId465" Type="http://schemas.openxmlformats.org/officeDocument/2006/relationships/hyperlink" Target="https://www.nashp.org/2020-state-reopening-chart/" TargetMode="External"/><Relationship Id="rId222" Type="http://schemas.openxmlformats.org/officeDocument/2006/relationships/hyperlink" Target="https://www.nashp.org/2020-state-reopening-chart/" TargetMode="External"/><Relationship Id="rId464" Type="http://schemas.openxmlformats.org/officeDocument/2006/relationships/hyperlink" Target="https://www.nashp.org/2020-state-reopening-chart/" TargetMode="External"/><Relationship Id="rId221" Type="http://schemas.openxmlformats.org/officeDocument/2006/relationships/hyperlink" Target="https://www.nashp.org/2020-state-reopening-chart/" TargetMode="External"/><Relationship Id="rId463" Type="http://schemas.openxmlformats.org/officeDocument/2006/relationships/hyperlink" Target="https://www.nashp.org/2020-state-reopening-chart/" TargetMode="External"/><Relationship Id="rId217" Type="http://schemas.openxmlformats.org/officeDocument/2006/relationships/hyperlink" Target="https://www.businessinsider.com/california-washington-state-of-emergency-coronavirus-what-it-means-2020-3" TargetMode="External"/><Relationship Id="rId459" Type="http://schemas.openxmlformats.org/officeDocument/2006/relationships/hyperlink" Target="https://www.nashp.org/2020-state-reopening-chart/" TargetMode="External"/><Relationship Id="rId216" Type="http://schemas.openxmlformats.org/officeDocument/2006/relationships/hyperlink" Target="https://www.nashp.org/governors-prioritize-health-for-all/" TargetMode="External"/><Relationship Id="rId458" Type="http://schemas.openxmlformats.org/officeDocument/2006/relationships/hyperlink" Target="https://www.nashp.org/2020-state-reopening-chart/" TargetMode="External"/><Relationship Id="rId215" Type="http://schemas.openxmlformats.org/officeDocument/2006/relationships/hyperlink" Target="https://www.nashp.org/governors-prioritize-health-for-all/" TargetMode="External"/><Relationship Id="rId457" Type="http://schemas.openxmlformats.org/officeDocument/2006/relationships/hyperlink" Target="https://www.nashp.org/2020-state-reopening-chart/" TargetMode="External"/><Relationship Id="rId699" Type="http://schemas.openxmlformats.org/officeDocument/2006/relationships/hyperlink" Target="https://www.nashp.org/2020-state-reopening-chart/" TargetMode="External"/><Relationship Id="rId214" Type="http://schemas.openxmlformats.org/officeDocument/2006/relationships/hyperlink" Target="https://www.nashp.org/governors-prioritize-health-for-all/" TargetMode="External"/><Relationship Id="rId456" Type="http://schemas.openxmlformats.org/officeDocument/2006/relationships/hyperlink" Target="https://www.nashp.org/2020-state-reopening-chart/" TargetMode="External"/><Relationship Id="rId698" Type="http://schemas.openxmlformats.org/officeDocument/2006/relationships/hyperlink" Target="https://www.nashp.org/2020-state-reopening-chart/" TargetMode="External"/><Relationship Id="rId219" Type="http://schemas.openxmlformats.org/officeDocument/2006/relationships/hyperlink" Target="https://www.cnn.com/2020/06/19/us/states-face-mask-coronavirus-trnd/index.html" TargetMode="External"/><Relationship Id="rId218" Type="http://schemas.openxmlformats.org/officeDocument/2006/relationships/hyperlink" Target="https://www.nashp.org/2020-state-reopening-chart/" TargetMode="External"/><Relationship Id="rId451" Type="http://schemas.openxmlformats.org/officeDocument/2006/relationships/hyperlink" Target="https://www.nashp.org/governors-prioritize-health-for-all/" TargetMode="External"/><Relationship Id="rId693" Type="http://schemas.openxmlformats.org/officeDocument/2006/relationships/hyperlink" Target="https://www.nashp.org/2020-state-reopening-chart/" TargetMode="External"/><Relationship Id="rId450" Type="http://schemas.openxmlformats.org/officeDocument/2006/relationships/hyperlink" Target="https://www.nashp.org/governors-prioritize-health-for-all/" TargetMode="External"/><Relationship Id="rId692" Type="http://schemas.openxmlformats.org/officeDocument/2006/relationships/hyperlink" Target="https://www.nashp.org/2020-state-reopening-chart/" TargetMode="External"/><Relationship Id="rId691" Type="http://schemas.openxmlformats.org/officeDocument/2006/relationships/hyperlink" Target="https://www.businessinsider.com/california-washington-state-of-emergency-coronavirus-what-it-means-2020-3" TargetMode="External"/><Relationship Id="rId690" Type="http://schemas.openxmlformats.org/officeDocument/2006/relationships/hyperlink" Target="https://www.nashp.org/governors-prioritize-health-for-all/" TargetMode="External"/><Relationship Id="rId213" Type="http://schemas.openxmlformats.org/officeDocument/2006/relationships/hyperlink" Target="https://www.nashp.org/governors-prioritize-health-for-all/" TargetMode="External"/><Relationship Id="rId455" Type="http://schemas.openxmlformats.org/officeDocument/2006/relationships/hyperlink" Target="https://www.businessinsider.com/california-washington-state-of-emergency-coronavirus-what-it-means-2020-3" TargetMode="External"/><Relationship Id="rId697" Type="http://schemas.openxmlformats.org/officeDocument/2006/relationships/hyperlink" Target="https://www.nashp.org/2020-state-reopening-chart/" TargetMode="External"/><Relationship Id="rId212" Type="http://schemas.openxmlformats.org/officeDocument/2006/relationships/hyperlink" Target="https://www.nashp.org/governors-prioritize-health-for-all/" TargetMode="External"/><Relationship Id="rId454" Type="http://schemas.openxmlformats.org/officeDocument/2006/relationships/hyperlink" Target="https://www.nashp.org/governors-prioritize-health-for-all/" TargetMode="External"/><Relationship Id="rId696" Type="http://schemas.openxmlformats.org/officeDocument/2006/relationships/hyperlink" Target="https://www.cnn.com/2020/06/19/us/states-face-mask-coronavirus-trnd/index.html" TargetMode="External"/><Relationship Id="rId211" Type="http://schemas.openxmlformats.org/officeDocument/2006/relationships/hyperlink" Target="https://www.nashp.org/2020-state-reopening-chart/" TargetMode="External"/><Relationship Id="rId453" Type="http://schemas.openxmlformats.org/officeDocument/2006/relationships/hyperlink" Target="https://www.nashp.org/governors-prioritize-health-for-all/" TargetMode="External"/><Relationship Id="rId695" Type="http://schemas.openxmlformats.org/officeDocument/2006/relationships/hyperlink" Target="https://www.nashp.org/2020-state-reopening-chart/" TargetMode="External"/><Relationship Id="rId210" Type="http://schemas.openxmlformats.org/officeDocument/2006/relationships/hyperlink" Target="https://www.nashp.org/2020-state-reopening-chart/" TargetMode="External"/><Relationship Id="rId452" Type="http://schemas.openxmlformats.org/officeDocument/2006/relationships/hyperlink" Target="https://www.nashp.org/governors-prioritize-health-for-all/" TargetMode="External"/><Relationship Id="rId694" Type="http://schemas.openxmlformats.org/officeDocument/2006/relationships/hyperlink" Target="https://www.nashp.org/2020-state-reopening-chart/" TargetMode="External"/><Relationship Id="rId491" Type="http://schemas.openxmlformats.org/officeDocument/2006/relationships/hyperlink" Target="https://www.nashp.org/2020-state-reopening-chart/" TargetMode="External"/><Relationship Id="rId490" Type="http://schemas.openxmlformats.org/officeDocument/2006/relationships/hyperlink" Target="https://www.nashp.org/2020-state-reopening-chart/" TargetMode="External"/><Relationship Id="rId249" Type="http://schemas.openxmlformats.org/officeDocument/2006/relationships/hyperlink" Target="https://www.nashp.org/2020-state-reopening-chart/" TargetMode="External"/><Relationship Id="rId248" Type="http://schemas.openxmlformats.org/officeDocument/2006/relationships/hyperlink" Target="https://www.nashp.org/2020-state-reopening-chart/" TargetMode="External"/><Relationship Id="rId247" Type="http://schemas.openxmlformats.org/officeDocument/2006/relationships/hyperlink" Target="https://www.nashp.org/2020-state-reopening-chart/" TargetMode="External"/><Relationship Id="rId489" Type="http://schemas.openxmlformats.org/officeDocument/2006/relationships/hyperlink" Target="https://www.nashp.org/2020-state-reopening-chart/" TargetMode="External"/><Relationship Id="rId242" Type="http://schemas.openxmlformats.org/officeDocument/2006/relationships/hyperlink" Target="https://www.nashp.org/governors-prioritize-health-for-all/" TargetMode="External"/><Relationship Id="rId484" Type="http://schemas.openxmlformats.org/officeDocument/2006/relationships/hyperlink" Target="https://www.nashp.org/2020-state-reopening-chart/" TargetMode="External"/><Relationship Id="rId241" Type="http://schemas.openxmlformats.org/officeDocument/2006/relationships/hyperlink" Target="https://www.nashp.org/governors-prioritize-health-for-all/" TargetMode="External"/><Relationship Id="rId483" Type="http://schemas.openxmlformats.org/officeDocument/2006/relationships/hyperlink" Target="https://www.nashp.org/2020-state-reopening-chart/" TargetMode="External"/><Relationship Id="rId240" Type="http://schemas.openxmlformats.org/officeDocument/2006/relationships/hyperlink" Target="https://www.nashp.org/governors-prioritize-health-for-all/" TargetMode="External"/><Relationship Id="rId482" Type="http://schemas.openxmlformats.org/officeDocument/2006/relationships/hyperlink" Target="https://www.nashp.org/2020-state-reopening-chart/" TargetMode="External"/><Relationship Id="rId481" Type="http://schemas.openxmlformats.org/officeDocument/2006/relationships/hyperlink" Target="https://www.nashp.org/2020-state-reopening-chart/" TargetMode="External"/><Relationship Id="rId246" Type="http://schemas.openxmlformats.org/officeDocument/2006/relationships/hyperlink" Target="https://www.nashp.org/2020-state-reopening-chart/" TargetMode="External"/><Relationship Id="rId488" Type="http://schemas.openxmlformats.org/officeDocument/2006/relationships/hyperlink" Target="https://www.nashp.org/2020-state-reopening-chart/" TargetMode="External"/><Relationship Id="rId245" Type="http://schemas.openxmlformats.org/officeDocument/2006/relationships/hyperlink" Target="https://www.nashp.org/2020-state-reopening-chart/" TargetMode="External"/><Relationship Id="rId487" Type="http://schemas.openxmlformats.org/officeDocument/2006/relationships/hyperlink" Target="https://www.nashp.org/2020-state-reopening-chart/" TargetMode="External"/><Relationship Id="rId244" Type="http://schemas.openxmlformats.org/officeDocument/2006/relationships/hyperlink" Target="https://www.nashp.org/2020-state-reopening-chart/" TargetMode="External"/><Relationship Id="rId486" Type="http://schemas.openxmlformats.org/officeDocument/2006/relationships/hyperlink" Target="https://www.nashp.org/2020-state-reopening-chart/" TargetMode="External"/><Relationship Id="rId243" Type="http://schemas.openxmlformats.org/officeDocument/2006/relationships/hyperlink" Target="https://www.businessinsider.com/california-washington-state-of-emergency-coronavirus-what-it-means-2020-3" TargetMode="External"/><Relationship Id="rId485" Type="http://schemas.openxmlformats.org/officeDocument/2006/relationships/hyperlink" Target="https://www.nashp.org/2020-state-reopening-chart/" TargetMode="External"/><Relationship Id="rId480" Type="http://schemas.openxmlformats.org/officeDocument/2006/relationships/hyperlink" Target="https://www.businessinsider.com/california-washington-state-of-emergency-coronavirus-what-it-means-2020-3" TargetMode="External"/><Relationship Id="rId239" Type="http://schemas.openxmlformats.org/officeDocument/2006/relationships/hyperlink" Target="https://www.nashp.org/governors-prioritize-health-for-all/" TargetMode="External"/><Relationship Id="rId238" Type="http://schemas.openxmlformats.org/officeDocument/2006/relationships/hyperlink" Target="https://www.nashp.org/governors-prioritize-health-for-all/" TargetMode="External"/><Relationship Id="rId237" Type="http://schemas.openxmlformats.org/officeDocument/2006/relationships/hyperlink" Target="https://www.nashp.org/governors-prioritize-health-for-all/" TargetMode="External"/><Relationship Id="rId479" Type="http://schemas.openxmlformats.org/officeDocument/2006/relationships/hyperlink" Target="https://www.nashp.org/governors-prioritize-health-for-all/" TargetMode="External"/><Relationship Id="rId236" Type="http://schemas.openxmlformats.org/officeDocument/2006/relationships/hyperlink" Target="https://www.nashp.org/governors-prioritize-health-for-all/" TargetMode="External"/><Relationship Id="rId478" Type="http://schemas.openxmlformats.org/officeDocument/2006/relationships/hyperlink" Target="https://www.nashp.org/governors-prioritize-health-for-all/" TargetMode="External"/><Relationship Id="rId231" Type="http://schemas.openxmlformats.org/officeDocument/2006/relationships/hyperlink" Target="https://www.nashp.org/2020-state-reopening-chart/" TargetMode="External"/><Relationship Id="rId473" Type="http://schemas.openxmlformats.org/officeDocument/2006/relationships/hyperlink" Target="https://www.nashp.org/governors-prioritize-health-for-all/" TargetMode="External"/><Relationship Id="rId230" Type="http://schemas.openxmlformats.org/officeDocument/2006/relationships/hyperlink" Target="https://www.nashp.org/2020-state-reopening-chart/" TargetMode="External"/><Relationship Id="rId472" Type="http://schemas.openxmlformats.org/officeDocument/2006/relationships/hyperlink" Target="https://www.nashp.org/governors-prioritize-health-for-all/" TargetMode="External"/><Relationship Id="rId471" Type="http://schemas.openxmlformats.org/officeDocument/2006/relationships/hyperlink" Target="https://www.nashp.org/governors-prioritize-health-for-all/" TargetMode="External"/><Relationship Id="rId470" Type="http://schemas.openxmlformats.org/officeDocument/2006/relationships/hyperlink" Target="https://www.nashp.org/governors-prioritize-health-for-all/" TargetMode="External"/><Relationship Id="rId235" Type="http://schemas.openxmlformats.org/officeDocument/2006/relationships/hyperlink" Target="https://www.nashp.org/governors-prioritize-health-for-all/" TargetMode="External"/><Relationship Id="rId477" Type="http://schemas.openxmlformats.org/officeDocument/2006/relationships/hyperlink" Target="https://www.nashp.org/governors-prioritize-health-for-all/" TargetMode="External"/><Relationship Id="rId234" Type="http://schemas.openxmlformats.org/officeDocument/2006/relationships/hyperlink" Target="https://www.nashp.org/governors-prioritize-health-for-all/" TargetMode="External"/><Relationship Id="rId476" Type="http://schemas.openxmlformats.org/officeDocument/2006/relationships/hyperlink" Target="https://www.nashp.org/governors-prioritize-health-for-all/" TargetMode="External"/><Relationship Id="rId233" Type="http://schemas.openxmlformats.org/officeDocument/2006/relationships/hyperlink" Target="https://www.nashp.org/governors-prioritize-health-for-all/" TargetMode="External"/><Relationship Id="rId475" Type="http://schemas.openxmlformats.org/officeDocument/2006/relationships/hyperlink" Target="https://www.nashp.org/governors-prioritize-health-for-all/" TargetMode="External"/><Relationship Id="rId232" Type="http://schemas.openxmlformats.org/officeDocument/2006/relationships/hyperlink" Target="https://www.nashp.org/2020-state-reopening-chart/" TargetMode="External"/><Relationship Id="rId474" Type="http://schemas.openxmlformats.org/officeDocument/2006/relationships/hyperlink" Target="https://www.nashp.org/governors-prioritize-health-for-all/" TargetMode="External"/><Relationship Id="rId1015" Type="http://schemas.openxmlformats.org/officeDocument/2006/relationships/hyperlink" Target="https://www.nashp.org/2020-state-reopening-chart/" TargetMode="External"/><Relationship Id="rId1016" Type="http://schemas.openxmlformats.org/officeDocument/2006/relationships/hyperlink" Target="https://www.nashp.org/governors-prioritize-health-for-all/" TargetMode="External"/><Relationship Id="rId1017" Type="http://schemas.openxmlformats.org/officeDocument/2006/relationships/hyperlink" Target="https://www.nashp.org/governors-prioritize-health-for-all/" TargetMode="External"/><Relationship Id="rId1018" Type="http://schemas.openxmlformats.org/officeDocument/2006/relationships/hyperlink" Target="https://www.nashp.org/governors-prioritize-health-for-all/" TargetMode="External"/><Relationship Id="rId1019" Type="http://schemas.openxmlformats.org/officeDocument/2006/relationships/hyperlink" Target="https://www.nashp.org/governors-prioritize-health-for-all/" TargetMode="External"/><Relationship Id="rId426" Type="http://schemas.openxmlformats.org/officeDocument/2006/relationships/hyperlink" Target="https://www.businessinsider.com/california-washington-state-of-emergency-coronavirus-what-it-means-2020-3" TargetMode="External"/><Relationship Id="rId668" Type="http://schemas.openxmlformats.org/officeDocument/2006/relationships/hyperlink" Target="https://www.nashp.org/governors-prioritize-health-for-all/" TargetMode="External"/><Relationship Id="rId425" Type="http://schemas.openxmlformats.org/officeDocument/2006/relationships/hyperlink" Target="https://www.nashp.org/governors-prioritize-health-for-all/" TargetMode="External"/><Relationship Id="rId667" Type="http://schemas.openxmlformats.org/officeDocument/2006/relationships/hyperlink" Target="https://www.nashp.org/governors-prioritize-health-for-all/" TargetMode="External"/><Relationship Id="rId424" Type="http://schemas.openxmlformats.org/officeDocument/2006/relationships/hyperlink" Target="https://www.nashp.org/governors-prioritize-health-for-all/" TargetMode="External"/><Relationship Id="rId666" Type="http://schemas.openxmlformats.org/officeDocument/2006/relationships/hyperlink" Target="https://www.nashp.org/governors-prioritize-health-for-all/" TargetMode="External"/><Relationship Id="rId423" Type="http://schemas.openxmlformats.org/officeDocument/2006/relationships/hyperlink" Target="https://www.nashp.org/governors-prioritize-health-for-all/" TargetMode="External"/><Relationship Id="rId665" Type="http://schemas.openxmlformats.org/officeDocument/2006/relationships/hyperlink" Target="https://www.nashp.org/governors-prioritize-health-for-all/" TargetMode="External"/><Relationship Id="rId429" Type="http://schemas.openxmlformats.org/officeDocument/2006/relationships/hyperlink" Target="https://www.nashp.org/2020-state-reopening-chart/" TargetMode="External"/><Relationship Id="rId428" Type="http://schemas.openxmlformats.org/officeDocument/2006/relationships/hyperlink" Target="https://www.cnn.com/2020/06/19/us/states-face-mask-coronavirus-trnd/index.html" TargetMode="External"/><Relationship Id="rId427" Type="http://schemas.openxmlformats.org/officeDocument/2006/relationships/hyperlink" Target="https://www.nashp.org/2020-state-reopening-chart/" TargetMode="External"/><Relationship Id="rId669" Type="http://schemas.openxmlformats.org/officeDocument/2006/relationships/hyperlink" Target="https://www.nashp.org/governors-prioritize-health-for-all/" TargetMode="External"/><Relationship Id="rId660" Type="http://schemas.openxmlformats.org/officeDocument/2006/relationships/hyperlink" Target="https://www.nashp.org/governors-prioritize-health-for-all/" TargetMode="External"/><Relationship Id="rId1010" Type="http://schemas.openxmlformats.org/officeDocument/2006/relationships/hyperlink" Target="https://www.nashp.org/2020-state-reopening-chart/" TargetMode="External"/><Relationship Id="rId422" Type="http://schemas.openxmlformats.org/officeDocument/2006/relationships/hyperlink" Target="https://www.nashp.org/governors-prioritize-health-for-all/" TargetMode="External"/><Relationship Id="rId664" Type="http://schemas.openxmlformats.org/officeDocument/2006/relationships/hyperlink" Target="https://www.nashp.org/governors-prioritize-health-for-all/" TargetMode="External"/><Relationship Id="rId1011" Type="http://schemas.openxmlformats.org/officeDocument/2006/relationships/hyperlink" Target="https://www.nashp.org/2020-state-reopening-chart/" TargetMode="External"/><Relationship Id="rId421" Type="http://schemas.openxmlformats.org/officeDocument/2006/relationships/hyperlink" Target="https://www.nashp.org/governors-prioritize-health-for-all/" TargetMode="External"/><Relationship Id="rId663" Type="http://schemas.openxmlformats.org/officeDocument/2006/relationships/hyperlink" Target="https://www.nashp.org/governors-prioritize-health-for-all/" TargetMode="External"/><Relationship Id="rId1012" Type="http://schemas.openxmlformats.org/officeDocument/2006/relationships/hyperlink" Target="https://www.nashp.org/2020-state-reopening-chart/" TargetMode="External"/><Relationship Id="rId420" Type="http://schemas.openxmlformats.org/officeDocument/2006/relationships/hyperlink" Target="https://www.nashp.org/governors-prioritize-health-for-all/" TargetMode="External"/><Relationship Id="rId662" Type="http://schemas.openxmlformats.org/officeDocument/2006/relationships/hyperlink" Target="https://www.nashp.org/governors-prioritize-health-for-all/" TargetMode="External"/><Relationship Id="rId1013" Type="http://schemas.openxmlformats.org/officeDocument/2006/relationships/hyperlink" Target="https://www.nashp.org/2020-state-reopening-chart/" TargetMode="External"/><Relationship Id="rId661" Type="http://schemas.openxmlformats.org/officeDocument/2006/relationships/hyperlink" Target="https://www.nashp.org/governors-prioritize-health-for-all/" TargetMode="External"/><Relationship Id="rId1014" Type="http://schemas.openxmlformats.org/officeDocument/2006/relationships/hyperlink" Target="https://www.nashp.org/2020-state-reopening-chart/" TargetMode="External"/><Relationship Id="rId1004" Type="http://schemas.openxmlformats.org/officeDocument/2006/relationships/hyperlink" Target="https://www.nashp.org/governors-prioritize-health-for-all/" TargetMode="External"/><Relationship Id="rId1005" Type="http://schemas.openxmlformats.org/officeDocument/2006/relationships/hyperlink" Target="https://www.businessinsider.com/california-washington-state-of-emergency-coronavirus-what-it-means-2020-3" TargetMode="External"/><Relationship Id="rId1006" Type="http://schemas.openxmlformats.org/officeDocument/2006/relationships/hyperlink" Target="https://www.nashp.org/2020-state-reopening-chart/" TargetMode="External"/><Relationship Id="rId1007" Type="http://schemas.openxmlformats.org/officeDocument/2006/relationships/hyperlink" Target="https://www.nashp.org/2020-state-reopening-chart/" TargetMode="External"/><Relationship Id="rId1008" Type="http://schemas.openxmlformats.org/officeDocument/2006/relationships/hyperlink" Target="https://www.nashp.org/2020-state-reopening-chart/" TargetMode="External"/><Relationship Id="rId1009" Type="http://schemas.openxmlformats.org/officeDocument/2006/relationships/hyperlink" Target="https://www.cnn.com/2020/06/19/us/states-face-mask-coronavirus-trnd/index.html" TargetMode="External"/><Relationship Id="rId415" Type="http://schemas.openxmlformats.org/officeDocument/2006/relationships/hyperlink" Target="https://www.nashp.org/2020-state-reopening-chart/" TargetMode="External"/><Relationship Id="rId657" Type="http://schemas.openxmlformats.org/officeDocument/2006/relationships/hyperlink" Target="https://www.nashp.org/governors-prioritize-health-for-all/" TargetMode="External"/><Relationship Id="rId899" Type="http://schemas.openxmlformats.org/officeDocument/2006/relationships/hyperlink" Target="https://www.nashp.org/governors-prioritize-health-for-all/" TargetMode="External"/><Relationship Id="rId414" Type="http://schemas.openxmlformats.org/officeDocument/2006/relationships/hyperlink" Target="https://www.nashp.org/2020-state-reopening-chart/" TargetMode="External"/><Relationship Id="rId656" Type="http://schemas.openxmlformats.org/officeDocument/2006/relationships/hyperlink" Target="https://www.nashp.org/2020-state-reopening-chart/" TargetMode="External"/><Relationship Id="rId898" Type="http://schemas.openxmlformats.org/officeDocument/2006/relationships/hyperlink" Target="https://www.nashp.org/governors-prioritize-health-for-all/" TargetMode="External"/><Relationship Id="rId413" Type="http://schemas.openxmlformats.org/officeDocument/2006/relationships/hyperlink" Target="https://www.nashp.org/2020-state-reopening-chart/" TargetMode="External"/><Relationship Id="rId655" Type="http://schemas.openxmlformats.org/officeDocument/2006/relationships/hyperlink" Target="https://www.nashp.org/2020-state-reopening-chart/" TargetMode="External"/><Relationship Id="rId897" Type="http://schemas.openxmlformats.org/officeDocument/2006/relationships/hyperlink" Target="https://www.nashp.org/governors-prioritize-health-for-all/" TargetMode="External"/><Relationship Id="rId412" Type="http://schemas.openxmlformats.org/officeDocument/2006/relationships/hyperlink" Target="https://www.nashp.org/2020-state-reopening-chart/" TargetMode="External"/><Relationship Id="rId654" Type="http://schemas.openxmlformats.org/officeDocument/2006/relationships/hyperlink" Target="https://www.nashp.org/2020-state-reopening-chart/" TargetMode="External"/><Relationship Id="rId896" Type="http://schemas.openxmlformats.org/officeDocument/2006/relationships/hyperlink" Target="https://www.nashp.org/2020-state-reopening-chart/" TargetMode="External"/><Relationship Id="rId419" Type="http://schemas.openxmlformats.org/officeDocument/2006/relationships/hyperlink" Target="https://www.nashp.org/governors-prioritize-health-for-all/" TargetMode="External"/><Relationship Id="rId418" Type="http://schemas.openxmlformats.org/officeDocument/2006/relationships/hyperlink" Target="https://www.nashp.org/governors-prioritize-health-for-all/" TargetMode="External"/><Relationship Id="rId417" Type="http://schemas.openxmlformats.org/officeDocument/2006/relationships/hyperlink" Target="https://www.nashp.org/governors-prioritize-health-for-all/" TargetMode="External"/><Relationship Id="rId659" Type="http://schemas.openxmlformats.org/officeDocument/2006/relationships/hyperlink" Target="https://www.nashp.org/governors-prioritize-health-for-all/" TargetMode="External"/><Relationship Id="rId416" Type="http://schemas.openxmlformats.org/officeDocument/2006/relationships/hyperlink" Target="https://www.nashp.org/governors-prioritize-health-for-all/" TargetMode="External"/><Relationship Id="rId658" Type="http://schemas.openxmlformats.org/officeDocument/2006/relationships/hyperlink" Target="https://www.nashp.org/governors-prioritize-health-for-all/" TargetMode="External"/><Relationship Id="rId891" Type="http://schemas.openxmlformats.org/officeDocument/2006/relationships/hyperlink" Target="https://www.nashp.org/2020-state-reopening-chart/" TargetMode="External"/><Relationship Id="rId890" Type="http://schemas.openxmlformats.org/officeDocument/2006/relationships/hyperlink" Target="https://www.nashp.org/2020-state-reopening-chart/" TargetMode="External"/><Relationship Id="rId411" Type="http://schemas.openxmlformats.org/officeDocument/2006/relationships/hyperlink" Target="https://www.nashp.org/2020-state-reopening-chart/" TargetMode="External"/><Relationship Id="rId653" Type="http://schemas.openxmlformats.org/officeDocument/2006/relationships/hyperlink" Target="https://www.nashp.org/2020-state-reopening-chart/" TargetMode="External"/><Relationship Id="rId895" Type="http://schemas.openxmlformats.org/officeDocument/2006/relationships/hyperlink" Target="https://www.nashp.org/2020-state-reopening-chart/" TargetMode="External"/><Relationship Id="rId1000" Type="http://schemas.openxmlformats.org/officeDocument/2006/relationships/hyperlink" Target="https://www.nashp.org/governors-prioritize-health-for-all/" TargetMode="External"/><Relationship Id="rId410" Type="http://schemas.openxmlformats.org/officeDocument/2006/relationships/hyperlink" Target="https://www.nashp.org/2020-state-reopening-chart/" TargetMode="External"/><Relationship Id="rId652" Type="http://schemas.openxmlformats.org/officeDocument/2006/relationships/hyperlink" Target="https://www.nashp.org/2020-state-reopening-chart/" TargetMode="External"/><Relationship Id="rId894" Type="http://schemas.openxmlformats.org/officeDocument/2006/relationships/hyperlink" Target="https://www.nashp.org/2020-state-reopening-chart/" TargetMode="External"/><Relationship Id="rId1001" Type="http://schemas.openxmlformats.org/officeDocument/2006/relationships/hyperlink" Target="https://www.nashp.org/governors-prioritize-health-for-all/" TargetMode="External"/><Relationship Id="rId651" Type="http://schemas.openxmlformats.org/officeDocument/2006/relationships/hyperlink" Target="https://www.nashp.org/2020-state-reopening-chart/" TargetMode="External"/><Relationship Id="rId893" Type="http://schemas.openxmlformats.org/officeDocument/2006/relationships/hyperlink" Target="https://www.cnn.com/2020/06/19/us/states-face-mask-coronavirus-trnd/index.html" TargetMode="External"/><Relationship Id="rId1002" Type="http://schemas.openxmlformats.org/officeDocument/2006/relationships/hyperlink" Target="https://www.nashp.org/governors-prioritize-health-for-all/" TargetMode="External"/><Relationship Id="rId650" Type="http://schemas.openxmlformats.org/officeDocument/2006/relationships/hyperlink" Target="https://www.nashp.org/2020-state-reopening-chart/" TargetMode="External"/><Relationship Id="rId892" Type="http://schemas.openxmlformats.org/officeDocument/2006/relationships/hyperlink" Target="https://www.nashp.org/2020-state-reopening-chart/" TargetMode="External"/><Relationship Id="rId1003" Type="http://schemas.openxmlformats.org/officeDocument/2006/relationships/hyperlink" Target="https://www.nashp.org/governors-prioritize-health-for-all/" TargetMode="External"/><Relationship Id="rId206" Type="http://schemas.openxmlformats.org/officeDocument/2006/relationships/hyperlink" Target="https://www.nashp.org/2020-state-reopening-chart/" TargetMode="External"/><Relationship Id="rId448" Type="http://schemas.openxmlformats.org/officeDocument/2006/relationships/hyperlink" Target="https://www.nashp.org/governors-prioritize-health-for-all/" TargetMode="External"/><Relationship Id="rId205" Type="http://schemas.openxmlformats.org/officeDocument/2006/relationships/hyperlink" Target="https://www.businessinsider.com/california-washington-state-of-emergency-coronavirus-what-it-means-2020-3" TargetMode="External"/><Relationship Id="rId447" Type="http://schemas.openxmlformats.org/officeDocument/2006/relationships/hyperlink" Target="https://www.nashp.org/governors-prioritize-health-for-all/" TargetMode="External"/><Relationship Id="rId689" Type="http://schemas.openxmlformats.org/officeDocument/2006/relationships/hyperlink" Target="https://www.nashp.org/governors-prioritize-health-for-all/" TargetMode="External"/><Relationship Id="rId204" Type="http://schemas.openxmlformats.org/officeDocument/2006/relationships/hyperlink" Target="https://www.nashp.org/governors-prioritize-health-for-all/" TargetMode="External"/><Relationship Id="rId446" Type="http://schemas.openxmlformats.org/officeDocument/2006/relationships/hyperlink" Target="https://www.nashp.org/governors-prioritize-health-for-all/" TargetMode="External"/><Relationship Id="rId688" Type="http://schemas.openxmlformats.org/officeDocument/2006/relationships/hyperlink" Target="https://www.nashp.org/governors-prioritize-health-for-all/" TargetMode="External"/><Relationship Id="rId203" Type="http://schemas.openxmlformats.org/officeDocument/2006/relationships/hyperlink" Target="https://www.nashp.org/governors-prioritize-health-for-all/" TargetMode="External"/><Relationship Id="rId445" Type="http://schemas.openxmlformats.org/officeDocument/2006/relationships/hyperlink" Target="https://www.nashp.org/governors-prioritize-health-for-all/" TargetMode="External"/><Relationship Id="rId687" Type="http://schemas.openxmlformats.org/officeDocument/2006/relationships/hyperlink" Target="https://www.nashp.org/governors-prioritize-health-for-all/" TargetMode="External"/><Relationship Id="rId209" Type="http://schemas.openxmlformats.org/officeDocument/2006/relationships/hyperlink" Target="https://www.nashp.org/2020-state-reopening-chart/" TargetMode="External"/><Relationship Id="rId208" Type="http://schemas.openxmlformats.org/officeDocument/2006/relationships/hyperlink" Target="https://www.nashp.org/2020-state-reopening-chart/" TargetMode="External"/><Relationship Id="rId207" Type="http://schemas.openxmlformats.org/officeDocument/2006/relationships/hyperlink" Target="https://www.nashp.org/2020-state-reopening-chart/" TargetMode="External"/><Relationship Id="rId449" Type="http://schemas.openxmlformats.org/officeDocument/2006/relationships/hyperlink" Target="https://www.nashp.org/governors-prioritize-health-for-all/" TargetMode="External"/><Relationship Id="rId440" Type="http://schemas.openxmlformats.org/officeDocument/2006/relationships/hyperlink" Target="https://www.nashp.org/governors-prioritize-health-for-all/" TargetMode="External"/><Relationship Id="rId682" Type="http://schemas.openxmlformats.org/officeDocument/2006/relationships/hyperlink" Target="https://www.nashp.org/governors-prioritize-health-for-all/" TargetMode="External"/><Relationship Id="rId681" Type="http://schemas.openxmlformats.org/officeDocument/2006/relationships/hyperlink" Target="https://www.nashp.org/governors-prioritize-health-for-all/" TargetMode="External"/><Relationship Id="rId1030" Type="http://schemas.openxmlformats.org/officeDocument/2006/relationships/hyperlink" Target="https://www.nashp.org/2020-state-reopening-chart/" TargetMode="External"/><Relationship Id="rId680" Type="http://schemas.openxmlformats.org/officeDocument/2006/relationships/hyperlink" Target="https://www.nashp.org/governors-prioritize-health-for-all/" TargetMode="External"/><Relationship Id="rId1031" Type="http://schemas.openxmlformats.org/officeDocument/2006/relationships/hyperlink" Target="https://www.nashp.org/governors-prioritize-health-for-all/" TargetMode="External"/><Relationship Id="rId1032" Type="http://schemas.openxmlformats.org/officeDocument/2006/relationships/hyperlink" Target="https://www.nashp.org/governors-prioritize-health-for-all/" TargetMode="External"/><Relationship Id="rId202" Type="http://schemas.openxmlformats.org/officeDocument/2006/relationships/hyperlink" Target="https://www.nashp.org/governors-prioritize-health-for-all/" TargetMode="External"/><Relationship Id="rId444" Type="http://schemas.openxmlformats.org/officeDocument/2006/relationships/hyperlink" Target="https://www.nashp.org/2020-state-reopening-chart/" TargetMode="External"/><Relationship Id="rId686" Type="http://schemas.openxmlformats.org/officeDocument/2006/relationships/hyperlink" Target="https://www.nashp.org/governors-prioritize-health-for-all/" TargetMode="External"/><Relationship Id="rId1033" Type="http://schemas.openxmlformats.org/officeDocument/2006/relationships/hyperlink" Target="https://www.nashp.org/governors-prioritize-health-for-all/" TargetMode="External"/><Relationship Id="rId201" Type="http://schemas.openxmlformats.org/officeDocument/2006/relationships/hyperlink" Target="https://www.nashp.org/governors-prioritize-health-for-all/" TargetMode="External"/><Relationship Id="rId443" Type="http://schemas.openxmlformats.org/officeDocument/2006/relationships/hyperlink" Target="https://www.nashp.org/2020-state-reopening-chart/" TargetMode="External"/><Relationship Id="rId685" Type="http://schemas.openxmlformats.org/officeDocument/2006/relationships/hyperlink" Target="https://www.nashp.org/governors-prioritize-health-for-all/" TargetMode="External"/><Relationship Id="rId1034" Type="http://schemas.openxmlformats.org/officeDocument/2006/relationships/hyperlink" Target="https://www.nashp.org/governors-prioritize-health-for-all/" TargetMode="External"/><Relationship Id="rId200" Type="http://schemas.openxmlformats.org/officeDocument/2006/relationships/hyperlink" Target="https://www.nashp.org/governors-prioritize-health-for-all/" TargetMode="External"/><Relationship Id="rId442" Type="http://schemas.openxmlformats.org/officeDocument/2006/relationships/hyperlink" Target="https://www.nashp.org/2020-state-reopening-chart/" TargetMode="External"/><Relationship Id="rId684" Type="http://schemas.openxmlformats.org/officeDocument/2006/relationships/hyperlink" Target="https://www.nashp.org/governors-prioritize-health-for-all/" TargetMode="External"/><Relationship Id="rId1035" Type="http://schemas.openxmlformats.org/officeDocument/2006/relationships/drawing" Target="../drawings/drawing2.xml"/><Relationship Id="rId441" Type="http://schemas.openxmlformats.org/officeDocument/2006/relationships/hyperlink" Target="https://www.nashp.org/2020-state-reopening-chart/" TargetMode="External"/><Relationship Id="rId683" Type="http://schemas.openxmlformats.org/officeDocument/2006/relationships/hyperlink" Target="https://www.nashp.org/governors-prioritize-health-for-all/" TargetMode="External"/><Relationship Id="rId1026" Type="http://schemas.openxmlformats.org/officeDocument/2006/relationships/hyperlink" Target="https://www.nashp.org/2020-state-reopening-chart/" TargetMode="External"/><Relationship Id="rId1027" Type="http://schemas.openxmlformats.org/officeDocument/2006/relationships/hyperlink" Target="https://www.nashp.org/2020-state-reopening-chart/" TargetMode="External"/><Relationship Id="rId1028" Type="http://schemas.openxmlformats.org/officeDocument/2006/relationships/hyperlink" Target="https://www.nashp.org/2020-state-reopening-chart/" TargetMode="External"/><Relationship Id="rId1029" Type="http://schemas.openxmlformats.org/officeDocument/2006/relationships/hyperlink" Target="https://masks4all.co/what-states-require-masks/" TargetMode="External"/><Relationship Id="rId437" Type="http://schemas.openxmlformats.org/officeDocument/2006/relationships/hyperlink" Target="https://www.nashp.org/2020-state-reopening-chart/" TargetMode="External"/><Relationship Id="rId679" Type="http://schemas.openxmlformats.org/officeDocument/2006/relationships/hyperlink" Target="https://www.nashp.org/governors-prioritize-health-for-all/" TargetMode="External"/><Relationship Id="rId436" Type="http://schemas.openxmlformats.org/officeDocument/2006/relationships/hyperlink" Target="https://www.nashp.org/2020-state-reopening-chart/" TargetMode="External"/><Relationship Id="rId678" Type="http://schemas.openxmlformats.org/officeDocument/2006/relationships/hyperlink" Target="https://www.nashp.org/governors-prioritize-health-for-all/" TargetMode="External"/><Relationship Id="rId435" Type="http://schemas.openxmlformats.org/officeDocument/2006/relationships/hyperlink" Target="https://www.nashp.org/2020-state-reopening-chart/" TargetMode="External"/><Relationship Id="rId677" Type="http://schemas.openxmlformats.org/officeDocument/2006/relationships/hyperlink" Target="https://www.nashp.org/governors-prioritize-health-for-all/" TargetMode="External"/><Relationship Id="rId434" Type="http://schemas.openxmlformats.org/officeDocument/2006/relationships/hyperlink" Target="https://www.nashp.org/2020-state-reopening-chart/" TargetMode="External"/><Relationship Id="rId676" Type="http://schemas.openxmlformats.org/officeDocument/2006/relationships/hyperlink" Target="https://www.nashp.org/governors-prioritize-health-for-all/" TargetMode="External"/><Relationship Id="rId439" Type="http://schemas.openxmlformats.org/officeDocument/2006/relationships/hyperlink" Target="https://www.nashp.org/2020-state-reopening-chart/" TargetMode="External"/><Relationship Id="rId438" Type="http://schemas.openxmlformats.org/officeDocument/2006/relationships/hyperlink" Target="https://www.nashp.org/2020-state-reopening-chart/" TargetMode="External"/><Relationship Id="rId671" Type="http://schemas.openxmlformats.org/officeDocument/2006/relationships/hyperlink" Target="https://www.nashp.org/governors-prioritize-health-for-all/" TargetMode="External"/><Relationship Id="rId670" Type="http://schemas.openxmlformats.org/officeDocument/2006/relationships/hyperlink" Target="https://www.nashp.org/governors-prioritize-health-for-all/" TargetMode="External"/><Relationship Id="rId1020" Type="http://schemas.openxmlformats.org/officeDocument/2006/relationships/hyperlink" Target="https://www.nashp.org/governors-prioritize-health-for-all/" TargetMode="External"/><Relationship Id="rId1021" Type="http://schemas.openxmlformats.org/officeDocument/2006/relationships/hyperlink" Target="https://www.nashp.org/governors-prioritize-health-for-all/" TargetMode="External"/><Relationship Id="rId433" Type="http://schemas.openxmlformats.org/officeDocument/2006/relationships/hyperlink" Target="https://www.nashp.org/2020-state-reopening-chart/" TargetMode="External"/><Relationship Id="rId675" Type="http://schemas.openxmlformats.org/officeDocument/2006/relationships/hyperlink" Target="https://www.nashp.org/governors-prioritize-health-for-all/" TargetMode="External"/><Relationship Id="rId1022" Type="http://schemas.openxmlformats.org/officeDocument/2006/relationships/hyperlink" Target="https://www.businessinsider.com/california-washington-state-of-emergency-coronavirus-what-it-means-2020-3" TargetMode="External"/><Relationship Id="rId432" Type="http://schemas.openxmlformats.org/officeDocument/2006/relationships/hyperlink" Target="https://www.nashp.org/2020-state-reopening-chart/" TargetMode="External"/><Relationship Id="rId674" Type="http://schemas.openxmlformats.org/officeDocument/2006/relationships/hyperlink" Target="https://www.nashp.org/governors-prioritize-health-for-all/" TargetMode="External"/><Relationship Id="rId1023" Type="http://schemas.openxmlformats.org/officeDocument/2006/relationships/hyperlink" Target="https://www.nashp.org/2020-state-reopening-chart/" TargetMode="External"/><Relationship Id="rId431" Type="http://schemas.openxmlformats.org/officeDocument/2006/relationships/hyperlink" Target="https://www.nashp.org/2020-state-reopening-chart/" TargetMode="External"/><Relationship Id="rId673" Type="http://schemas.openxmlformats.org/officeDocument/2006/relationships/hyperlink" Target="https://www.nashp.org/governors-prioritize-health-for-all/" TargetMode="External"/><Relationship Id="rId1024" Type="http://schemas.openxmlformats.org/officeDocument/2006/relationships/hyperlink" Target="https://www.nashp.org/2020-state-reopening-chart/" TargetMode="External"/><Relationship Id="rId430" Type="http://schemas.openxmlformats.org/officeDocument/2006/relationships/hyperlink" Target="https://www.nashp.org/2020-state-reopening-chart/" TargetMode="External"/><Relationship Id="rId672" Type="http://schemas.openxmlformats.org/officeDocument/2006/relationships/hyperlink" Target="https://www.nashp.org/governors-prioritize-health-for-all/" TargetMode="External"/><Relationship Id="rId1025" Type="http://schemas.openxmlformats.org/officeDocument/2006/relationships/hyperlink" Target="https://www.nashp.org/2020-state-reopening-char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IFERROR(__xludf.DUMMYFUNCTION("IMPORTRANGE(""https://docs.google.com/spreadsheets/d/1k5kFdWii6F13PHSy0nsMJGvcj5IKZa95QbITVU0-6bQ/"", ""Global Major Event Timeline!A:i"")"),"Date")</f>
        <v>Date</v>
      </c>
      <c r="B1" s="1" t="str">
        <f>IFERROR(__xludf.DUMMYFUNCTION("""COMPUTED_VALUE"""),"Event")</f>
        <v>Event</v>
      </c>
      <c r="C1" s="1" t="str">
        <f>IFERROR(__xludf.DUMMYFUNCTION("""COMPUTED_VALUE"""),"Source")</f>
        <v>Source</v>
      </c>
      <c r="D1" s="1" t="str">
        <f>IFERROR(__xludf.DUMMYFUNCTION("""COMPUTED_VALUE"""),"URL")</f>
        <v>URL</v>
      </c>
      <c r="E1" s="1"/>
      <c r="F1" s="1"/>
      <c r="G1" s="1"/>
      <c r="H1" s="1"/>
      <c r="I1" s="1"/>
    </row>
    <row r="2">
      <c r="A2" s="2">
        <f>IFERROR(__xludf.DUMMYFUNCTION("""COMPUTED_VALUE"""),43830.0)</f>
        <v>43830</v>
      </c>
      <c r="B2" s="1" t="str">
        <f>IFERROR(__xludf.DUMMYFUNCTION("""COMPUTED_VALUE"""),"Chinese Health officials inform the WHO about a cluster of 41 patients with a mysterious pneumonia. Most are connected to Huanan Seafood Wholesale Market.")</f>
        <v>Chinese Health officials inform the WHO about a cluster of 41 patients with a mysterious pneumonia. Most are connected to Huanan Seafood Wholesale Market.</v>
      </c>
      <c r="C2" s="1" t="str">
        <f>IFERROR(__xludf.DUMMYFUNCTION("""COMPUTED_VALUE"""),"Business Insider")</f>
        <v>Business Insider</v>
      </c>
      <c r="D2" s="3" t="str">
        <f>IFERROR(__xludf.DUMMYFUNCTION("""COMPUTED_VALUE"""),"https://www.businessinsider.com/coronavirus-pandemic-timeline-history-major-events-2020-3")</f>
        <v>https://www.businessinsider.com/coronavirus-pandemic-timeline-history-major-events-2020-3</v>
      </c>
      <c r="E2" s="1"/>
      <c r="F2" s="1"/>
      <c r="G2" s="1"/>
      <c r="H2" s="1"/>
      <c r="I2" s="1"/>
    </row>
    <row r="3">
      <c r="A3" s="2">
        <f>IFERROR(__xludf.DUMMYFUNCTION("""COMPUTED_VALUE"""),43831.0)</f>
        <v>43831</v>
      </c>
      <c r="B3" s="1" t="str">
        <f>IFERROR(__xludf.DUMMYFUNCTION("""COMPUTED_VALUE"""),"Huanan Seafood Wholesale Market closes.")</f>
        <v>Huanan Seafood Wholesale Market closes.</v>
      </c>
      <c r="C3" s="1" t="str">
        <f>IFERROR(__xludf.DUMMYFUNCTION("""COMPUTED_VALUE"""),"Business Insider")</f>
        <v>Business Insider</v>
      </c>
      <c r="D3" s="3" t="str">
        <f>IFERROR(__xludf.DUMMYFUNCTION("""COMPUTED_VALUE"""),"https://www.businessinsider.com/coronavirus-pandemic-timeline-history-major-events-2020-3")</f>
        <v>https://www.businessinsider.com/coronavirus-pandemic-timeline-history-major-events-2020-3</v>
      </c>
      <c r="E3" s="1"/>
      <c r="F3" s="1"/>
      <c r="G3" s="1"/>
      <c r="H3" s="1"/>
      <c r="I3" s="1"/>
    </row>
    <row r="4">
      <c r="A4" s="2">
        <f>IFERROR(__xludf.DUMMYFUNCTION("""COMPUTED_VALUE"""),43837.0)</f>
        <v>43837</v>
      </c>
      <c r="B4" s="1" t="str">
        <f>IFERROR(__xludf.DUMMYFUNCTION("""COMPUTED_VALUE"""),"Chinese authorities identify a new type of coronavirus (called novel coronavirus or nCoV).")</f>
        <v>Chinese authorities identify a new type of coronavirus (called novel coronavirus or nCoV).</v>
      </c>
      <c r="C4" s="1" t="str">
        <f>IFERROR(__xludf.DUMMYFUNCTION("""COMPUTED_VALUE"""),"Business Insider")</f>
        <v>Business Insider</v>
      </c>
      <c r="D4" s="3" t="str">
        <f>IFERROR(__xludf.DUMMYFUNCTION("""COMPUTED_VALUE"""),"https://www.businessinsider.com/coronavirus-pandemic-timeline-history-major-events-2020-3")</f>
        <v>https://www.businessinsider.com/coronavirus-pandemic-timeline-history-major-events-2020-3</v>
      </c>
      <c r="E4" s="1"/>
      <c r="F4" s="1"/>
      <c r="G4" s="1"/>
      <c r="H4" s="1"/>
      <c r="I4" s="1"/>
    </row>
    <row r="5">
      <c r="A5" s="2">
        <f>IFERROR(__xludf.DUMMYFUNCTION("""COMPUTED_VALUE"""),43841.0)</f>
        <v>43841</v>
      </c>
      <c r="B5" s="1" t="str">
        <f>IFERROR(__xludf.DUMMYFUNCTION("""COMPUTED_VALUE"""),"China records its first death.")</f>
        <v>China records its first death.</v>
      </c>
      <c r="C5" s="1" t="str">
        <f>IFERROR(__xludf.DUMMYFUNCTION("""COMPUTED_VALUE"""),"Business Insider")</f>
        <v>Business Insider</v>
      </c>
      <c r="D5" s="3" t="str">
        <f>IFERROR(__xludf.DUMMYFUNCTION("""COMPUTED_VALUE"""),"https://www.businessinsider.com/coronavirus-pandemic-timeline-history-major-events-2020-3")</f>
        <v>https://www.businessinsider.com/coronavirus-pandemic-timeline-history-major-events-2020-3</v>
      </c>
      <c r="E5" s="1"/>
      <c r="F5" s="1"/>
      <c r="G5" s="1"/>
      <c r="H5" s="1"/>
      <c r="I5" s="1"/>
    </row>
    <row r="6">
      <c r="A6" s="2">
        <f>IFERROR(__xludf.DUMMYFUNCTION("""COMPUTED_VALUE"""),43843.0)</f>
        <v>43843</v>
      </c>
      <c r="B6" s="1" t="str">
        <f>IFERROR(__xludf.DUMMYFUNCTION("""COMPUTED_VALUE"""),"First coronavirus case outside of China is reported in Thailand.")</f>
        <v>First coronavirus case outside of China is reported in Thailand.</v>
      </c>
      <c r="C6" s="1" t="str">
        <f>IFERROR(__xludf.DUMMYFUNCTION("""COMPUTED_VALUE"""),"Business Insider")</f>
        <v>Business Insider</v>
      </c>
      <c r="D6" s="3" t="str">
        <f>IFERROR(__xludf.DUMMYFUNCTION("""COMPUTED_VALUE"""),"https://www.businessinsider.com/coronavirus-pandemic-timeline-history-major-events-2020-3")</f>
        <v>https://www.businessinsider.com/coronavirus-pandemic-timeline-history-major-events-2020-3</v>
      </c>
      <c r="E6" s="1"/>
      <c r="F6" s="1"/>
      <c r="G6" s="1"/>
      <c r="H6" s="1"/>
      <c r="I6" s="1"/>
    </row>
    <row r="7">
      <c r="A7" s="2">
        <f>IFERROR(__xludf.DUMMYFUNCTION("""COMPUTED_VALUE"""),43850.0)</f>
        <v>43850</v>
      </c>
      <c r="B7" s="1" t="str">
        <f>IFERROR(__xludf.DUMMYFUNCTION("""COMPUTED_VALUE"""),"First US case is reported: a 35-year-old man in Snohomish County, Washington.")</f>
        <v>First US case is reported: a 35-year-old man in Snohomish County, Washington.</v>
      </c>
      <c r="C7" s="1" t="str">
        <f>IFERROR(__xludf.DUMMYFUNCTION("""COMPUTED_VALUE"""),"Business Insider")</f>
        <v>Business Insider</v>
      </c>
      <c r="D7" s="3" t="str">
        <f>IFERROR(__xludf.DUMMYFUNCTION("""COMPUTED_VALUE"""),"https://www.businessinsider.com/coronavirus-pandemic-timeline-history-major-events-2020-3")</f>
        <v>https://www.businessinsider.com/coronavirus-pandemic-timeline-history-major-events-2020-3</v>
      </c>
      <c r="E7" s="1"/>
      <c r="F7" s="1"/>
      <c r="G7" s="1"/>
      <c r="H7" s="1"/>
      <c r="I7" s="1"/>
    </row>
    <row r="8">
      <c r="A8" s="2">
        <f>IFERROR(__xludf.DUMMYFUNCTION("""COMPUTED_VALUE"""),43853.0)</f>
        <v>43853</v>
      </c>
      <c r="B8" s="1" t="str">
        <f>IFERROR(__xludf.DUMMYFUNCTION("""COMPUTED_VALUE"""),"Wuhan is placed under quarantine, Hubei province follows within days.")</f>
        <v>Wuhan is placed under quarantine, Hubei province follows within days.</v>
      </c>
      <c r="C8" s="1" t="str">
        <f>IFERROR(__xludf.DUMMYFUNCTION("""COMPUTED_VALUE"""),"Business Insider")</f>
        <v>Business Insider</v>
      </c>
      <c r="D8" s="3" t="str">
        <f>IFERROR(__xludf.DUMMYFUNCTION("""COMPUTED_VALUE"""),"https://www.businessinsider.com/coronavirus-pandemic-timeline-history-major-events-2020-3")</f>
        <v>https://www.businessinsider.com/coronavirus-pandemic-timeline-history-major-events-2020-3</v>
      </c>
      <c r="E8" s="1"/>
      <c r="F8" s="1"/>
      <c r="G8" s="1"/>
      <c r="H8" s="1"/>
      <c r="I8" s="1"/>
    </row>
    <row r="9">
      <c r="A9" s="2">
        <f>IFERROR(__xludf.DUMMYFUNCTION("""COMPUTED_VALUE"""),43860.0)</f>
        <v>43860</v>
      </c>
      <c r="B9" s="1" t="str">
        <f>IFERROR(__xludf.DUMMYFUNCTION("""COMPUTED_VALUE"""),"WHO declares a global public-health emergency.")</f>
        <v>WHO declares a global public-health emergency.</v>
      </c>
      <c r="C9" s="1" t="str">
        <f>IFERROR(__xludf.DUMMYFUNCTION("""COMPUTED_VALUE"""),"Business Insider")</f>
        <v>Business Insider</v>
      </c>
      <c r="D9" s="3" t="str">
        <f>IFERROR(__xludf.DUMMYFUNCTION("""COMPUTED_VALUE"""),"https://www.businessinsider.com/coronavirus-pandemic-timeline-history-major-events-2020-3")</f>
        <v>https://www.businessinsider.com/coronavirus-pandemic-timeline-history-major-events-2020-3</v>
      </c>
      <c r="E9" s="1"/>
      <c r="F9" s="1"/>
      <c r="G9" s="1"/>
      <c r="H9" s="1"/>
      <c r="I9" s="1"/>
    </row>
    <row r="10">
      <c r="A10" s="2">
        <f>IFERROR(__xludf.DUMMYFUNCTION("""COMPUTED_VALUE"""),43861.0)</f>
        <v>43861</v>
      </c>
      <c r="B10" s="1" t="str">
        <f>IFERROR(__xludf.DUMMYFUNCTION("""COMPUTED_VALUE"""),"President Trump bans foreign nationals from entering the US if they were in China within the prior two weeks.")</f>
        <v>President Trump bans foreign nationals from entering the US if they were in China within the prior two weeks.</v>
      </c>
      <c r="C10" s="1" t="str">
        <f>IFERROR(__xludf.DUMMYFUNCTION("""COMPUTED_VALUE"""),"Business Insider")</f>
        <v>Business Insider</v>
      </c>
      <c r="D10" s="3" t="str">
        <f>IFERROR(__xludf.DUMMYFUNCTION("""COMPUTED_VALUE"""),"https://www.businessinsider.com/coronavirus-pandemic-timeline-history-major-events-2020-3")</f>
        <v>https://www.businessinsider.com/coronavirus-pandemic-timeline-history-major-events-2020-3</v>
      </c>
      <c r="E10" s="1"/>
      <c r="F10" s="1"/>
      <c r="G10" s="1"/>
      <c r="H10" s="1"/>
      <c r="I10" s="1"/>
    </row>
    <row r="11">
      <c r="A11" s="2">
        <f>IFERROR(__xludf.DUMMYFUNCTION("""COMPUTED_VALUE"""),43863.0)</f>
        <v>43863</v>
      </c>
      <c r="B11" s="1" t="str">
        <f>IFERROR(__xludf.DUMMYFUNCTION("""COMPUTED_VALUE"""),"First death outside China is recorded in the Philippines.")</f>
        <v>First death outside China is recorded in the Philippines.</v>
      </c>
      <c r="C11" s="1" t="str">
        <f>IFERROR(__xludf.DUMMYFUNCTION("""COMPUTED_VALUE"""),"Business Insider")</f>
        <v>Business Insider</v>
      </c>
      <c r="D11" s="3" t="str">
        <f>IFERROR(__xludf.DUMMYFUNCTION("""COMPUTED_VALUE"""),"https://www.businessinsider.com/coronavirus-pandemic-timeline-history-major-events-2020-3")</f>
        <v>https://www.businessinsider.com/coronavirus-pandemic-timeline-history-major-events-2020-3</v>
      </c>
      <c r="E11" s="1"/>
      <c r="F11" s="1"/>
      <c r="G11" s="1"/>
      <c r="H11" s="1"/>
      <c r="I11" s="1"/>
    </row>
    <row r="12">
      <c r="A12" s="2">
        <f>IFERROR(__xludf.DUMMYFUNCTION("""COMPUTED_VALUE"""),43868.0)</f>
        <v>43868</v>
      </c>
      <c r="B12" s="1" t="str">
        <f>IFERROR(__xludf.DUMMYFUNCTION("""COMPUTED_VALUE"""),"Chinese whistleblower Li Wenliang dies.")</f>
        <v>Chinese whistleblower Li Wenliang dies.</v>
      </c>
      <c r="C12" s="1" t="str">
        <f>IFERROR(__xludf.DUMMYFUNCTION("""COMPUTED_VALUE"""),"Business Insider")</f>
        <v>Business Insider</v>
      </c>
      <c r="D12" s="3" t="str">
        <f>IFERROR(__xludf.DUMMYFUNCTION("""COMPUTED_VALUE"""),"https://www.businessinsider.com/coronavirus-pandemic-timeline-history-major-events-2020-3")</f>
        <v>https://www.businessinsider.com/coronavirus-pandemic-timeline-history-major-events-2020-3</v>
      </c>
      <c r="E12" s="1"/>
      <c r="F12" s="1"/>
      <c r="G12" s="1"/>
      <c r="H12" s="1"/>
      <c r="I12" s="1"/>
    </row>
    <row r="13">
      <c r="A13" s="2">
        <f>IFERROR(__xludf.DUMMYFUNCTION("""COMPUTED_VALUE"""),43869.0)</f>
        <v>43869</v>
      </c>
      <c r="B13" s="1" t="str">
        <f>IFERROR(__xludf.DUMMYFUNCTION("""COMPUTED_VALUE"""),"US citizen dies in Wuhan – first death of an American citizen.")</f>
        <v>US citizen dies in Wuhan – first death of an American citizen.</v>
      </c>
      <c r="C13" s="1" t="str">
        <f>IFERROR(__xludf.DUMMYFUNCTION("""COMPUTED_VALUE"""),"Business Insider")</f>
        <v>Business Insider</v>
      </c>
      <c r="D13" s="3" t="str">
        <f>IFERROR(__xludf.DUMMYFUNCTION("""COMPUTED_VALUE"""),"https://www.businessinsider.com/coronavirus-pandemic-timeline-history-major-events-2020-3")</f>
        <v>https://www.businessinsider.com/coronavirus-pandemic-timeline-history-major-events-2020-3</v>
      </c>
      <c r="E13" s="1"/>
      <c r="F13" s="1"/>
      <c r="G13" s="1"/>
      <c r="H13" s="1"/>
      <c r="I13" s="1"/>
    </row>
    <row r="14">
      <c r="A14" s="2">
        <f>IFERROR(__xludf.DUMMYFUNCTION("""COMPUTED_VALUE"""),43870.0)</f>
        <v>43870</v>
      </c>
      <c r="B14" s="1" t="str">
        <f>IFERROR(__xludf.DUMMYFUNCTION("""COMPUTED_VALUE"""),"Death toll in China surpasses that of the 2002-2003 SARS epidemic, with 811 deaths recorded.")</f>
        <v>Death toll in China surpasses that of the 2002-2003 SARS epidemic, with 811 deaths recorded.</v>
      </c>
      <c r="C14" s="1" t="str">
        <f>IFERROR(__xludf.DUMMYFUNCTION("""COMPUTED_VALUE"""),"Business Insider")</f>
        <v>Business Insider</v>
      </c>
      <c r="D14" s="3" t="str">
        <f>IFERROR(__xludf.DUMMYFUNCTION("""COMPUTED_VALUE"""),"https://www.businessinsider.com/coronavirus-pandemic-timeline-history-major-events-2020-3")</f>
        <v>https://www.businessinsider.com/coronavirus-pandemic-timeline-history-major-events-2020-3</v>
      </c>
      <c r="E14" s="1"/>
      <c r="F14" s="1"/>
      <c r="G14" s="1"/>
      <c r="H14" s="1"/>
      <c r="I14" s="1"/>
    </row>
    <row r="15">
      <c r="A15" s="2">
        <f>IFERROR(__xludf.DUMMYFUNCTION("""COMPUTED_VALUE"""),43872.0)</f>
        <v>43872</v>
      </c>
      <c r="B15" s="1" t="str">
        <f>IFERROR(__xludf.DUMMYFUNCTION("""COMPUTED_VALUE"""),"WHO announces that the new coronavirus disease will be called ""COVID-19.""")</f>
        <v>WHO announces that the new coronavirus disease will be called "COVID-19."</v>
      </c>
      <c r="C15" s="1" t="str">
        <f>IFERROR(__xludf.DUMMYFUNCTION("""COMPUTED_VALUE"""),"Business Insider")</f>
        <v>Business Insider</v>
      </c>
      <c r="D15" s="3" t="str">
        <f>IFERROR(__xludf.DUMMYFUNCTION("""COMPUTED_VALUE"""),"https://www.businessinsider.com/coronavirus-pandemic-timeline-history-major-events-2020-3")</f>
        <v>https://www.businessinsider.com/coronavirus-pandemic-timeline-history-major-events-2020-3</v>
      </c>
      <c r="E15" s="1"/>
      <c r="F15" s="1"/>
      <c r="G15" s="1"/>
      <c r="H15" s="1"/>
      <c r="I15" s="1"/>
    </row>
    <row r="16">
      <c r="A16" s="2">
        <f>IFERROR(__xludf.DUMMYFUNCTION("""COMPUTED_VALUE"""),43873.0)</f>
        <v>43873</v>
      </c>
      <c r="B16" s="1" t="str">
        <f>IFERROR(__xludf.DUMMYFUNCTION("""COMPUTED_VALUE"""),"Coronavirus cases start to spike in South Korea.")</f>
        <v>Coronavirus cases start to spike in South Korea.</v>
      </c>
      <c r="C16" s="1" t="str">
        <f>IFERROR(__xludf.DUMMYFUNCTION("""COMPUTED_VALUE"""),"Business Insider")</f>
        <v>Business Insider</v>
      </c>
      <c r="D16" s="3" t="str">
        <f>IFERROR(__xludf.DUMMYFUNCTION("""COMPUTED_VALUE"""),"https://www.businessinsider.com/coronavirus-pandemic-timeline-history-major-events-2020-3")</f>
        <v>https://www.businessinsider.com/coronavirus-pandemic-timeline-history-major-events-2020-3</v>
      </c>
      <c r="E16" s="1"/>
      <c r="F16" s="1"/>
      <c r="G16" s="1"/>
      <c r="H16" s="1"/>
      <c r="I16" s="1"/>
    </row>
    <row r="17">
      <c r="A17" s="2">
        <f>IFERROR(__xludf.DUMMYFUNCTION("""COMPUTED_VALUE"""),43880.0)</f>
        <v>43880</v>
      </c>
      <c r="B17" s="1" t="str">
        <f>IFERROR(__xludf.DUMMYFUNCTION("""COMPUTED_VALUE"""),"Iran outbreak begins.")</f>
        <v>Iran outbreak begins.</v>
      </c>
      <c r="C17" s="1" t="str">
        <f>IFERROR(__xludf.DUMMYFUNCTION("""COMPUTED_VALUE"""),"Business Insider")</f>
        <v>Business Insider</v>
      </c>
      <c r="D17" s="3" t="str">
        <f>IFERROR(__xludf.DUMMYFUNCTION("""COMPUTED_VALUE"""),"https://www.businessinsider.com/coronavirus-pandemic-timeline-history-major-events-2020-3")</f>
        <v>https://www.businessinsider.com/coronavirus-pandemic-timeline-history-major-events-2020-3</v>
      </c>
      <c r="E17" s="1"/>
      <c r="F17" s="1"/>
      <c r="G17" s="1"/>
      <c r="H17" s="1"/>
      <c r="I17" s="1"/>
    </row>
    <row r="18">
      <c r="A18" s="2">
        <f>IFERROR(__xludf.DUMMYFUNCTION("""COMPUTED_VALUE"""),43882.0)</f>
        <v>43882</v>
      </c>
      <c r="B18" s="1" t="str">
        <f>IFERROR(__xludf.DUMMYFUNCTION("""COMPUTED_VALUE"""),"Italy outbreak begins.")</f>
        <v>Italy outbreak begins.</v>
      </c>
      <c r="C18" s="1" t="str">
        <f>IFERROR(__xludf.DUMMYFUNCTION("""COMPUTED_VALUE"""),"Business Insider")</f>
        <v>Business Insider</v>
      </c>
      <c r="D18" s="3" t="str">
        <f>IFERROR(__xludf.DUMMYFUNCTION("""COMPUTED_VALUE"""),"https://www.businessinsider.com/coronavirus-pandemic-timeline-history-major-events-2020-3")</f>
        <v>https://www.businessinsider.com/coronavirus-pandemic-timeline-history-major-events-2020-3</v>
      </c>
      <c r="E18" s="1"/>
      <c r="F18" s="1"/>
      <c r="G18" s="1"/>
      <c r="H18" s="1"/>
      <c r="I18" s="1"/>
    </row>
    <row r="19">
      <c r="A19" s="2">
        <f>IFERROR(__xludf.DUMMYFUNCTION("""COMPUTED_VALUE"""),43890.0)</f>
        <v>43890</v>
      </c>
      <c r="B19" s="1" t="str">
        <f>IFERROR(__xludf.DUMMYFUNCTION("""COMPUTED_VALUE"""),"US reports first death on American soil.")</f>
        <v>US reports first death on American soil.</v>
      </c>
      <c r="C19" s="1" t="str">
        <f>IFERROR(__xludf.DUMMYFUNCTION("""COMPUTED_VALUE"""),"Business Insider")</f>
        <v>Business Insider</v>
      </c>
      <c r="D19" s="3" t="str">
        <f>IFERROR(__xludf.DUMMYFUNCTION("""COMPUTED_VALUE"""),"https://www.businessinsider.com/coronavirus-pandemic-timeline-history-major-events-2020-3")</f>
        <v>https://www.businessinsider.com/coronavirus-pandemic-timeline-history-major-events-2020-3</v>
      </c>
      <c r="E19" s="1"/>
      <c r="F19" s="1"/>
      <c r="G19" s="1"/>
      <c r="H19" s="1"/>
      <c r="I19" s="1"/>
    </row>
    <row r="20">
      <c r="A20" s="2">
        <f>IFERROR(__xludf.DUMMYFUNCTION("""COMPUTED_VALUE"""),43893.0)</f>
        <v>43893</v>
      </c>
      <c r="B20" s="1" t="str">
        <f>IFERROR(__xludf.DUMMYFUNCTION("""COMPUTED_VALUE"""),"Coronavirus cases begin to sharply increase in Spain, marking the start of its outbreak.")</f>
        <v>Coronavirus cases begin to sharply increase in Spain, marking the start of its outbreak.</v>
      </c>
      <c r="C20" s="1" t="str">
        <f>IFERROR(__xludf.DUMMYFUNCTION("""COMPUTED_VALUE"""),"Business Insider")</f>
        <v>Business Insider</v>
      </c>
      <c r="D20" s="3" t="str">
        <f>IFERROR(__xludf.DUMMYFUNCTION("""COMPUTED_VALUE"""),"https://www.businessinsider.com/coronavirus-pandemic-timeline-history-major-events-2020-3")</f>
        <v>https://www.businessinsider.com/coronavirus-pandemic-timeline-history-major-events-2020-3</v>
      </c>
      <c r="E20" s="1"/>
      <c r="F20" s="1"/>
      <c r="G20" s="1"/>
      <c r="H20" s="1"/>
      <c r="I20" s="1"/>
    </row>
    <row r="21">
      <c r="A21" s="2">
        <f>IFERROR(__xludf.DUMMYFUNCTION("""COMPUTED_VALUE"""),43898.0)</f>
        <v>43898</v>
      </c>
      <c r="B21" s="1" t="str">
        <f>IFERROR(__xludf.DUMMYFUNCTION("""COMPUTED_VALUE"""),"Italy places all 60 million residents on lockdown.")</f>
        <v>Italy places all 60 million residents on lockdown.</v>
      </c>
      <c r="C21" s="1" t="str">
        <f>IFERROR(__xludf.DUMMYFUNCTION("""COMPUTED_VALUE"""),"Business Insider")</f>
        <v>Business Insider</v>
      </c>
      <c r="D21" s="3" t="str">
        <f>IFERROR(__xludf.DUMMYFUNCTION("""COMPUTED_VALUE"""),"https://www.businessinsider.com/coronavirus-pandemic-timeline-history-major-events-2020-3")</f>
        <v>https://www.businessinsider.com/coronavirus-pandemic-timeline-history-major-events-2020-3</v>
      </c>
      <c r="E21" s="1"/>
      <c r="F21" s="1"/>
      <c r="G21" s="1"/>
      <c r="H21" s="1"/>
      <c r="I21" s="1"/>
    </row>
    <row r="22">
      <c r="A22" s="2">
        <f>IFERROR(__xludf.DUMMYFUNCTION("""COMPUTED_VALUE"""),43901.0)</f>
        <v>43901</v>
      </c>
      <c r="B22" s="1" t="str">
        <f>IFERROR(__xludf.DUMMYFUNCTION("""COMPUTED_VALUE"""),"WHO declared the outbreak a pandemic.")</f>
        <v>WHO declared the outbreak a pandemic.</v>
      </c>
      <c r="C22" s="1" t="str">
        <f>IFERROR(__xludf.DUMMYFUNCTION("""COMPUTED_VALUE"""),"Business Insider")</f>
        <v>Business Insider</v>
      </c>
      <c r="D22" s="3" t="str">
        <f>IFERROR(__xludf.DUMMYFUNCTION("""COMPUTED_VALUE"""),"https://www.businessinsider.com/coronavirus-pandemic-timeline-history-major-events-2020-3")</f>
        <v>https://www.businessinsider.com/coronavirus-pandemic-timeline-history-major-events-2020-3</v>
      </c>
      <c r="E22" s="1"/>
      <c r="F22" s="1"/>
      <c r="G22" s="1"/>
      <c r="H22" s="1"/>
      <c r="I22" s="1"/>
    </row>
    <row r="23">
      <c r="A23" s="2">
        <f>IFERROR(__xludf.DUMMYFUNCTION("""COMPUTED_VALUE"""),43901.0)</f>
        <v>43901</v>
      </c>
      <c r="B23" s="1" t="str">
        <f>IFERROR(__xludf.DUMMYFUNCTION("""COMPUTED_VALUE"""),"President Trump bans all travel from 26 European countries.")</f>
        <v>President Trump bans all travel from 26 European countries.</v>
      </c>
      <c r="C23" s="1" t="str">
        <f>IFERROR(__xludf.DUMMYFUNCTION("""COMPUTED_VALUE"""),"Business Insider")</f>
        <v>Business Insider</v>
      </c>
      <c r="D23" s="3" t="str">
        <f>IFERROR(__xludf.DUMMYFUNCTION("""COMPUTED_VALUE"""),"https://www.businessinsider.com/coronavirus-pandemic-timeline-history-major-events-2020-3")</f>
        <v>https://www.businessinsider.com/coronavirus-pandemic-timeline-history-major-events-2020-3</v>
      </c>
      <c r="E23" s="1"/>
      <c r="F23" s="1"/>
      <c r="G23" s="1"/>
      <c r="H23" s="1"/>
      <c r="I23" s="1"/>
    </row>
    <row r="24">
      <c r="A24" s="2">
        <f>IFERROR(__xludf.DUMMYFUNCTION("""COMPUTED_VALUE"""),43903.0)</f>
        <v>43903</v>
      </c>
      <c r="B24" s="1" t="str">
        <f>IFERROR(__xludf.DUMMYFUNCTION("""COMPUTED_VALUE"""),"A US national emergency is declared over the novel coronavirus outbreak.")</f>
        <v>A US national emergency is declared over the novel coronavirus outbreak.</v>
      </c>
      <c r="C24" s="1" t="str">
        <f>IFERROR(__xludf.DUMMYFUNCTION("""COMPUTED_VALUE"""),"Business Insider")</f>
        <v>Business Insider</v>
      </c>
      <c r="D24" s="3" t="str">
        <f>IFERROR(__xludf.DUMMYFUNCTION("""COMPUTED_VALUE"""),"https://www.businessinsider.com/coronavirus-pandemic-timeline-history-major-events-2020-3")</f>
        <v>https://www.businessinsider.com/coronavirus-pandemic-timeline-history-major-events-2020-3</v>
      </c>
      <c r="E24" s="1"/>
      <c r="F24" s="1"/>
      <c r="G24" s="1"/>
      <c r="H24" s="1"/>
      <c r="I24" s="1"/>
    </row>
    <row r="25">
      <c r="A25" s="2">
        <f>IFERROR(__xludf.DUMMYFUNCTION("""COMPUTED_VALUE"""),43907.0)</f>
        <v>43907</v>
      </c>
      <c r="B25" s="1" t="str">
        <f>IFERROR(__xludf.DUMMYFUNCTION("""COMPUTED_VALUE"""),"A leaked federal plan warns the new coronavirus pandemic ""will last 18 months or longer"" and may come in ""multiple waves"" of infections.")</f>
        <v>A leaked federal plan warns the new coronavirus pandemic "will last 18 months or longer" and may come in "multiple waves" of infections.</v>
      </c>
      <c r="C25" s="1" t="str">
        <f>IFERROR(__xludf.DUMMYFUNCTION("""COMPUTED_VALUE"""),"Business Insider")</f>
        <v>Business Insider</v>
      </c>
      <c r="D25" s="3" t="str">
        <f>IFERROR(__xludf.DUMMYFUNCTION("""COMPUTED_VALUE"""),"https://www.businessinsider.com/coronavirus-pandemic-timeline-history-major-events-2020-3")</f>
        <v>https://www.businessinsider.com/coronavirus-pandemic-timeline-history-major-events-2020-3</v>
      </c>
      <c r="E25" s="1"/>
      <c r="F25" s="1"/>
      <c r="G25" s="1"/>
      <c r="H25" s="1"/>
      <c r="I25" s="1"/>
    </row>
    <row r="26">
      <c r="A26" s="2">
        <f>IFERROR(__xludf.DUMMYFUNCTION("""COMPUTED_VALUE"""),43907.0)</f>
        <v>43907</v>
      </c>
      <c r="B26" s="1" t="str">
        <f>IFERROR(__xludf.DUMMYFUNCTION("""COMPUTED_VALUE"""),"Italy reports 475 COVID-19 deaths, the highest single-day death toll for any country since the outbreak began.")</f>
        <v>Italy reports 475 COVID-19 deaths, the highest single-day death toll for any country since the outbreak began.</v>
      </c>
      <c r="C26" s="1" t="str">
        <f>IFERROR(__xludf.DUMMYFUNCTION("""COMPUTED_VALUE"""),"Business Insider")</f>
        <v>Business Insider</v>
      </c>
      <c r="D26" s="3" t="str">
        <f>IFERROR(__xludf.DUMMYFUNCTION("""COMPUTED_VALUE"""),"https://www.businessinsider.com/coronavirus-pandemic-timeline-history-major-events-2020-3")</f>
        <v>https://www.businessinsider.com/coronavirus-pandemic-timeline-history-major-events-2020-3</v>
      </c>
      <c r="E26" s="1"/>
      <c r="F26" s="1"/>
      <c r="G26" s="1"/>
      <c r="H26" s="1"/>
      <c r="I26" s="1"/>
    </row>
    <row r="27">
      <c r="A27" s="2">
        <f>IFERROR(__xludf.DUMMYFUNCTION("""COMPUTED_VALUE"""),43909.0)</f>
        <v>43909</v>
      </c>
      <c r="B27" s="1" t="str">
        <f>IFERROR(__xludf.DUMMYFUNCTION("""COMPUTED_VALUE"""),"China reports no new locally spread infections for the first time since the pandemic began.")</f>
        <v>China reports no new locally spread infections for the first time since the pandemic began.</v>
      </c>
      <c r="C27" s="1" t="str">
        <f>IFERROR(__xludf.DUMMYFUNCTION("""COMPUTED_VALUE"""),"Business Insider")</f>
        <v>Business Insider</v>
      </c>
      <c r="D27" s="3" t="str">
        <f>IFERROR(__xludf.DUMMYFUNCTION("""COMPUTED_VALUE"""),"https://www.businessinsider.com/coronavirus-pandemic-timeline-history-major-events-2020-3")</f>
        <v>https://www.businessinsider.com/coronavirus-pandemic-timeline-history-major-events-2020-3</v>
      </c>
      <c r="E27" s="1"/>
      <c r="F27" s="1"/>
      <c r="G27" s="1"/>
      <c r="H27" s="1"/>
      <c r="I27" s="1"/>
    </row>
    <row r="28">
      <c r="A28" s="2">
        <f>IFERROR(__xludf.DUMMYFUNCTION("""COMPUTED_VALUE"""),43909.0)</f>
        <v>43909</v>
      </c>
      <c r="B28" s="1" t="str">
        <f>IFERROR(__xludf.DUMMYFUNCTION("""COMPUTED_VALUE"""),"Globally, authorities report more than 240,000 confirmed cases of COVID-19, with about 145,000 being active and ongoing cases, roughly 85,000 recoveries, and 10,000 deaths.")</f>
        <v>Globally, authorities report more than 240,000 confirmed cases of COVID-19, with about 145,000 being active and ongoing cases, roughly 85,000 recoveries, and 10,000 deaths.</v>
      </c>
      <c r="C28" s="1" t="str">
        <f>IFERROR(__xludf.DUMMYFUNCTION("""COMPUTED_VALUE"""),"Business Insider")</f>
        <v>Business Insider</v>
      </c>
      <c r="D28" s="3" t="str">
        <f>IFERROR(__xludf.DUMMYFUNCTION("""COMPUTED_VALUE"""),"https://www.businessinsider.com/coronavirus-pandemic-timeline-history-major-events-2020-3")</f>
        <v>https://www.businessinsider.com/coronavirus-pandemic-timeline-history-major-events-2020-3</v>
      </c>
      <c r="E28" s="1"/>
      <c r="F28" s="1"/>
      <c r="G28" s="1"/>
      <c r="H28" s="1"/>
      <c r="I28" s="1"/>
    </row>
    <row r="29">
      <c r="A29" s="2">
        <f>IFERROR(__xludf.DUMMYFUNCTION("""COMPUTED_VALUE"""),43909.0)</f>
        <v>43909</v>
      </c>
      <c r="B29" s="1" t="str">
        <f>IFERROR(__xludf.DUMMYFUNCTION("""COMPUTED_VALUE"""),"Nearly all US states declare a state of emergency.")</f>
        <v>Nearly all US states declare a state of emergency.</v>
      </c>
      <c r="C29" s="1" t="str">
        <f>IFERROR(__xludf.DUMMYFUNCTION("""COMPUTED_VALUE"""),"Business Insider")</f>
        <v>Business Insider</v>
      </c>
      <c r="D29" s="3" t="str">
        <f>IFERROR(__xludf.DUMMYFUNCTION("""COMPUTED_VALUE"""),"https://www.businessinsider.com/coronavirus-pandemic-timeline-history-major-events-2020-3")</f>
        <v>https://www.businessinsider.com/coronavirus-pandemic-timeline-history-major-events-2020-3</v>
      </c>
      <c r="E29" s="1"/>
      <c r="F29" s="1"/>
      <c r="G29" s="1"/>
      <c r="H29" s="1"/>
      <c r="I29" s="1"/>
    </row>
    <row r="30">
      <c r="A30" s="2">
        <f>IFERROR(__xludf.DUMMYFUNCTION("""COMPUTED_VALUE"""),43910.0)</f>
        <v>43910</v>
      </c>
      <c r="B30" s="1" t="str">
        <f>IFERROR(__xludf.DUMMYFUNCTION("""COMPUTED_VALUE"""),"Italy reports the two highest single-day death tolls for any country: 627 on March 20 and 793 on March 21.")</f>
        <v>Italy reports the two highest single-day death tolls for any country: 627 on March 20 and 793 on March 21.</v>
      </c>
      <c r="C30" s="1" t="str">
        <f>IFERROR(__xludf.DUMMYFUNCTION("""COMPUTED_VALUE"""),"Business Insider")</f>
        <v>Business Insider</v>
      </c>
      <c r="D30" s="3" t="str">
        <f>IFERROR(__xludf.DUMMYFUNCTION("""COMPUTED_VALUE"""),"https://www.businessinsider.com/coronavirus-pandemic-timeline-history-major-events-2020-3")</f>
        <v>https://www.businessinsider.com/coronavirus-pandemic-timeline-history-major-events-2020-3</v>
      </c>
      <c r="E30" s="1"/>
      <c r="F30" s="1"/>
      <c r="G30" s="1"/>
      <c r="H30" s="1"/>
      <c r="I30" s="1"/>
    </row>
    <row r="31">
      <c r="A31" s="2">
        <f>IFERROR(__xludf.DUMMYFUNCTION("""COMPUTED_VALUE"""),43912.0)</f>
        <v>43912</v>
      </c>
      <c r="B31" s="1" t="str">
        <f>IFERROR(__xludf.DUMMYFUNCTION("""COMPUTED_VALUE"""),"About 1 in 3 Americans are under lockdown as 12 states issue stay-at-home orders.")</f>
        <v>About 1 in 3 Americans are under lockdown as 12 states issue stay-at-home orders.</v>
      </c>
      <c r="C31" s="1" t="str">
        <f>IFERROR(__xludf.DUMMYFUNCTION("""COMPUTED_VALUE"""),"Business Insider")</f>
        <v>Business Insider</v>
      </c>
      <c r="D31" s="3" t="str">
        <f>IFERROR(__xludf.DUMMYFUNCTION("""COMPUTED_VALUE"""),"https://www.businessinsider.com/coronavirus-pandemic-timeline-history-major-events-2020-3")</f>
        <v>https://www.businessinsider.com/coronavirus-pandemic-timeline-history-major-events-2020-3</v>
      </c>
      <c r="E31" s="1"/>
      <c r="F31" s="1"/>
      <c r="G31" s="1"/>
      <c r="H31" s="1"/>
      <c r="I31" s="1"/>
    </row>
    <row r="32">
      <c r="A32" s="2">
        <f>IFERROR(__xludf.DUMMYFUNCTION("""COMPUTED_VALUE"""),43913.0)</f>
        <v>43913</v>
      </c>
      <c r="B32" s="1" t="str">
        <f>IFERROR(__xludf.DUMMYFUNCTION("""COMPUTED_VALUE"""),"New York City confirms 21,000 cases, making it the biggest epicenter of the outbreak in the US.")</f>
        <v>New York City confirms 21,000 cases, making it the biggest epicenter of the outbreak in the US.</v>
      </c>
      <c r="C32" s="1" t="str">
        <f>IFERROR(__xludf.DUMMYFUNCTION("""COMPUTED_VALUE"""),"Business Insider")</f>
        <v>Business Insider</v>
      </c>
      <c r="D32" s="3" t="str">
        <f>IFERROR(__xludf.DUMMYFUNCTION("""COMPUTED_VALUE"""),"https://www.businessinsider.com/coronavirus-pandemic-timeline-history-major-events-2020-3")</f>
        <v>https://www.businessinsider.com/coronavirus-pandemic-timeline-history-major-events-2020-3</v>
      </c>
      <c r="E32" s="1"/>
      <c r="F32" s="1"/>
      <c r="G32" s="1"/>
      <c r="H32" s="1"/>
      <c r="I32" s="1"/>
    </row>
    <row r="33">
      <c r="A33" s="2">
        <f>IFERROR(__xludf.DUMMYFUNCTION("""COMPUTED_VALUE"""),43914.0)</f>
        <v>43914</v>
      </c>
      <c r="B33" s="1" t="str">
        <f>IFERROR(__xludf.DUMMYFUNCTION("""COMPUTED_VALUE"""),"Globally, authorities report more than 375,000 confirmed cases of COVID-19, with about 258,000 being active and ongoing cases, roughly 101,000 recoveries, and 16,370 deaths.")</f>
        <v>Globally, authorities report more than 375,000 confirmed cases of COVID-19, with about 258,000 being active and ongoing cases, roughly 101,000 recoveries, and 16,370 deaths.</v>
      </c>
      <c r="C33" s="1" t="str">
        <f>IFERROR(__xludf.DUMMYFUNCTION("""COMPUTED_VALUE"""),"Business Insider")</f>
        <v>Business Insider</v>
      </c>
      <c r="D33" s="3" t="str">
        <f>IFERROR(__xludf.DUMMYFUNCTION("""COMPUTED_VALUE"""),"https://www.businessinsider.com/coronavirus-pandemic-timeline-history-major-events-2020-3")</f>
        <v>https://www.businessinsider.com/coronavirus-pandemic-timeline-history-major-events-2020-3</v>
      </c>
      <c r="E33" s="1"/>
      <c r="F33" s="1"/>
      <c r="G33" s="1"/>
      <c r="H33" s="1"/>
      <c r="I33" s="1"/>
    </row>
    <row r="34">
      <c r="A34" s="2">
        <f>IFERROR(__xludf.DUMMYFUNCTION("""COMPUTED_VALUE"""),43916.0)</f>
        <v>43916</v>
      </c>
      <c r="B34" s="1" t="str">
        <f>IFERROR(__xludf.DUMMYFUNCTION("""COMPUTED_VALUE"""),"Roughly 1 in 2 Americans go on lockdown as 22 states issue stay-at-home orders.")</f>
        <v>Roughly 1 in 2 Americans go on lockdown as 22 states issue stay-at-home orders.</v>
      </c>
      <c r="C34" s="1" t="str">
        <f>IFERROR(__xludf.DUMMYFUNCTION("""COMPUTED_VALUE"""),"Business Insider")</f>
        <v>Business Insider</v>
      </c>
      <c r="D34" s="3" t="str">
        <f>IFERROR(__xludf.DUMMYFUNCTION("""COMPUTED_VALUE"""),"https://www.businessinsider.com/coronavirus-pandemic-timeline-history-major-events-2020-3")</f>
        <v>https://www.businessinsider.com/coronavirus-pandemic-timeline-history-major-events-2020-3</v>
      </c>
      <c r="E34" s="1"/>
      <c r="F34" s="1"/>
      <c r="G34" s="1"/>
      <c r="H34" s="1"/>
      <c r="I34" s="1"/>
    </row>
    <row r="35">
      <c r="A35" s="2">
        <f>IFERROR(__xludf.DUMMYFUNCTION("""COMPUTED_VALUE"""),43916.0)</f>
        <v>43916</v>
      </c>
      <c r="B35" s="1" t="str">
        <f>IFERROR(__xludf.DUMMYFUNCTION("""COMPUTED_VALUE"""),"Total confirmed cases in the US reach 82,404 — the highest in the world — surpassing China's 81,782 and Italy's 80,589.")</f>
        <v>Total confirmed cases in the US reach 82,404 — the highest in the world — surpassing China's 81,782 and Italy's 80,589.</v>
      </c>
      <c r="C35" s="1" t="str">
        <f>IFERROR(__xludf.DUMMYFUNCTION("""COMPUTED_VALUE"""),"Business Insider")</f>
        <v>Business Insider</v>
      </c>
      <c r="D35" s="3" t="str">
        <f>IFERROR(__xludf.DUMMYFUNCTION("""COMPUTED_VALUE"""),"https://www.businessinsider.com/coronavirus-pandemic-timeline-history-major-events-2020-3")</f>
        <v>https://www.businessinsider.com/coronavirus-pandemic-timeline-history-major-events-2020-3</v>
      </c>
      <c r="E35" s="1"/>
      <c r="F35" s="1"/>
      <c r="G35" s="1"/>
      <c r="H35" s="1"/>
      <c r="I35" s="1"/>
    </row>
    <row r="36">
      <c r="A36" s="2">
        <f>IFERROR(__xludf.DUMMYFUNCTION("""COMPUTED_VALUE"""),43916.0)</f>
        <v>43916</v>
      </c>
      <c r="B36" s="1" t="str">
        <f>IFERROR(__xludf.DUMMYFUNCTION("""COMPUTED_VALUE"""),"Globally, authorities report more than 558,500 confirmed cases of COVID-19, with about 431,000 being active and ongoing cases, roughly 128,000 recoveries, and 25,251 deaths.")</f>
        <v>Globally, authorities report more than 558,500 confirmed cases of COVID-19, with about 431,000 being active and ongoing cases, roughly 128,000 recoveries, and 25,251 deaths.</v>
      </c>
      <c r="C36" s="1" t="str">
        <f>IFERROR(__xludf.DUMMYFUNCTION("""COMPUTED_VALUE"""),"Business Insider")</f>
        <v>Business Insider</v>
      </c>
      <c r="D36" s="3" t="str">
        <f>IFERROR(__xludf.DUMMYFUNCTION("""COMPUTED_VALUE"""),"https://www.businessinsider.com/coronavirus-pandemic-timeline-history-major-events-2020-3")</f>
        <v>https://www.businessinsider.com/coronavirus-pandemic-timeline-history-major-events-2020-3</v>
      </c>
      <c r="E36" s="1"/>
      <c r="F36" s="1"/>
      <c r="G36" s="1"/>
      <c r="H36" s="1"/>
      <c r="I36" s="1"/>
    </row>
    <row r="37">
      <c r="A37" s="2">
        <f>IFERROR(__xludf.DUMMYFUNCTION("""COMPUTED_VALUE"""),43917.0)</f>
        <v>43917</v>
      </c>
      <c r="B37" s="1" t="str">
        <f>IFERROR(__xludf.DUMMYFUNCTION("""COMPUTED_VALUE"""),"Italy reports the highest single-day death toll for any country: 919.")</f>
        <v>Italy reports the highest single-day death toll for any country: 919.</v>
      </c>
      <c r="C37" s="1" t="str">
        <f>IFERROR(__xludf.DUMMYFUNCTION("""COMPUTED_VALUE"""),"Business Insider")</f>
        <v>Business Insider</v>
      </c>
      <c r="D37" s="3" t="str">
        <f>IFERROR(__xludf.DUMMYFUNCTION("""COMPUTED_VALUE"""),"https://www.businessinsider.com/coronavirus-pandemic-timeline-history-major-events-2020-3")</f>
        <v>https://www.businessinsider.com/coronavirus-pandemic-timeline-history-major-events-2020-3</v>
      </c>
      <c r="E37" s="1"/>
      <c r="F37" s="1"/>
      <c r="G37" s="1"/>
      <c r="H37" s="1"/>
      <c r="I37" s="1"/>
    </row>
    <row r="38">
      <c r="A38" s="2">
        <f>IFERROR(__xludf.DUMMYFUNCTION("""COMPUTED_VALUE"""),43917.0)</f>
        <v>43917</v>
      </c>
      <c r="B38" s="1" t="str">
        <f>IFERROR(__xludf.DUMMYFUNCTION("""COMPUTED_VALUE"""),"President Donald Trump signed into law Friday afternoon a historic $2 trillion stimulus package as the American public and the US economy fight the devastating spread of Covid-19.")</f>
        <v>President Donald Trump signed into law Friday afternoon a historic $2 trillion stimulus package as the American public and the US economy fight the devastating spread of Covid-19.</v>
      </c>
      <c r="C38" s="1" t="str">
        <f>IFERROR(__xludf.DUMMYFUNCTION("""COMPUTED_VALUE"""),"CNN")</f>
        <v>CNN</v>
      </c>
      <c r="D38" s="3" t="str">
        <f>IFERROR(__xludf.DUMMYFUNCTION("""COMPUTED_VALUE"""),"https://www.cnn.com/2020/03/27/politics/coronavirus-stimulus-house-vote/index.html")</f>
        <v>https://www.cnn.com/2020/03/27/politics/coronavirus-stimulus-house-vote/index.html</v>
      </c>
      <c r="E38" s="1"/>
      <c r="F38" s="1"/>
      <c r="G38" s="1"/>
      <c r="H38" s="1"/>
      <c r="I38" s="1"/>
    </row>
    <row r="39">
      <c r="A39" s="2">
        <f>IFERROR(__xludf.DUMMYFUNCTION("""COMPUTED_VALUE"""),43921.0)</f>
        <v>43921</v>
      </c>
      <c r="B39" s="1" t="str">
        <f>IFERROR(__xludf.DUMMYFUNCTION("""COMPUTED_VALUE"""),"More than 1/3 of humanity is under some form of lockdown.")</f>
        <v>More than 1/3 of humanity is under some form of lockdown.</v>
      </c>
      <c r="C39" s="1" t="str">
        <f>IFERROR(__xludf.DUMMYFUNCTION("""COMPUTED_VALUE"""),"Business Insider")</f>
        <v>Business Insider</v>
      </c>
      <c r="D39" s="3" t="str">
        <f>IFERROR(__xludf.DUMMYFUNCTION("""COMPUTED_VALUE"""),"https://www.businessinsider.com/coronavirus-pandemic-timeline-history-major-events-2020-3")</f>
        <v>https://www.businessinsider.com/coronavirus-pandemic-timeline-history-major-events-2020-3</v>
      </c>
      <c r="E39" s="1"/>
      <c r="F39" s="1"/>
      <c r="G39" s="1"/>
      <c r="H39" s="1"/>
      <c r="I39" s="1"/>
    </row>
    <row r="40">
      <c r="A40" s="2">
        <f>IFERROR(__xludf.DUMMYFUNCTION("""COMPUTED_VALUE"""),43921.0)</f>
        <v>43921</v>
      </c>
      <c r="B40" s="1" t="str">
        <f>IFERROR(__xludf.DUMMYFUNCTION("""COMPUTED_VALUE"""),"Roughly 80% of all Americans are under lockdown, as 35 states issue stay-at-home orders.")</f>
        <v>Roughly 80% of all Americans are under lockdown, as 35 states issue stay-at-home orders.</v>
      </c>
      <c r="C40" s="1" t="str">
        <f>IFERROR(__xludf.DUMMYFUNCTION("""COMPUTED_VALUE"""),"Business Insider")</f>
        <v>Business Insider</v>
      </c>
      <c r="D40" s="3" t="str">
        <f>IFERROR(__xludf.DUMMYFUNCTION("""COMPUTED_VALUE"""),"https://www.businessinsider.com/coronavirus-pandemic-timeline-history-major-events-2020-3")</f>
        <v>https://www.businessinsider.com/coronavirus-pandemic-timeline-history-major-events-2020-3</v>
      </c>
      <c r="E40" s="1"/>
      <c r="F40" s="1"/>
      <c r="G40" s="1"/>
      <c r="H40" s="1"/>
      <c r="I40" s="1"/>
    </row>
    <row r="41">
      <c r="A41" s="2">
        <f>IFERROR(__xludf.DUMMYFUNCTION("""COMPUTED_VALUE"""),43922.0)</f>
        <v>43922</v>
      </c>
      <c r="B41" s="1" t="str">
        <f>IFERROR(__xludf.DUMMYFUNCTION("""COMPUTED_VALUE"""),"Globally, authorities report almost 922,000 confirmed cases of COVID-19, with about 656,000 being active and ongoing cases, roughly 193,000 recoveries, and 46,000 deaths.")</f>
        <v>Globally, authorities report almost 922,000 confirmed cases of COVID-19, with about 656,000 being active and ongoing cases, roughly 193,000 recoveries, and 46,000 deaths.</v>
      </c>
      <c r="C41" s="1" t="str">
        <f>IFERROR(__xludf.DUMMYFUNCTION("""COMPUTED_VALUE"""),"Business Insider")</f>
        <v>Business Insider</v>
      </c>
      <c r="D41" s="3" t="str">
        <f>IFERROR(__xludf.DUMMYFUNCTION("""COMPUTED_VALUE"""),"https://www.businessinsider.com/coronavirus-pandemic-timeline-history-major-events-2020-3")</f>
        <v>https://www.businessinsider.com/coronavirus-pandemic-timeline-history-major-events-2020-3</v>
      </c>
      <c r="E41" s="1"/>
      <c r="F41" s="1"/>
      <c r="G41" s="1"/>
      <c r="H41" s="1"/>
      <c r="I41" s="1"/>
    </row>
    <row r="42">
      <c r="A42" s="2">
        <f>IFERROR(__xludf.DUMMYFUNCTION("""COMPUTED_VALUE"""),43923.0)</f>
        <v>43923</v>
      </c>
      <c r="B42" s="1" t="str">
        <f>IFERROR(__xludf.DUMMYFUNCTION("""COMPUTED_VALUE"""),"The world passes 1 million COVID-19 infections.")</f>
        <v>The world passes 1 million COVID-19 infections.</v>
      </c>
      <c r="C42" s="1" t="str">
        <f>IFERROR(__xludf.DUMMYFUNCTION("""COMPUTED_VALUE"""),"Business Insider")</f>
        <v>Business Insider</v>
      </c>
      <c r="D42" s="3" t="str">
        <f>IFERROR(__xludf.DUMMYFUNCTION("""COMPUTED_VALUE"""),"https://www.businessinsider.com/coronavirus-pandemic-timeline-history-major-events-2020-3")</f>
        <v>https://www.businessinsider.com/coronavirus-pandemic-timeline-history-major-events-2020-3</v>
      </c>
      <c r="E42" s="1"/>
      <c r="F42" s="1"/>
      <c r="G42" s="1"/>
      <c r="H42" s="1"/>
      <c r="I42" s="1"/>
    </row>
    <row r="43">
      <c r="A43" s="2">
        <f>IFERROR(__xludf.DUMMYFUNCTION("""COMPUTED_VALUE"""),43923.0)</f>
        <v>43923</v>
      </c>
      <c r="B43" s="1" t="str">
        <f>IFERROR(__xludf.DUMMYFUNCTION("""COMPUTED_VALUE"""),"Spain reports the highest single-day death toll for any country: 950.")</f>
        <v>Spain reports the highest single-day death toll for any country: 950.</v>
      </c>
      <c r="C43" s="1" t="str">
        <f>IFERROR(__xludf.DUMMYFUNCTION("""COMPUTED_VALUE"""),"Business Insider")</f>
        <v>Business Insider</v>
      </c>
      <c r="D43" s="3" t="str">
        <f>IFERROR(__xludf.DUMMYFUNCTION("""COMPUTED_VALUE"""),"https://www.businessinsider.com/coronavirus-pandemic-timeline-history-major-events-2020-3")</f>
        <v>https://www.businessinsider.com/coronavirus-pandemic-timeline-history-major-events-2020-3</v>
      </c>
      <c r="E43" s="1"/>
      <c r="F43" s="1"/>
      <c r="G43" s="1"/>
      <c r="H43" s="1"/>
      <c r="I43" s="1"/>
    </row>
    <row r="44">
      <c r="A44" s="2">
        <f>IFERROR(__xludf.DUMMYFUNCTION("""COMPUTED_VALUE"""),43928.0)</f>
        <v>43928</v>
      </c>
      <c r="B44" s="1" t="str">
        <f>IFERROR(__xludf.DUMMYFUNCTION("""COMPUTED_VALUE"""),"Roughly 95% of all Americans are under lockdown, as 42 states issue stay-at-home orders.")</f>
        <v>Roughly 95% of all Americans are under lockdown, as 42 states issue stay-at-home orders.</v>
      </c>
      <c r="C44" s="1" t="str">
        <f>IFERROR(__xludf.DUMMYFUNCTION("""COMPUTED_VALUE"""),"Business Insider")</f>
        <v>Business Insider</v>
      </c>
      <c r="D44" s="3" t="str">
        <f>IFERROR(__xludf.DUMMYFUNCTION("""COMPUTED_VALUE"""),"https://www.businessinsider.com/coronavirus-pandemic-timeline-history-major-events-2020-3")</f>
        <v>https://www.businessinsider.com/coronavirus-pandemic-timeline-history-major-events-2020-3</v>
      </c>
      <c r="E44" s="1"/>
      <c r="F44" s="1"/>
      <c r="G44" s="1"/>
      <c r="H44" s="1"/>
      <c r="I44" s="1"/>
    </row>
    <row r="45">
      <c r="A45" s="2">
        <f>IFERROR(__xludf.DUMMYFUNCTION("""COMPUTED_VALUE"""),43928.0)</f>
        <v>43928</v>
      </c>
      <c r="B45" s="1" t="str">
        <f>IFERROR(__xludf.DUMMYFUNCTION("""COMPUTED_VALUE"""),"US reports the highest single-day death toll for any country: more than 1,900.")</f>
        <v>US reports the highest single-day death toll for any country: more than 1,900.</v>
      </c>
      <c r="C45" s="1" t="str">
        <f>IFERROR(__xludf.DUMMYFUNCTION("""COMPUTED_VALUE"""),"Business Insider")</f>
        <v>Business Insider</v>
      </c>
      <c r="D45" s="3" t="str">
        <f>IFERROR(__xludf.DUMMYFUNCTION("""COMPUTED_VALUE"""),"https://www.businessinsider.com/coronavirus-pandemic-timeline-history-major-events-2020-3")</f>
        <v>https://www.businessinsider.com/coronavirus-pandemic-timeline-history-major-events-2020-3</v>
      </c>
      <c r="E45" s="1"/>
      <c r="F45" s="1"/>
      <c r="G45" s="1"/>
      <c r="H45" s="1"/>
      <c r="I45" s="1"/>
    </row>
    <row r="46">
      <c r="A46" s="2">
        <f>IFERROR(__xludf.DUMMYFUNCTION("""COMPUTED_VALUE"""),43928.0)</f>
        <v>43928</v>
      </c>
      <c r="B46" s="1" t="str">
        <f>IFERROR(__xludf.DUMMYFUNCTION("""COMPUTED_VALUE"""),"Globally, authorities report roughly 1.37 million confirmed cases of COVID-19, with about 1 million being active and ongoing cases, roughly 300,000 recoveries, and 76,500 deaths.")</f>
        <v>Globally, authorities report roughly 1.37 million confirmed cases of COVID-19, with about 1 million being active and ongoing cases, roughly 300,000 recoveries, and 76,500 deaths.</v>
      </c>
      <c r="C46" s="1" t="str">
        <f>IFERROR(__xludf.DUMMYFUNCTION("""COMPUTED_VALUE"""),"Business Insider")</f>
        <v>Business Insider</v>
      </c>
      <c r="D46" s="3" t="str">
        <f>IFERROR(__xludf.DUMMYFUNCTION("""COMPUTED_VALUE"""),"https://www.businessinsider.com/coronavirus-pandemic-timeline-history-major-events-2020-3")</f>
        <v>https://www.businessinsider.com/coronavirus-pandemic-timeline-history-major-events-2020-3</v>
      </c>
      <c r="E46" s="1"/>
      <c r="F46" s="1"/>
      <c r="G46" s="1"/>
      <c r="H46" s="1"/>
      <c r="I46" s="1"/>
    </row>
    <row r="47">
      <c r="A47" s="2">
        <f>IFERROR(__xludf.DUMMYFUNCTION("""COMPUTED_VALUE"""),43931.0)</f>
        <v>43931</v>
      </c>
      <c r="B47" s="1" t="str">
        <f>IFERROR(__xludf.DUMMYFUNCTION("""COMPUTED_VALUE"""),"The global death toll surpasses 100,000.")</f>
        <v>The global death toll surpasses 100,000.</v>
      </c>
      <c r="C47" s="1" t="str">
        <f>IFERROR(__xludf.DUMMYFUNCTION("""COMPUTED_VALUE"""),"Business Insider")</f>
        <v>Business Insider</v>
      </c>
      <c r="D47" s="3" t="str">
        <f>IFERROR(__xludf.DUMMYFUNCTION("""COMPUTED_VALUE"""),"https://www.businessinsider.com/coronavirus-pandemic-timeline-history-major-events-2020-3")</f>
        <v>https://www.businessinsider.com/coronavirus-pandemic-timeline-history-major-events-2020-3</v>
      </c>
      <c r="E47" s="1"/>
      <c r="F47" s="1"/>
      <c r="G47" s="1"/>
      <c r="H47" s="1"/>
      <c r="I47" s="1"/>
    </row>
    <row r="48">
      <c r="A48" s="2">
        <f>IFERROR(__xludf.DUMMYFUNCTION("""COMPUTED_VALUE"""),43931.0)</f>
        <v>43931</v>
      </c>
      <c r="B48" s="1" t="str">
        <f>IFERROR(__xludf.DUMMYFUNCTION("""COMPUTED_VALUE"""),"Globally, authorities report roughly 1.67 million confirmed cases of COVID-19, with about 1.2 million being active and ongoing cases, roughly 370,000 recoveries, and 101,700 deaths.")</f>
        <v>Globally, authorities report roughly 1.67 million confirmed cases of COVID-19, with about 1.2 million being active and ongoing cases, roughly 370,000 recoveries, and 101,700 deaths.</v>
      </c>
      <c r="C48" s="1" t="str">
        <f>IFERROR(__xludf.DUMMYFUNCTION("""COMPUTED_VALUE"""),"Business Insider")</f>
        <v>Business Insider</v>
      </c>
      <c r="D48" s="3" t="str">
        <f>IFERROR(__xludf.DUMMYFUNCTION("""COMPUTED_VALUE"""),"https://www.businessinsider.com/coronavirus-pandemic-timeline-history-major-events-2020-3")</f>
        <v>https://www.businessinsider.com/coronavirus-pandemic-timeline-history-major-events-2020-3</v>
      </c>
      <c r="E48" s="1"/>
      <c r="F48" s="1"/>
      <c r="G48" s="1"/>
      <c r="H48" s="1"/>
      <c r="I48" s="1"/>
    </row>
    <row r="49">
      <c r="A49" s="2">
        <f>IFERROR(__xludf.DUMMYFUNCTION("""COMPUTED_VALUE"""),43932.0)</f>
        <v>43932</v>
      </c>
      <c r="B49" s="1" t="str">
        <f>IFERROR(__xludf.DUMMYFUNCTION("""COMPUTED_VALUE"""),"The number of Americans that filed for unemployment since mid-March hits 22 million.")</f>
        <v>The number of Americans that filed for unemployment since mid-March hits 22 million.</v>
      </c>
      <c r="C49" s="1" t="str">
        <f>IFERROR(__xludf.DUMMYFUNCTION("""COMPUTED_VALUE"""),"Business Insider")</f>
        <v>Business Insider</v>
      </c>
      <c r="D49" s="3" t="str">
        <f>IFERROR(__xludf.DUMMYFUNCTION("""COMPUTED_VALUE"""),"https://www.businessinsider.com/coronavirus-pandemic-timeline-history-major-events-2020-3")</f>
        <v>https://www.businessinsider.com/coronavirus-pandemic-timeline-history-major-events-2020-3</v>
      </c>
      <c r="E49" s="1"/>
      <c r="F49" s="1"/>
      <c r="G49" s="1"/>
      <c r="H49" s="1"/>
      <c r="I49" s="1"/>
    </row>
    <row r="50">
      <c r="A50" s="2">
        <f>IFERROR(__xludf.DUMMYFUNCTION("""COMPUTED_VALUE"""),43932.0)</f>
        <v>43932</v>
      </c>
      <c r="B50" s="1" t="str">
        <f>IFERROR(__xludf.DUMMYFUNCTION("""COMPUTED_VALUE"""),"The Internal Revenue Service sent out the first wave of stimulus checks to Americans on Saturday.")</f>
        <v>The Internal Revenue Service sent out the first wave of stimulus checks to Americans on Saturday.</v>
      </c>
      <c r="C50" s="1" t="str">
        <f>IFERROR(__xludf.DUMMYFUNCTION("""COMPUTED_VALUE"""),"CNN")</f>
        <v>CNN</v>
      </c>
      <c r="D50" s="3" t="str">
        <f>IFERROR(__xludf.DUMMYFUNCTION("""COMPUTED_VALUE"""),"https://www.cnn.com/2020/04/11/politics/irs-coronavirus-stimulus-check-deposit/index.html")</f>
        <v>https://www.cnn.com/2020/04/11/politics/irs-coronavirus-stimulus-check-deposit/index.html</v>
      </c>
      <c r="E50" s="1"/>
      <c r="F50" s="1"/>
      <c r="G50" s="1"/>
      <c r="H50" s="1"/>
      <c r="I50" s="1"/>
    </row>
    <row r="51">
      <c r="A51" s="2">
        <f>IFERROR(__xludf.DUMMYFUNCTION("""COMPUTED_VALUE"""),43933.0)</f>
        <v>43933</v>
      </c>
      <c r="B51" s="1" t="str">
        <f>IFERROR(__xludf.DUMMYFUNCTION("""COMPUTED_VALUE"""),"President Donald Trump orders a halt on $400 million in funding for WHO.")</f>
        <v>President Donald Trump orders a halt on $400 million in funding for WHO.</v>
      </c>
      <c r="C51" s="1" t="str">
        <f>IFERROR(__xludf.DUMMYFUNCTION("""COMPUTED_VALUE"""),"Business Insider")</f>
        <v>Business Insider</v>
      </c>
      <c r="D51" s="3" t="str">
        <f>IFERROR(__xludf.DUMMYFUNCTION("""COMPUTED_VALUE"""),"https://www.businessinsider.com/coronavirus-pandemic-timeline-history-major-events-2020-3")</f>
        <v>https://www.businessinsider.com/coronavirus-pandemic-timeline-history-major-events-2020-3</v>
      </c>
      <c r="E51" s="1"/>
      <c r="F51" s="1"/>
      <c r="G51" s="1"/>
      <c r="H51" s="1"/>
      <c r="I51" s="1"/>
    </row>
    <row r="52">
      <c r="A52" s="2">
        <f>IFERROR(__xludf.DUMMYFUNCTION("""COMPUTED_VALUE"""),43936.0)</f>
        <v>43936</v>
      </c>
      <c r="B52" s="1" t="str">
        <f>IFERROR(__xludf.DUMMYFUNCTION("""COMPUTED_VALUE"""),"The number of global COVID-19 cases surpasses 2 million.")</f>
        <v>The number of global COVID-19 cases surpasses 2 million.</v>
      </c>
      <c r="C52" s="1" t="str">
        <f>IFERROR(__xludf.DUMMYFUNCTION("""COMPUTED_VALUE"""),"Business Insider")</f>
        <v>Business Insider</v>
      </c>
      <c r="D52" s="3" t="str">
        <f>IFERROR(__xludf.DUMMYFUNCTION("""COMPUTED_VALUE"""),"https://www.businessinsider.com/coronavirus-pandemic-timeline-history-major-events-2020-3")</f>
        <v>https://www.businessinsider.com/coronavirus-pandemic-timeline-history-major-events-2020-3</v>
      </c>
      <c r="E52" s="1"/>
      <c r="F52" s="1"/>
      <c r="G52" s="1"/>
      <c r="H52" s="1"/>
      <c r="I52" s="1"/>
    </row>
    <row r="53">
      <c r="A53" s="2">
        <f>IFERROR(__xludf.DUMMYFUNCTION("""COMPUTED_VALUE"""),43937.0)</f>
        <v>43937</v>
      </c>
      <c r="B53" s="1" t="str">
        <f>IFERROR(__xludf.DUMMYFUNCTION("""COMPUTED_VALUE"""),"Globally, authorities report roughly 2.1 million confirmed cases of COVID-19, with about 1.2 million being active and ongoing cases, roughly 530,000 recoveries, and 140,000 deaths.")</f>
        <v>Globally, authorities report roughly 2.1 million confirmed cases of COVID-19, with about 1.2 million being active and ongoing cases, roughly 530,000 recoveries, and 140,000 deaths.</v>
      </c>
      <c r="C53" s="1" t="str">
        <f>IFERROR(__xludf.DUMMYFUNCTION("""COMPUTED_VALUE"""),"Business Insider")</f>
        <v>Business Insider</v>
      </c>
      <c r="D53" s="3" t="str">
        <f>IFERROR(__xludf.DUMMYFUNCTION("""COMPUTED_VALUE"""),"https://www.businessinsider.com/coronavirus-pandemic-timeline-history-major-events-2020-3")</f>
        <v>https://www.businessinsider.com/coronavirus-pandemic-timeline-history-major-events-2020-3</v>
      </c>
      <c r="E53" s="1"/>
      <c r="F53" s="1"/>
      <c r="G53" s="1"/>
      <c r="H53" s="1"/>
      <c r="I53" s="1"/>
    </row>
    <row r="54">
      <c r="A54" s="2">
        <f>IFERROR(__xludf.DUMMYFUNCTION("""COMPUTED_VALUE"""),43941.0)</f>
        <v>43941</v>
      </c>
      <c r="B54" s="1" t="str">
        <f>IFERROR(__xludf.DUMMYFUNCTION("""COMPUTED_VALUE"""),"US protesters hold anti-lockdown rallies linked to the Trump administration, despite the executive branch's official guidance to practice social distancing.")</f>
        <v>US protesters hold anti-lockdown rallies linked to the Trump administration, despite the executive branch's official guidance to practice social distancing.</v>
      </c>
      <c r="C54" s="1" t="str">
        <f>IFERROR(__xludf.DUMMYFUNCTION("""COMPUTED_VALUE"""),"Business Insider")</f>
        <v>Business Insider</v>
      </c>
      <c r="D54" s="3" t="str">
        <f>IFERROR(__xludf.DUMMYFUNCTION("""COMPUTED_VALUE"""),"https://www.businessinsider.com/coronavirus-pandemic-timeline-history-major-events-2020-3")</f>
        <v>https://www.businessinsider.com/coronavirus-pandemic-timeline-history-major-events-2020-3</v>
      </c>
      <c r="E54" s="1"/>
      <c r="F54" s="1"/>
      <c r="G54" s="1"/>
      <c r="H54" s="1"/>
      <c r="I54" s="1"/>
    </row>
    <row r="55">
      <c r="A55" s="2">
        <f>IFERROR(__xludf.DUMMYFUNCTION("""COMPUTED_VALUE"""),43942.0)</f>
        <v>43942</v>
      </c>
      <c r="B55" s="1" t="str">
        <f>IFERROR(__xludf.DUMMYFUNCTION("""COMPUTED_VALUE"""),"A person in California was found to have died from COVID-19 on Feb. 6 — three weeks earlier than what authorities figured was the first American pandemic death.")</f>
        <v>A person in California was found to have died from COVID-19 on Feb. 6 — three weeks earlier than what authorities figured was the first American pandemic death.</v>
      </c>
      <c r="C55" s="1" t="str">
        <f>IFERROR(__xludf.DUMMYFUNCTION("""COMPUTED_VALUE"""),"Business Insider")</f>
        <v>Business Insider</v>
      </c>
      <c r="D55" s="3" t="str">
        <f>IFERROR(__xludf.DUMMYFUNCTION("""COMPUTED_VALUE"""),"https://www.businessinsider.com/coronavirus-pandemic-timeline-history-major-events-2020-3")</f>
        <v>https://www.businessinsider.com/coronavirus-pandemic-timeline-history-major-events-2020-3</v>
      </c>
      <c r="E55" s="1"/>
      <c r="F55" s="1"/>
      <c r="G55" s="1"/>
      <c r="H55" s="1"/>
      <c r="I55" s="1"/>
    </row>
    <row r="56">
      <c r="A56" s="2">
        <f>IFERROR(__xludf.DUMMYFUNCTION("""COMPUTED_VALUE"""),43943.0)</f>
        <v>43943</v>
      </c>
      <c r="B56" s="1" t="str">
        <f>IFERROR(__xludf.DUMMYFUNCTION("""COMPUTED_VALUE"""),"US reports the highest single-day death toll for any country: more than 2,600.")</f>
        <v>US reports the highest single-day death toll for any country: more than 2,600.</v>
      </c>
      <c r="C56" s="1" t="str">
        <f>IFERROR(__xludf.DUMMYFUNCTION("""COMPUTED_VALUE"""),"Business Insider")</f>
        <v>Business Insider</v>
      </c>
      <c r="D56" s="3" t="str">
        <f>IFERROR(__xludf.DUMMYFUNCTION("""COMPUTED_VALUE"""),"https://www.businessinsider.com/coronavirus-pandemic-timeline-history-major-events-2020-3")</f>
        <v>https://www.businessinsider.com/coronavirus-pandemic-timeline-history-major-events-2020-3</v>
      </c>
      <c r="E56" s="1"/>
      <c r="F56" s="1"/>
      <c r="G56" s="1"/>
      <c r="H56" s="1"/>
      <c r="I56" s="1"/>
    </row>
    <row r="57">
      <c r="A57" s="2">
        <f>IFERROR(__xludf.DUMMYFUNCTION("""COMPUTED_VALUE"""),43944.0)</f>
        <v>43944</v>
      </c>
      <c r="B57" s="1" t="str">
        <f>IFERROR(__xludf.DUMMYFUNCTION("""COMPUTED_VALUE"""),"Globally, authorities report roughly 2.7 million confirmed cases of COVID-19, with about 1.8 million being active and ongoing cases, roughly 730,000 recoveries, and 187,000 deaths.")</f>
        <v>Globally, authorities report roughly 2.7 million confirmed cases of COVID-19, with about 1.8 million being active and ongoing cases, roughly 730,000 recoveries, and 187,000 deaths.</v>
      </c>
      <c r="C57" s="1" t="str">
        <f>IFERROR(__xludf.DUMMYFUNCTION("""COMPUTED_VALUE"""),"Business Insider")</f>
        <v>Business Insider</v>
      </c>
      <c r="D57" s="3" t="str">
        <f>IFERROR(__xludf.DUMMYFUNCTION("""COMPUTED_VALUE"""),"https://www.businessinsider.com/coronavirus-pandemic-timeline-history-major-events-2020-3")</f>
        <v>https://www.businessinsider.com/coronavirus-pandemic-timeline-history-major-events-2020-3</v>
      </c>
      <c r="E57" s="1"/>
      <c r="F57" s="1"/>
      <c r="G57" s="1"/>
      <c r="H57" s="1"/>
      <c r="I57" s="1"/>
    </row>
    <row r="58">
      <c r="A58" s="2">
        <f>IFERROR(__xludf.DUMMYFUNCTION("""COMPUTED_VALUE"""),43944.0)</f>
        <v>43944</v>
      </c>
      <c r="B58" s="1" t="str">
        <f>IFERROR(__xludf.DUMMYFUNCTION("""COMPUTED_VALUE"""),"The US Congressional Budget Office says that it expects the federal budget deficit to hit $3.7 trillion for the 2020 fiscal year. In a new round of forecasts that officials cautioned were highly uncertain amid the coronavirus pandemic, the budget office s"&amp;"aid it expected the economy to shrink by 5.6 percent over the course of this year, ending 2020 with an unemployment rate of nearly 12 percent.")</f>
        <v>The US Congressional Budget Office says that it expects the federal budget deficit to hit $3.7 trillion for the 2020 fiscal year. In a new round of forecasts that officials cautioned were highly uncertain amid the coronavirus pandemic, the budget office said it expected the economy to shrink by 5.6 percent over the course of this year, ending 2020 with an unemployment rate of nearly 12 percent.</v>
      </c>
      <c r="C58" s="1" t="str">
        <f>IFERROR(__xludf.DUMMYFUNCTION("""COMPUTED_VALUE"""),"New York Times")</f>
        <v>New York Times</v>
      </c>
      <c r="D58" s="3" t="str">
        <f>IFERROR(__xludf.DUMMYFUNCTION("""COMPUTED_VALUE"""),"https://www.nytimes.com/2020/04/24/business/stock-market-live-coronavirus.html")</f>
        <v>https://www.nytimes.com/2020/04/24/business/stock-market-live-coronavirus.html</v>
      </c>
      <c r="E58" s="1"/>
      <c r="F58" s="1"/>
      <c r="G58" s="1"/>
      <c r="H58" s="1"/>
      <c r="I58" s="1"/>
    </row>
    <row r="59">
      <c r="A59" s="2">
        <f>IFERROR(__xludf.DUMMYFUNCTION("""COMPUTED_VALUE"""),43948.0)</f>
        <v>43948</v>
      </c>
      <c r="B59" s="1" t="str">
        <f>IFERROR(__xludf.DUMMYFUNCTION("""COMPUTED_VALUE"""),"White House rolls out roadmap for daily diagnostic testing, which calls for testing far lower than independent reopening plans.")</f>
        <v>White House rolls out roadmap for daily diagnostic testing, which calls for testing far lower than independent reopening plans.</v>
      </c>
      <c r="C59" s="1" t="str">
        <f>IFERROR(__xludf.DUMMYFUNCTION("""COMPUTED_VALUE"""),"Business Insider")</f>
        <v>Business Insider</v>
      </c>
      <c r="D59" s="3" t="str">
        <f>IFERROR(__xludf.DUMMYFUNCTION("""COMPUTED_VALUE"""),"https://www.businessinsider.com/coronavirus-pandemic-timeline-history-major-events-2020-3")</f>
        <v>https://www.businessinsider.com/coronavirus-pandemic-timeline-history-major-events-2020-3</v>
      </c>
      <c r="E59" s="1"/>
      <c r="F59" s="1"/>
      <c r="G59" s="1"/>
      <c r="H59" s="1"/>
      <c r="I59" s="1"/>
    </row>
    <row r="60">
      <c r="A60" s="2">
        <f>IFERROR(__xludf.DUMMYFUNCTION("""COMPUTED_VALUE"""),43952.0)</f>
        <v>43952</v>
      </c>
      <c r="B60" s="1" t="str">
        <f>IFERROR(__xludf.DUMMYFUNCTION("""COMPUTED_VALUE"""),"Globally, authorities report roughly 3.3 million confirmed cases of COVID-19, with about 1.2 million being active and ongoing cases, roughly 1 million recoveries, and 234,000 deaths.")</f>
        <v>Globally, authorities report roughly 3.3 million confirmed cases of COVID-19, with about 1.2 million being active and ongoing cases, roughly 1 million recoveries, and 234,000 deaths.</v>
      </c>
      <c r="C60" s="1" t="str">
        <f>IFERROR(__xludf.DUMMYFUNCTION("""COMPUTED_VALUE"""),"Business Insider")</f>
        <v>Business Insider</v>
      </c>
      <c r="D60" s="3" t="str">
        <f>IFERROR(__xludf.DUMMYFUNCTION("""COMPUTED_VALUE"""),"https://www.businessinsider.com/coronavirus-pandemic-timeline-history-major-events-2020-3")</f>
        <v>https://www.businessinsider.com/coronavirus-pandemic-timeline-history-major-events-2020-3</v>
      </c>
      <c r="E60" s="1"/>
      <c r="F60" s="1"/>
      <c r="G60" s="1"/>
      <c r="H60" s="1"/>
      <c r="I60" s="1"/>
    </row>
    <row r="61">
      <c r="A61" s="2">
        <f>IFERROR(__xludf.DUMMYFUNCTION("""COMPUTED_VALUE"""),43954.0)</f>
        <v>43954</v>
      </c>
      <c r="B61" s="1" t="str">
        <f>IFERROR(__xludf.DUMMYFUNCTION("""COMPUTED_VALUE"""),"US reports the highest single-day death toll for any country: more than 2,900.")</f>
        <v>US reports the highest single-day death toll for any country: more than 2,900.</v>
      </c>
      <c r="C61" s="1" t="str">
        <f>IFERROR(__xludf.DUMMYFUNCTION("""COMPUTED_VALUE"""),"Business Insider")</f>
        <v>Business Insider</v>
      </c>
      <c r="D61" s="3" t="str">
        <f>IFERROR(__xludf.DUMMYFUNCTION("""COMPUTED_VALUE"""),"https://www.businessinsider.com/coronavirus-pandemic-timeline-history-major-events-2020-3")</f>
        <v>https://www.businessinsider.com/coronavirus-pandemic-timeline-history-major-events-2020-3</v>
      </c>
      <c r="E61" s="1"/>
      <c r="F61" s="1"/>
      <c r="G61" s="1"/>
      <c r="H61" s="1"/>
      <c r="I61" s="1"/>
    </row>
    <row r="62">
      <c r="A62" s="2">
        <f>IFERROR(__xludf.DUMMYFUNCTION("""COMPUTED_VALUE"""),43962.0)</f>
        <v>43962</v>
      </c>
      <c r="B62" s="1" t="str">
        <f>IFERROR(__xludf.DUMMYFUNCTION("""COMPUTED_VALUE"""),"Several countries, such as Spain, Iran, Italy, Denmark, Israel, Germany, New Zealand, and Thailand, have begun to ease their lockdown restrictions.")</f>
        <v>Several countries, such as Spain, Iran, Italy, Denmark, Israel, Germany, New Zealand, and Thailand, have begun to ease their lockdown restrictions.</v>
      </c>
      <c r="C62" s="1" t="str">
        <f>IFERROR(__xludf.DUMMYFUNCTION("""COMPUTED_VALUE"""),"Business Insider")</f>
        <v>Business Insider</v>
      </c>
      <c r="D62" s="3" t="str">
        <f>IFERROR(__xludf.DUMMYFUNCTION("""COMPUTED_VALUE"""),"https://www.businessinsider.com/coronavirus-pandemic-timeline-history-major-events-2020-3")</f>
        <v>https://www.businessinsider.com/coronavirus-pandemic-timeline-history-major-events-2020-3</v>
      </c>
      <c r="E62" s="1"/>
      <c r="F62" s="1"/>
      <c r="G62" s="1"/>
      <c r="H62" s="1"/>
      <c r="I62" s="1"/>
    </row>
    <row r="63">
      <c r="A63" s="2">
        <f>IFERROR(__xludf.DUMMYFUNCTION("""COMPUTED_VALUE"""),43962.0)</f>
        <v>43962</v>
      </c>
      <c r="B63" s="1" t="str">
        <f>IFERROR(__xludf.DUMMYFUNCTION("""COMPUTED_VALUE"""),"Globally, authorities report roughly 4.1 million confirmed cases of COVID-19, with about 2.4 million being active and ongoing cases, roughly 1.4 million recoveries, and 284,000 deaths.")</f>
        <v>Globally, authorities report roughly 4.1 million confirmed cases of COVID-19, with about 2.4 million being active and ongoing cases, roughly 1.4 million recoveries, and 284,000 deaths.</v>
      </c>
      <c r="C63" s="1" t="str">
        <f>IFERROR(__xludf.DUMMYFUNCTION("""COMPUTED_VALUE"""),"Business Insider")</f>
        <v>Business Insider</v>
      </c>
      <c r="D63" s="3" t="str">
        <f>IFERROR(__xludf.DUMMYFUNCTION("""COMPUTED_VALUE"""),"https://www.businessinsider.com/coronavirus-pandemic-timeline-history-major-events-2020-3")</f>
        <v>https://www.businessinsider.com/coronavirus-pandemic-timeline-history-major-events-2020-3</v>
      </c>
      <c r="E63" s="1"/>
      <c r="F63" s="1"/>
      <c r="G63" s="1"/>
      <c r="H63" s="1"/>
      <c r="I63" s="1"/>
    </row>
    <row r="64">
      <c r="A64" s="2">
        <f>IFERROR(__xludf.DUMMYFUNCTION("""COMPUTED_VALUE"""),43972.0)</f>
        <v>43972</v>
      </c>
      <c r="B64" s="1" t="str">
        <f>IFERROR(__xludf.DUMMYFUNCTION("""COMPUTED_VALUE"""),"The number of global COVID-19 cases surpasses 5 million.")</f>
        <v>The number of global COVID-19 cases surpasses 5 million.</v>
      </c>
      <c r="C64" s="1" t="str">
        <f>IFERROR(__xludf.DUMMYFUNCTION("""COMPUTED_VALUE"""),"Business Insider")</f>
        <v>Business Insider</v>
      </c>
      <c r="D64" s="3" t="str">
        <f>IFERROR(__xludf.DUMMYFUNCTION("""COMPUTED_VALUE"""),"https://www.businessinsider.com/coronavirus-pandemic-timeline-history-major-events-2020-3")</f>
        <v>https://www.businessinsider.com/coronavirus-pandemic-timeline-history-major-events-2020-3</v>
      </c>
      <c r="E64" s="1"/>
      <c r="F64" s="1"/>
      <c r="G64" s="1"/>
      <c r="H64" s="1"/>
      <c r="I64" s="1"/>
    </row>
    <row r="65">
      <c r="A65" s="2">
        <f>IFERROR(__xludf.DUMMYFUNCTION("""COMPUTED_VALUE"""),43972.0)</f>
        <v>43972</v>
      </c>
      <c r="B65" s="1" t="str">
        <f>IFERROR(__xludf.DUMMYFUNCTION("""COMPUTED_VALUE"""),"The U.S. National Park Service said Grand Canyon National Park's South Rim will be open to the public starting May 22 to May 25 for “limited entry and recreational access,” following guidance from the White House, CDC, and state and local public health au"&amp;"thorities.")</f>
        <v>The U.S. National Park Service said Grand Canyon National Park's South Rim will be open to the public starting May 22 to May 25 for “limited entry and recreational access,” following guidance from the White House, CDC, and state and local public health authorities.</v>
      </c>
      <c r="C65" s="1" t="str">
        <f>IFERROR(__xludf.DUMMYFUNCTION("""COMPUTED_VALUE"""),"NBC News")</f>
        <v>NBC News</v>
      </c>
      <c r="D65" s="3" t="str">
        <f>IFERROR(__xludf.DUMMYFUNCTION("""COMPUTED_VALUE"""),"https://www.nbcnews.com/health/health-news/coronavirus-timeline-tracking-critical-moments-covid-19-n1154341")</f>
        <v>https://www.nbcnews.com/health/health-news/coronavirus-timeline-tracking-critical-moments-covid-19-n1154341</v>
      </c>
      <c r="E65" s="1"/>
      <c r="F65" s="1"/>
      <c r="G65" s="1"/>
      <c r="H65" s="1"/>
      <c r="I65" s="1"/>
    </row>
    <row r="66">
      <c r="A66" s="2">
        <f>IFERROR(__xludf.DUMMYFUNCTION("""COMPUTED_VALUE"""),43972.0)</f>
        <v>43972</v>
      </c>
      <c r="B66" s="1" t="str">
        <f>IFERROR(__xludf.DUMMYFUNCTION("""COMPUTED_VALUE"""),"British-Swedish pharmaceutical company AstraZeneca received more than $1 billion in funding from the U.S. Health Department’s Biomedical Advanced Research and Development Authority to develop a coronavirus vaccine in collaboration with the University of O"&amp;"xford.")</f>
        <v>British-Swedish pharmaceutical company AstraZeneca received more than $1 billion in funding from the U.S. Health Department’s Biomedical Advanced Research and Development Authority to develop a coronavirus vaccine in collaboration with the University of Oxford.</v>
      </c>
      <c r="C66" s="1" t="str">
        <f>IFERROR(__xludf.DUMMYFUNCTION("""COMPUTED_VALUE"""),"NBC News")</f>
        <v>NBC News</v>
      </c>
      <c r="D66" s="3" t="str">
        <f>IFERROR(__xludf.DUMMYFUNCTION("""COMPUTED_VALUE"""),"https://www.nbcnews.com/health/health-news/coronavirus-timeline-tracking-critical-moments-covid-19-n1154341")</f>
        <v>https://www.nbcnews.com/health/health-news/coronavirus-timeline-tracking-critical-moments-covid-19-n1154341</v>
      </c>
      <c r="E66" s="1"/>
      <c r="F66" s="1"/>
      <c r="G66" s="1"/>
      <c r="H66" s="1"/>
      <c r="I66" s="1"/>
    </row>
    <row r="67">
      <c r="A67" s="2">
        <f>IFERROR(__xludf.DUMMYFUNCTION("""COMPUTED_VALUE"""),43972.0)</f>
        <v>43972</v>
      </c>
      <c r="B67" s="1" t="str">
        <f>IFERROR(__xludf.DUMMYFUNCTION("""COMPUTED_VALUE"""),"Another 2.44 million Americans filed for initial unemployment benefits the week before, bringing the total number of people who lost their job so far during the coronavirus pandemic to almost 40 million.")</f>
        <v>Another 2.44 million Americans filed for initial unemployment benefits the week before, bringing the total number of people who lost their job so far during the coronavirus pandemic to almost 40 million.</v>
      </c>
      <c r="C67" s="1" t="str">
        <f>IFERROR(__xludf.DUMMYFUNCTION("""COMPUTED_VALUE"""),"NBC News")</f>
        <v>NBC News</v>
      </c>
      <c r="D67" s="3" t="str">
        <f>IFERROR(__xludf.DUMMYFUNCTION("""COMPUTED_VALUE"""),"https://www.nbcnews.com/health/health-news/coronavirus-timeline-tracking-critical-moments-covid-19-n1154341")</f>
        <v>https://www.nbcnews.com/health/health-news/coronavirus-timeline-tracking-critical-moments-covid-19-n1154341</v>
      </c>
      <c r="E67" s="1"/>
      <c r="F67" s="1"/>
      <c r="G67" s="1"/>
      <c r="H67" s="1"/>
      <c r="I67" s="1"/>
    </row>
    <row r="68">
      <c r="A68" s="2">
        <f>IFERROR(__xludf.DUMMYFUNCTION("""COMPUTED_VALUE"""),43972.0)</f>
        <v>43972</v>
      </c>
      <c r="B68" s="1" t="str">
        <f>IFERROR(__xludf.DUMMYFUNCTION("""COMPUTED_VALUE"""),"A huge spike in coronavirus cases in the Middle East, where many were observing the Islamic month of Ramadan, led countries to extend and reinforce lockdown measures to prevent its spread during the Eid holiday.")</f>
        <v>A huge spike in coronavirus cases in the Middle East, where many were observing the Islamic month of Ramadan, led countries to extend and reinforce lockdown measures to prevent its spread during the Eid holiday.</v>
      </c>
      <c r="C68" s="1" t="str">
        <f>IFERROR(__xludf.DUMMYFUNCTION("""COMPUTED_VALUE"""),"NBC News")</f>
        <v>NBC News</v>
      </c>
      <c r="D68" s="3" t="str">
        <f>IFERROR(__xludf.DUMMYFUNCTION("""COMPUTED_VALUE"""),"https://www.nbcnews.com/health/health-news/coronavirus-timeline-tracking-critical-moments-covid-19-n1154341")</f>
        <v>https://www.nbcnews.com/health/health-news/coronavirus-timeline-tracking-critical-moments-covid-19-n1154341</v>
      </c>
      <c r="E68" s="1"/>
      <c r="F68" s="1"/>
      <c r="G68" s="1"/>
      <c r="H68" s="1"/>
      <c r="I68" s="1"/>
    </row>
    <row r="69">
      <c r="A69" s="2">
        <f>IFERROR(__xludf.DUMMYFUNCTION("""COMPUTED_VALUE"""),43972.0)</f>
        <v>43972</v>
      </c>
      <c r="B69" s="1" t="str">
        <f>IFERROR(__xludf.DUMMYFUNCTION("""COMPUTED_VALUE"""),"Confirmed cases in Pennsylvania surpassed 65,000, as the state’s death toll rose to 4,869.")</f>
        <v>Confirmed cases in Pennsylvania surpassed 65,000, as the state’s death toll rose to 4,869.</v>
      </c>
      <c r="C69" s="1" t="str">
        <f>IFERROR(__xludf.DUMMYFUNCTION("""COMPUTED_VALUE"""),"NBC News")</f>
        <v>NBC News</v>
      </c>
      <c r="D69" s="3" t="str">
        <f>IFERROR(__xludf.DUMMYFUNCTION("""COMPUTED_VALUE"""),"https://www.nbcnews.com/health/health-news/coronavirus-timeline-tracking-critical-moments-covid-19-n1154341")</f>
        <v>https://www.nbcnews.com/health/health-news/coronavirus-timeline-tracking-critical-moments-covid-19-n1154341</v>
      </c>
      <c r="E69" s="1"/>
      <c r="F69" s="1"/>
      <c r="G69" s="1"/>
      <c r="H69" s="1"/>
      <c r="I69" s="1"/>
    </row>
    <row r="70">
      <c r="A70" s="2">
        <f>IFERROR(__xludf.DUMMYFUNCTION("""COMPUTED_VALUE"""),43972.0)</f>
        <v>43972</v>
      </c>
      <c r="B70" s="1" t="str">
        <f>IFERROR(__xludf.DUMMYFUNCTION("""COMPUTED_VALUE"""),"President Trump announced on Twitter that about $300 million was heading to New York's struggling Metropolitan Transit Authority, part of the $3.9 billion that's been allocated for New York under coronavirus stimulus legislation passed by Congress.")</f>
        <v>President Trump announced on Twitter that about $300 million was heading to New York's struggling Metropolitan Transit Authority, part of the $3.9 billion that's been allocated for New York under coronavirus stimulus legislation passed by Congress.</v>
      </c>
      <c r="C70" s="1" t="str">
        <f>IFERROR(__xludf.DUMMYFUNCTION("""COMPUTED_VALUE"""),"NBC News")</f>
        <v>NBC News</v>
      </c>
      <c r="D70" s="3" t="str">
        <f>IFERROR(__xludf.DUMMYFUNCTION("""COMPUTED_VALUE"""),"https://www.nbcnews.com/health/health-news/coronavirus-timeline-tracking-critical-moments-covid-19-n1154341")</f>
        <v>https://www.nbcnews.com/health/health-news/coronavirus-timeline-tracking-critical-moments-covid-19-n1154341</v>
      </c>
      <c r="E70" s="1"/>
      <c r="F70" s="1"/>
      <c r="G70" s="1"/>
      <c r="H70" s="1"/>
      <c r="I70" s="1"/>
    </row>
    <row r="71">
      <c r="A71" s="2">
        <f>IFERROR(__xludf.DUMMYFUNCTION("""COMPUTED_VALUE"""),43972.0)</f>
        <v>43972</v>
      </c>
      <c r="B71" s="1" t="str">
        <f>IFERROR(__xludf.DUMMYFUNCTION("""COMPUTED_VALUE"""),"Amazon confirmed that another warehouse worker died from COVID-19, bringing the total known deaths to eight employees.")</f>
        <v>Amazon confirmed that another warehouse worker died from COVID-19, bringing the total known deaths to eight employees.</v>
      </c>
      <c r="C71" s="1" t="str">
        <f>IFERROR(__xludf.DUMMYFUNCTION("""COMPUTED_VALUE"""),"NBC News")</f>
        <v>NBC News</v>
      </c>
      <c r="D71" s="3" t="str">
        <f>IFERROR(__xludf.DUMMYFUNCTION("""COMPUTED_VALUE"""),"https://www.nbcnews.com/health/health-news/coronavirus-timeline-tracking-critical-moments-covid-19-n1154341")</f>
        <v>https://www.nbcnews.com/health/health-news/coronavirus-timeline-tracking-critical-moments-covid-19-n1154341</v>
      </c>
      <c r="E71" s="1"/>
      <c r="F71" s="1"/>
      <c r="G71" s="1"/>
      <c r="H71" s="1"/>
      <c r="I71" s="1"/>
    </row>
    <row r="72">
      <c r="A72" s="2">
        <f>IFERROR(__xludf.DUMMYFUNCTION("""COMPUTED_VALUE"""),43972.0)</f>
        <v>43972</v>
      </c>
      <c r="B72" s="1" t="str">
        <f>IFERROR(__xludf.DUMMYFUNCTION("""COMPUTED_VALUE"""),"The number of deaths linked to the coronavirus surpassed 2,000 in Los Angeles County.")</f>
        <v>The number of deaths linked to the coronavirus surpassed 2,000 in Los Angeles County.</v>
      </c>
      <c r="C72" s="1" t="str">
        <f>IFERROR(__xludf.DUMMYFUNCTION("""COMPUTED_VALUE"""),"NBC News")</f>
        <v>NBC News</v>
      </c>
      <c r="D72" s="3" t="str">
        <f>IFERROR(__xludf.DUMMYFUNCTION("""COMPUTED_VALUE"""),"https://www.nbcnews.com/health/health-news/coronavirus-timeline-tracking-critical-moments-covid-19-n1154341")</f>
        <v>https://www.nbcnews.com/health/health-news/coronavirus-timeline-tracking-critical-moments-covid-19-n1154341</v>
      </c>
      <c r="E72" s="1"/>
      <c r="F72" s="1"/>
      <c r="G72" s="1"/>
      <c r="H72" s="1"/>
      <c r="I72" s="1"/>
    </row>
    <row r="73">
      <c r="A73" s="2">
        <f>IFERROR(__xludf.DUMMYFUNCTION("""COMPUTED_VALUE"""),43972.0)</f>
        <v>43972</v>
      </c>
      <c r="B73" s="1" t="str">
        <f>IFERROR(__xludf.DUMMYFUNCTION("""COMPUTED_VALUE"""),"Brazil recorded another new record for daily coronavirus deaths after 1,188 new fatalities were reported in the past 24 hours. Brazil’s total number of fatalities passed 20,000 and the number of cases nationwide rose to 310,087.")</f>
        <v>Brazil recorded another new record for daily coronavirus deaths after 1,188 new fatalities were reported in the past 24 hours. Brazil’s total number of fatalities passed 20,000 and the number of cases nationwide rose to 310,087.</v>
      </c>
      <c r="C73" s="1" t="str">
        <f>IFERROR(__xludf.DUMMYFUNCTION("""COMPUTED_VALUE"""),"NBC News")</f>
        <v>NBC News</v>
      </c>
      <c r="D73" s="3" t="str">
        <f>IFERROR(__xludf.DUMMYFUNCTION("""COMPUTED_VALUE"""),"https://www.nbcnews.com/health/health-news/coronavirus-timeline-tracking-critical-moments-covid-19-n1154341")</f>
        <v>https://www.nbcnews.com/health/health-news/coronavirus-timeline-tracking-critical-moments-covid-19-n1154341</v>
      </c>
      <c r="E73" s="1"/>
      <c r="F73" s="1"/>
      <c r="G73" s="1"/>
      <c r="H73" s="1"/>
      <c r="I73" s="1"/>
    </row>
    <row r="74">
      <c r="A74" s="2">
        <f>IFERROR(__xludf.DUMMYFUNCTION("""COMPUTED_VALUE"""),43972.0)</f>
        <v>43972</v>
      </c>
      <c r="B74" s="1" t="str">
        <f>IFERROR(__xludf.DUMMYFUNCTION("""COMPUTED_VALUE"""),"The European Union Aviation Safety Agency updated their recommendations for airports and airlines. The new guidelines recommended that all passengers should wear face masks and that access to airport terminals should be limited to only passengers, crew me"&amp;"mbers and staff.")</f>
        <v>The European Union Aviation Safety Agency updated their recommendations for airports and airlines. The new guidelines recommended that all passengers should wear face masks and that access to airport terminals should be limited to only passengers, crew members and staff.</v>
      </c>
      <c r="C74" s="1" t="str">
        <f>IFERROR(__xludf.DUMMYFUNCTION("""COMPUTED_VALUE"""),"NBC News")</f>
        <v>NBC News</v>
      </c>
      <c r="D74" s="3" t="str">
        <f>IFERROR(__xludf.DUMMYFUNCTION("""COMPUTED_VALUE"""),"https://www.nbcnews.com/health/health-news/coronavirus-timeline-tracking-critical-moments-covid-19-n1154341")</f>
        <v>https://www.nbcnews.com/health/health-news/coronavirus-timeline-tracking-critical-moments-covid-19-n1154341</v>
      </c>
      <c r="E74" s="1"/>
      <c r="F74" s="1"/>
      <c r="G74" s="1"/>
      <c r="H74" s="1"/>
      <c r="I74" s="1"/>
    </row>
    <row r="75">
      <c r="A75" s="2">
        <f>IFERROR(__xludf.DUMMYFUNCTION("""COMPUTED_VALUE"""),43973.0)</f>
        <v>43973</v>
      </c>
      <c r="B75" s="1" t="str">
        <f>IFERROR(__xludf.DUMMYFUNCTION("""COMPUTED_VALUE"""),"An experimental coronavirus vaccine under development at the University of Oxford progressed to advanced stages of human trials.")</f>
        <v>An experimental coronavirus vaccine under development at the University of Oxford progressed to advanced stages of human trials.</v>
      </c>
      <c r="C75" s="1" t="str">
        <f>IFERROR(__xludf.DUMMYFUNCTION("""COMPUTED_VALUE"""),"NBC News")</f>
        <v>NBC News</v>
      </c>
      <c r="D75" s="3" t="str">
        <f>IFERROR(__xludf.DUMMYFUNCTION("""COMPUTED_VALUE"""),"https://www.nbcnews.com/health/health-news/coronavirus-timeline-tracking-critical-moments-covid-19-n1154341")</f>
        <v>https://www.nbcnews.com/health/health-news/coronavirus-timeline-tracking-critical-moments-covid-19-n1154341</v>
      </c>
      <c r="E75" s="1"/>
      <c r="F75" s="1"/>
      <c r="G75" s="1"/>
      <c r="H75" s="1"/>
      <c r="I75" s="1"/>
    </row>
    <row r="76">
      <c r="A76" s="2">
        <f>IFERROR(__xludf.DUMMYFUNCTION("""COMPUTED_VALUE"""),43973.0)</f>
        <v>43973</v>
      </c>
      <c r="B76" s="1" t="str">
        <f>IFERROR(__xludf.DUMMYFUNCTION("""COMPUTED_VALUE"""),"The Department of Health and Human Services announced that it would begin distributing $4.9 billion in CARES Act funding to nursing homes in an effort to help the hard-hit facilities curb the spread of the coronavirus.")</f>
        <v>The Department of Health and Human Services announced that it would begin distributing $4.9 billion in CARES Act funding to nursing homes in an effort to help the hard-hit facilities curb the spread of the coronavirus.</v>
      </c>
      <c r="C76" s="1" t="str">
        <f>IFERROR(__xludf.DUMMYFUNCTION("""COMPUTED_VALUE"""),"NBC News")</f>
        <v>NBC News</v>
      </c>
      <c r="D76" s="3" t="str">
        <f>IFERROR(__xludf.DUMMYFUNCTION("""COMPUTED_VALUE"""),"https://www.nbcnews.com/health/health-news/coronavirus-timeline-tracking-critical-moments-covid-19-n1154341")</f>
        <v>https://www.nbcnews.com/health/health-news/coronavirus-timeline-tracking-critical-moments-covid-19-n1154341</v>
      </c>
      <c r="E76" s="1"/>
      <c r="F76" s="1"/>
      <c r="G76" s="1"/>
      <c r="H76" s="1"/>
      <c r="I76" s="1"/>
    </row>
    <row r="77">
      <c r="A77" s="2">
        <f>IFERROR(__xludf.DUMMYFUNCTION("""COMPUTED_VALUE"""),43973.0)</f>
        <v>43973</v>
      </c>
      <c r="B77" s="1" t="str">
        <f>IFERROR(__xludf.DUMMYFUNCTION("""COMPUTED_VALUE"""),"A new study published in The Lancet found that hydroxychloroquine, a drug that President Trump said he was taking as a preventive strategy and has publicly touted, does not help COVID-19 patients, and may increase deaths.")</f>
        <v>A new study published in The Lancet found that hydroxychloroquine, a drug that President Trump said he was taking as a preventive strategy and has publicly touted, does not help COVID-19 patients, and may increase deaths.</v>
      </c>
      <c r="C77" s="1" t="str">
        <f>IFERROR(__xludf.DUMMYFUNCTION("""COMPUTED_VALUE"""),"NBC News")</f>
        <v>NBC News</v>
      </c>
      <c r="D77" s="3" t="str">
        <f>IFERROR(__xludf.DUMMYFUNCTION("""COMPUTED_VALUE"""),"https://www.nbcnews.com/health/health-news/coronavirus-timeline-tracking-critical-moments-covid-19-n1154341")</f>
        <v>https://www.nbcnews.com/health/health-news/coronavirus-timeline-tracking-critical-moments-covid-19-n1154341</v>
      </c>
      <c r="E77" s="1"/>
      <c r="F77" s="1"/>
      <c r="G77" s="1"/>
      <c r="H77" s="1"/>
      <c r="I77" s="1"/>
    </row>
    <row r="78">
      <c r="A78" s="2">
        <f>IFERROR(__xludf.DUMMYFUNCTION("""COMPUTED_VALUE"""),43973.0)</f>
        <v>43973</v>
      </c>
      <c r="B78" s="1" t="str">
        <f>IFERROR(__xludf.DUMMYFUNCTION("""COMPUTED_VALUE"""),"Two children in Washington State were diagnosed with a rare and potentially deadly COVID-19-linked condition known as Multisystem Inflammatory Syndrome in Children, or MIS-C.")</f>
        <v>Two children in Washington State were diagnosed with a rare and potentially deadly COVID-19-linked condition known as Multisystem Inflammatory Syndrome in Children, or MIS-C.</v>
      </c>
      <c r="C78" s="1" t="str">
        <f>IFERROR(__xludf.DUMMYFUNCTION("""COMPUTED_VALUE"""),"NBC News")</f>
        <v>NBC News</v>
      </c>
      <c r="D78" s="3" t="str">
        <f>IFERROR(__xludf.DUMMYFUNCTION("""COMPUTED_VALUE"""),"https://www.nbcnews.com/health/health-news/coronavirus-timeline-tracking-critical-moments-covid-19-n1154341")</f>
        <v>https://www.nbcnews.com/health/health-news/coronavirus-timeline-tracking-critical-moments-covid-19-n1154341</v>
      </c>
      <c r="E78" s="1"/>
      <c r="F78" s="1"/>
      <c r="G78" s="1"/>
      <c r="H78" s="1"/>
      <c r="I78" s="1"/>
    </row>
    <row r="79">
      <c r="A79" s="2">
        <f>IFERROR(__xludf.DUMMYFUNCTION("""COMPUTED_VALUE"""),43973.0)</f>
        <v>43973</v>
      </c>
      <c r="B79" s="1" t="str">
        <f>IFERROR(__xludf.DUMMYFUNCTION("""COMPUTED_VALUE"""),"President Trump announced that places of worship are ""essential"" and should open over the weekend, a move that threatened to override governors who have ordered churches, synagogues and mosques not to reopen in the coming days.")</f>
        <v>President Trump announced that places of worship are "essential" and should open over the weekend, a move that threatened to override governors who have ordered churches, synagogues and mosques not to reopen in the coming days.</v>
      </c>
      <c r="C79" s="1" t="str">
        <f>IFERROR(__xludf.DUMMYFUNCTION("""COMPUTED_VALUE"""),"NBC News")</f>
        <v>NBC News</v>
      </c>
      <c r="D79" s="3" t="str">
        <f>IFERROR(__xludf.DUMMYFUNCTION("""COMPUTED_VALUE"""),"https://www.nbcnews.com/health/health-news/coronavirus-timeline-tracking-critical-moments-covid-19-n1154341")</f>
        <v>https://www.nbcnews.com/health/health-news/coronavirus-timeline-tracking-critical-moments-covid-19-n1154341</v>
      </c>
      <c r="E79" s="1"/>
      <c r="F79" s="1"/>
      <c r="G79" s="1"/>
      <c r="H79" s="1"/>
      <c r="I79" s="1"/>
    </row>
    <row r="80">
      <c r="A80" s="2">
        <f>IFERROR(__xludf.DUMMYFUNCTION("""COMPUTED_VALUE"""),43973.0)</f>
        <v>43973</v>
      </c>
      <c r="B80" s="1" t="str">
        <f>IFERROR(__xludf.DUMMYFUNCTION("""COMPUTED_VALUE"""),"The National Institute of Allergy and Infectious Diseases published long-awaited results of its first study of remdesivir, an antiviral medication that Dr. Anthony Fauci previously said has a ""clear-cut, significant, positive effect"" on patients with CO"&amp;"VID-19.")</f>
        <v>The National Institute of Allergy and Infectious Diseases published long-awaited results of its first study of remdesivir, an antiviral medication that Dr. Anthony Fauci previously said has a "clear-cut, significant, positive effect" on patients with COVID-19.</v>
      </c>
      <c r="C80" s="1" t="str">
        <f>IFERROR(__xludf.DUMMYFUNCTION("""COMPUTED_VALUE"""),"NBC News")</f>
        <v>NBC News</v>
      </c>
      <c r="D80" s="3" t="str">
        <f>IFERROR(__xludf.DUMMYFUNCTION("""COMPUTED_VALUE"""),"https://www.nbcnews.com/health/health-news/coronavirus-timeline-tracking-critical-moments-covid-19-n1154341")</f>
        <v>https://www.nbcnews.com/health/health-news/coronavirus-timeline-tracking-critical-moments-covid-19-n1154341</v>
      </c>
      <c r="E80" s="1"/>
      <c r="F80" s="1"/>
      <c r="G80" s="1"/>
      <c r="H80" s="1"/>
      <c r="I80" s="1"/>
    </row>
    <row r="81">
      <c r="A81" s="2">
        <f>IFERROR(__xludf.DUMMYFUNCTION("""COMPUTED_VALUE"""),43973.0)</f>
        <v>43973</v>
      </c>
      <c r="B81" s="1" t="str">
        <f>IFERROR(__xludf.DUMMYFUNCTION("""COMPUTED_VALUE"""),"The Justice Department filed a statement of interest backing a lawsuit challenging the pandemic-related stay at home restrictions in Illinois.")</f>
        <v>The Justice Department filed a statement of interest backing a lawsuit challenging the pandemic-related stay at home restrictions in Illinois.</v>
      </c>
      <c r="C81" s="1" t="str">
        <f>IFERROR(__xludf.DUMMYFUNCTION("""COMPUTED_VALUE"""),"NBC News")</f>
        <v>NBC News</v>
      </c>
      <c r="D81" s="3" t="str">
        <f>IFERROR(__xludf.DUMMYFUNCTION("""COMPUTED_VALUE"""),"https://www.nbcnews.com/health/health-news/coronavirus-timeline-tracking-critical-moments-covid-19-n1154341")</f>
        <v>https://www.nbcnews.com/health/health-news/coronavirus-timeline-tracking-critical-moments-covid-19-n1154341</v>
      </c>
      <c r="E81" s="1"/>
      <c r="F81" s="1"/>
      <c r="G81" s="1"/>
      <c r="H81" s="1"/>
      <c r="I81" s="1"/>
    </row>
    <row r="82">
      <c r="A82" s="2">
        <f>IFERROR(__xludf.DUMMYFUNCTION("""COMPUTED_VALUE"""),43973.0)</f>
        <v>43973</v>
      </c>
      <c r="B82" s="1" t="str">
        <f>IFERROR(__xludf.DUMMYFUNCTION("""COMPUTED_VALUE"""),"Rental car company Hertz filed for bankruptcy protection after more than 100 years in the business.")</f>
        <v>Rental car company Hertz filed for bankruptcy protection after more than 100 years in the business.</v>
      </c>
      <c r="C82" s="1" t="str">
        <f>IFERROR(__xludf.DUMMYFUNCTION("""COMPUTED_VALUE"""),"NBC News")</f>
        <v>NBC News</v>
      </c>
      <c r="D82" s="3" t="str">
        <f>IFERROR(__xludf.DUMMYFUNCTION("""COMPUTED_VALUE"""),"https://www.nbcnews.com/health/health-news/coronavirus-timeline-tracking-critical-moments-covid-19-n1154341")</f>
        <v>https://www.nbcnews.com/health/health-news/coronavirus-timeline-tracking-critical-moments-covid-19-n1154341</v>
      </c>
      <c r="E82" s="1"/>
      <c r="F82" s="1"/>
      <c r="G82" s="1"/>
      <c r="H82" s="1"/>
      <c r="I82" s="1"/>
    </row>
    <row r="83">
      <c r="A83" s="2">
        <f>IFERROR(__xludf.DUMMYFUNCTION("""COMPUTED_VALUE"""),43973.0)</f>
        <v>43973</v>
      </c>
      <c r="B83" s="1" t="str">
        <f>IFERROR(__xludf.DUMMYFUNCTION("""COMPUTED_VALUE"""),"New York Gov. Andrew Cuomo signed an executive order allowing groups of 10 people or fewer to congregate. Social distancing, cleaning and disinfection protocols must be followed as required by the state's Department of Health, according to the order.")</f>
        <v>New York Gov. Andrew Cuomo signed an executive order allowing groups of 10 people or fewer to congregate. Social distancing, cleaning and disinfection protocols must be followed as required by the state's Department of Health, according to the order.</v>
      </c>
      <c r="C83" s="1" t="str">
        <f>IFERROR(__xludf.DUMMYFUNCTION("""COMPUTED_VALUE"""),"NBC News")</f>
        <v>NBC News</v>
      </c>
      <c r="D83" s="3" t="str">
        <f>IFERROR(__xludf.DUMMYFUNCTION("""COMPUTED_VALUE"""),"https://www.nbcnews.com/health/health-news/coronavirus-timeline-tracking-critical-moments-covid-19-n1154341")</f>
        <v>https://www.nbcnews.com/health/health-news/coronavirus-timeline-tracking-critical-moments-covid-19-n1154341</v>
      </c>
      <c r="E83" s="1"/>
      <c r="F83" s="1"/>
      <c r="G83" s="1"/>
      <c r="H83" s="1"/>
      <c r="I83" s="1"/>
    </row>
    <row r="84">
      <c r="A84" s="2">
        <f>IFERROR(__xludf.DUMMYFUNCTION("""COMPUTED_VALUE"""),43973.0)</f>
        <v>43973</v>
      </c>
      <c r="B84" s="1" t="str">
        <f>IFERROR(__xludf.DUMMYFUNCTION("""COMPUTED_VALUE"""),"Nevada Gov. Steve Sisolak set a tentative June 4 date for reopening the state’s shuttered casinos.")</f>
        <v>Nevada Gov. Steve Sisolak set a tentative June 4 date for reopening the state’s shuttered casinos.</v>
      </c>
      <c r="C84" s="1" t="str">
        <f>IFERROR(__xludf.DUMMYFUNCTION("""COMPUTED_VALUE"""),"NBC News")</f>
        <v>NBC News</v>
      </c>
      <c r="D84" s="3" t="str">
        <f>IFERROR(__xludf.DUMMYFUNCTION("""COMPUTED_VALUE"""),"https://www.nbcnews.com/health/health-news/coronavirus-timeline-tracking-critical-moments-covid-19-n1154341")</f>
        <v>https://www.nbcnews.com/health/health-news/coronavirus-timeline-tracking-critical-moments-covid-19-n1154341</v>
      </c>
      <c r="E84" s="1"/>
      <c r="F84" s="1"/>
      <c r="G84" s="1"/>
      <c r="H84" s="1"/>
      <c r="I84" s="1"/>
    </row>
    <row r="85">
      <c r="A85" s="2">
        <f>IFERROR(__xludf.DUMMYFUNCTION("""COMPUTED_VALUE"""),43973.0)</f>
        <v>43973</v>
      </c>
      <c r="B85" s="1" t="str">
        <f>IFERROR(__xludf.DUMMYFUNCTION("""COMPUTED_VALUE"""),"Brazil surpassed Russia in total number of confirmed coronavirus cases, according to Johns Hopkins University data. Brazil had 330,890 confirmed cases, making it second in the world behind the U.S., which had 1.6 million cases.")</f>
        <v>Brazil surpassed Russia in total number of confirmed coronavirus cases, according to Johns Hopkins University data. Brazil had 330,890 confirmed cases, making it second in the world behind the U.S., which had 1.6 million cases.</v>
      </c>
      <c r="C85" s="1" t="str">
        <f>IFERROR(__xludf.DUMMYFUNCTION("""COMPUTED_VALUE"""),"NBC News")</f>
        <v>NBC News</v>
      </c>
      <c r="D85" s="3" t="str">
        <f>IFERROR(__xludf.DUMMYFUNCTION("""COMPUTED_VALUE"""),"https://www.nbcnews.com/health/health-news/coronavirus-timeline-tracking-critical-moments-covid-19-n1154341")</f>
        <v>https://www.nbcnews.com/health/health-news/coronavirus-timeline-tracking-critical-moments-covid-19-n1154341</v>
      </c>
      <c r="E85" s="1"/>
      <c r="F85" s="1"/>
      <c r="G85" s="1"/>
      <c r="H85" s="1"/>
      <c r="I85" s="1"/>
    </row>
    <row r="86">
      <c r="A86" s="2">
        <f>IFERROR(__xludf.DUMMYFUNCTION("""COMPUTED_VALUE"""),43974.0)</f>
        <v>43974</v>
      </c>
      <c r="B86" s="1" t="str">
        <f>IFERROR(__xludf.DUMMYFUNCTION("""COMPUTED_VALUE"""),"The Australian state of Queensland postponed work on its bid for the Olympic 2032 Games to focus on the coronavirus outbreak.")</f>
        <v>The Australian state of Queensland postponed work on its bid for the Olympic 2032 Games to focus on the coronavirus outbreak.</v>
      </c>
      <c r="C86" s="1" t="str">
        <f>IFERROR(__xludf.DUMMYFUNCTION("""COMPUTED_VALUE"""),"NBC News")</f>
        <v>NBC News</v>
      </c>
      <c r="D86" s="3" t="str">
        <f>IFERROR(__xludf.DUMMYFUNCTION("""COMPUTED_VALUE"""),"https://www.nbcnews.com/health/health-news/coronavirus-timeline-tracking-critical-moments-covid-19-n1154341")</f>
        <v>https://www.nbcnews.com/health/health-news/coronavirus-timeline-tracking-critical-moments-covid-19-n1154341</v>
      </c>
      <c r="E86" s="1"/>
      <c r="F86" s="1"/>
      <c r="G86" s="1"/>
      <c r="H86" s="1"/>
      <c r="I86" s="1"/>
    </row>
    <row r="87">
      <c r="A87" s="2">
        <f>IFERROR(__xludf.DUMMYFUNCTION("""COMPUTED_VALUE"""),43974.0)</f>
        <v>43974</v>
      </c>
      <c r="B87" s="1" t="str">
        <f>IFERROR(__xludf.DUMMYFUNCTION("""COMPUTED_VALUE"""),"China reported no new confirmed infections or deaths in the past 24 hours, marking the first time the country registered zero new infections of the virus since they began reporting data in January.")</f>
        <v>China reported no new confirmed infections or deaths in the past 24 hours, marking the first time the country registered zero new infections of the virus since they began reporting data in January.</v>
      </c>
      <c r="C87" s="1" t="str">
        <f>IFERROR(__xludf.DUMMYFUNCTION("""COMPUTED_VALUE"""),"NBC News")</f>
        <v>NBC News</v>
      </c>
      <c r="D87" s="3" t="str">
        <f>IFERROR(__xludf.DUMMYFUNCTION("""COMPUTED_VALUE"""),"https://www.nbcnews.com/health/health-news/coronavirus-timeline-tracking-critical-moments-covid-19-n1154341")</f>
        <v>https://www.nbcnews.com/health/health-news/coronavirus-timeline-tracking-critical-moments-covid-19-n1154341</v>
      </c>
      <c r="E87" s="1"/>
      <c r="F87" s="1"/>
      <c r="G87" s="1"/>
      <c r="H87" s="1"/>
      <c r="I87" s="1"/>
    </row>
    <row r="88">
      <c r="A88" s="2">
        <f>IFERROR(__xludf.DUMMYFUNCTION("""COMPUTED_VALUE"""),43974.0)</f>
        <v>43974</v>
      </c>
      <c r="B88" s="1" t="str">
        <f>IFERROR(__xludf.DUMMYFUNCTION("""COMPUTED_VALUE"""),"South Korea reported 23 new coronavirus cases, mostly from the densely-populated Seoul metropolitan area where authorities had shut down thousands of nightclubs, bars and karaoke rooms in an attempt to stem transmissions.")</f>
        <v>South Korea reported 23 new coronavirus cases, mostly from the densely-populated Seoul metropolitan area where authorities had shut down thousands of nightclubs, bars and karaoke rooms in an attempt to stem transmissions.</v>
      </c>
      <c r="C88" s="1" t="str">
        <f>IFERROR(__xludf.DUMMYFUNCTION("""COMPUTED_VALUE"""),"NBC News")</f>
        <v>NBC News</v>
      </c>
      <c r="D88" s="3" t="str">
        <f>IFERROR(__xludf.DUMMYFUNCTION("""COMPUTED_VALUE"""),"https://www.nbcnews.com/health/health-news/coronavirus-timeline-tracking-critical-moments-covid-19-n1154341")</f>
        <v>https://www.nbcnews.com/health/health-news/coronavirus-timeline-tracking-critical-moments-covid-19-n1154341</v>
      </c>
      <c r="E88" s="1"/>
      <c r="F88" s="1"/>
      <c r="G88" s="1"/>
      <c r="H88" s="1"/>
      <c r="I88" s="1"/>
    </row>
    <row r="89">
      <c r="A89" s="2">
        <f>IFERROR(__xludf.DUMMYFUNCTION("""COMPUTED_VALUE"""),43974.0)</f>
        <v>43974</v>
      </c>
      <c r="B89" s="1" t="str">
        <f>IFERROR(__xludf.DUMMYFUNCTION("""COMPUTED_VALUE"""),"Spanish Prime Minister Pedro Sánchez announced plans to reopen the country to international tourists in July.")</f>
        <v>Spanish Prime Minister Pedro Sánchez announced plans to reopen the country to international tourists in July.</v>
      </c>
      <c r="C89" s="1" t="str">
        <f>IFERROR(__xludf.DUMMYFUNCTION("""COMPUTED_VALUE"""),"NBC News")</f>
        <v>NBC News</v>
      </c>
      <c r="D89" s="3" t="str">
        <f>IFERROR(__xludf.DUMMYFUNCTION("""COMPUTED_VALUE"""),"https://www.nbcnews.com/health/health-news/coronavirus-timeline-tracking-critical-moments-covid-19-n1154341")</f>
        <v>https://www.nbcnews.com/health/health-news/coronavirus-timeline-tracking-critical-moments-covid-19-n1154341</v>
      </c>
      <c r="E89" s="1"/>
      <c r="F89" s="1"/>
      <c r="G89" s="1"/>
      <c r="H89" s="1"/>
      <c r="I89" s="1"/>
    </row>
    <row r="90">
      <c r="A90" s="2">
        <f>IFERROR(__xludf.DUMMYFUNCTION("""COMPUTED_VALUE"""),43974.0)</f>
        <v>43974</v>
      </c>
      <c r="B90" s="1" t="str">
        <f>IFERROR(__xludf.DUMMYFUNCTION("""COMPUTED_VALUE"""),"New cases of the coronavirus in India topped 6,000 for a second consecutive day, marking another record jump for the South Asian country in a 24-hour period.")</f>
        <v>New cases of the coronavirus in India topped 6,000 for a second consecutive day, marking another record jump for the South Asian country in a 24-hour period.</v>
      </c>
      <c r="C90" s="1" t="str">
        <f>IFERROR(__xludf.DUMMYFUNCTION("""COMPUTED_VALUE"""),"NBC News")</f>
        <v>NBC News</v>
      </c>
      <c r="D90" s="3" t="str">
        <f>IFERROR(__xludf.DUMMYFUNCTION("""COMPUTED_VALUE"""),"https://www.nbcnews.com/health/health-news/coronavirus-timeline-tracking-critical-moments-covid-19-n1154341")</f>
        <v>https://www.nbcnews.com/health/health-news/coronavirus-timeline-tracking-critical-moments-covid-19-n1154341</v>
      </c>
      <c r="E90" s="1"/>
      <c r="F90" s="1"/>
      <c r="G90" s="1"/>
      <c r="H90" s="1"/>
      <c r="I90" s="1"/>
    </row>
    <row r="91">
      <c r="A91" s="2">
        <f>IFERROR(__xludf.DUMMYFUNCTION("""COMPUTED_VALUE"""),43974.0)</f>
        <v>43974</v>
      </c>
      <c r="B91" s="1" t="str">
        <f>IFERROR(__xludf.DUMMYFUNCTION("""COMPUTED_VALUE"""),"President Trump visited his private golf course in Virginia, marking his first time back at one of his private golf courses in 75 days. The visit came as the White House pushed states to lift stay-at-home orders and for the economy to reopen.")</f>
        <v>President Trump visited his private golf course in Virginia, marking his first time back at one of his private golf courses in 75 days. The visit came as the White House pushed states to lift stay-at-home orders and for the economy to reopen.</v>
      </c>
      <c r="C91" s="1" t="str">
        <f>IFERROR(__xludf.DUMMYFUNCTION("""COMPUTED_VALUE"""),"NBC News")</f>
        <v>NBC News</v>
      </c>
      <c r="D91" s="3" t="str">
        <f>IFERROR(__xludf.DUMMYFUNCTION("""COMPUTED_VALUE"""),"https://www.nbcnews.com/health/health-news/coronavirus-timeline-tracking-critical-moments-covid-19-n1154341")</f>
        <v>https://www.nbcnews.com/health/health-news/coronavirus-timeline-tracking-critical-moments-covid-19-n1154341</v>
      </c>
      <c r="E91" s="1"/>
      <c r="F91" s="1"/>
      <c r="G91" s="1"/>
      <c r="H91" s="1"/>
      <c r="I91" s="1"/>
    </row>
    <row r="92">
      <c r="A92" s="2">
        <f>IFERROR(__xludf.DUMMYFUNCTION("""COMPUTED_VALUE"""),43974.0)</f>
        <v>43974</v>
      </c>
      <c r="B92" s="1" t="str">
        <f>IFERROR(__xludf.DUMMYFUNCTION("""COMPUTED_VALUE"""),"Gov. Andrew Cuomo announced that New York saw the lowest number of daily coronavirus deaths since the state became the epicenter of the virus.")</f>
        <v>Gov. Andrew Cuomo announced that New York saw the lowest number of daily coronavirus deaths since the state became the epicenter of the virus.</v>
      </c>
      <c r="C92" s="1" t="str">
        <f>IFERROR(__xludf.DUMMYFUNCTION("""COMPUTED_VALUE"""),"NBC News")</f>
        <v>NBC News</v>
      </c>
      <c r="D92" s="3" t="str">
        <f>IFERROR(__xludf.DUMMYFUNCTION("""COMPUTED_VALUE"""),"https://www.nbcnews.com/health/health-news/coronavirus-timeline-tracking-critical-moments-covid-19-n1154341")</f>
        <v>https://www.nbcnews.com/health/health-news/coronavirus-timeline-tracking-critical-moments-covid-19-n1154341</v>
      </c>
      <c r="E92" s="1"/>
      <c r="F92" s="1"/>
      <c r="G92" s="1"/>
      <c r="H92" s="1"/>
      <c r="I92" s="1"/>
    </row>
    <row r="93">
      <c r="A93" s="2">
        <f>IFERROR(__xludf.DUMMYFUNCTION("""COMPUTED_VALUE"""),43974.0)</f>
        <v>43974</v>
      </c>
      <c r="B93" s="1" t="str">
        <f>IFERROR(__xludf.DUMMYFUNCTION("""COMPUTED_VALUE"""),"An NBA spokesperson said the league was in ""exploratory"" talks with the Walt Disney Co. to possibly restart its season at the Walt Disney World Resort in Florida in late July.")</f>
        <v>An NBA spokesperson said the league was in "exploratory" talks with the Walt Disney Co. to possibly restart its season at the Walt Disney World Resort in Florida in late July.</v>
      </c>
      <c r="C93" s="1" t="str">
        <f>IFERROR(__xludf.DUMMYFUNCTION("""COMPUTED_VALUE"""),"NBC News")</f>
        <v>NBC News</v>
      </c>
      <c r="D93" s="3" t="str">
        <f>IFERROR(__xludf.DUMMYFUNCTION("""COMPUTED_VALUE"""),"https://www.nbcnews.com/health/health-news/coronavirus-timeline-tracking-critical-moments-covid-19-n1154341")</f>
        <v>https://www.nbcnews.com/health/health-news/coronavirus-timeline-tracking-critical-moments-covid-19-n1154341</v>
      </c>
      <c r="E93" s="1"/>
      <c r="F93" s="1"/>
      <c r="G93" s="1"/>
      <c r="H93" s="1"/>
      <c r="I93" s="1"/>
    </row>
    <row r="94">
      <c r="A94" s="2">
        <f>IFERROR(__xludf.DUMMYFUNCTION("""COMPUTED_VALUE"""),43974.0)</f>
        <v>43974</v>
      </c>
      <c r="B94" s="1" t="str">
        <f>IFERROR(__xludf.DUMMYFUNCTION("""COMPUTED_VALUE"""),"Former Vice President Joe Biden won Hawaii's Democratic presidential primary in an election that was all vote-by-mail because of the coronavirus pandemic.")</f>
        <v>Former Vice President Joe Biden won Hawaii's Democratic presidential primary in an election that was all vote-by-mail because of the coronavirus pandemic.</v>
      </c>
      <c r="C94" s="1" t="str">
        <f>IFERROR(__xludf.DUMMYFUNCTION("""COMPUTED_VALUE"""),"NBC News")</f>
        <v>NBC News</v>
      </c>
      <c r="D94" s="3" t="str">
        <f>IFERROR(__xludf.DUMMYFUNCTION("""COMPUTED_VALUE"""),"https://www.nbcnews.com/health/health-news/coronavirus-timeline-tracking-critical-moments-covid-19-n1154341")</f>
        <v>https://www.nbcnews.com/health/health-news/coronavirus-timeline-tracking-critical-moments-covid-19-n1154341</v>
      </c>
      <c r="E94" s="1"/>
      <c r="F94" s="1"/>
      <c r="G94" s="1"/>
      <c r="H94" s="1"/>
      <c r="I94" s="1"/>
    </row>
    <row r="95">
      <c r="A95" s="2">
        <f>IFERROR(__xludf.DUMMYFUNCTION("""COMPUTED_VALUE"""),43974.0)</f>
        <v>43974</v>
      </c>
      <c r="B95" s="1" t="str">
        <f>IFERROR(__xludf.DUMMYFUNCTION("""COMPUTED_VALUE"""),"The U.S. Court of Appeals for the Ninth Circuit upheld California Gov. Gavin Newsom's ban on gatherings at houses of worship, denying an emergency motion that sought to resume in-person services while the case is appealed.")</f>
        <v>The U.S. Court of Appeals for the Ninth Circuit upheld California Gov. Gavin Newsom's ban on gatherings at houses of worship, denying an emergency motion that sought to resume in-person services while the case is appealed.</v>
      </c>
      <c r="C95" s="1" t="str">
        <f>IFERROR(__xludf.DUMMYFUNCTION("""COMPUTED_VALUE"""),"NBC News")</f>
        <v>NBC News</v>
      </c>
      <c r="D95" s="3" t="str">
        <f>IFERROR(__xludf.DUMMYFUNCTION("""COMPUTED_VALUE"""),"https://www.nbcnews.com/health/health-news/coronavirus-timeline-tracking-critical-moments-covid-19-n1154341")</f>
        <v>https://www.nbcnews.com/health/health-news/coronavirus-timeline-tracking-critical-moments-covid-19-n1154341</v>
      </c>
      <c r="E95" s="1"/>
      <c r="F95" s="1"/>
      <c r="G95" s="1"/>
      <c r="H95" s="1"/>
      <c r="I95" s="1"/>
    </row>
    <row r="96">
      <c r="A96" s="2">
        <f>IFERROR(__xludf.DUMMYFUNCTION("""COMPUTED_VALUE"""),43974.0)</f>
        <v>43974</v>
      </c>
      <c r="B96" s="1" t="str">
        <f>IFERROR(__xludf.DUMMYFUNCTION("""COMPUTED_VALUE"""),"More than 100 workers at a Los Angeles-area meat plant tested positive for the coronavirus, the Los Angeles County public health department announced.")</f>
        <v>More than 100 workers at a Los Angeles-area meat plant tested positive for the coronavirus, the Los Angeles County public health department announced.</v>
      </c>
      <c r="C96" s="1" t="str">
        <f>IFERROR(__xludf.DUMMYFUNCTION("""COMPUTED_VALUE"""),"NBC News")</f>
        <v>NBC News</v>
      </c>
      <c r="D96" s="3" t="str">
        <f>IFERROR(__xludf.DUMMYFUNCTION("""COMPUTED_VALUE"""),"https://www.nbcnews.com/health/health-news/coronavirus-timeline-tracking-critical-moments-covid-19-n1154341")</f>
        <v>https://www.nbcnews.com/health/health-news/coronavirus-timeline-tracking-critical-moments-covid-19-n1154341</v>
      </c>
      <c r="E96" s="1"/>
      <c r="F96" s="1"/>
      <c r="G96" s="1"/>
      <c r="H96" s="1"/>
      <c r="I96" s="1"/>
    </row>
    <row r="97">
      <c r="A97" s="2">
        <f>IFERROR(__xludf.DUMMYFUNCTION("""COMPUTED_VALUE"""),43975.0)</f>
        <v>43975</v>
      </c>
      <c r="B97" s="1" t="str">
        <f>IFERROR(__xludf.DUMMYFUNCTION("""COMPUTED_VALUE"""),"China confirmed three new COVID-19 cases, just 24 hours after no new cases were reported in the country for the first time since the outbreak began in the central city of Wuhan in December 2019.")</f>
        <v>China confirmed three new COVID-19 cases, just 24 hours after no new cases were reported in the country for the first time since the outbreak began in the central city of Wuhan in December 2019.</v>
      </c>
      <c r="C97" s="1" t="str">
        <f>IFERROR(__xludf.DUMMYFUNCTION("""COMPUTED_VALUE"""),"NBC News")</f>
        <v>NBC News</v>
      </c>
      <c r="D97" s="3" t="str">
        <f>IFERROR(__xludf.DUMMYFUNCTION("""COMPUTED_VALUE"""),"https://www.nbcnews.com/health/health-news/coronavirus-timeline-tracking-critical-moments-covid-19-n1154341")</f>
        <v>https://www.nbcnews.com/health/health-news/coronavirus-timeline-tracking-critical-moments-covid-19-n1154341</v>
      </c>
      <c r="E97" s="1"/>
      <c r="F97" s="1"/>
      <c r="G97" s="1"/>
      <c r="H97" s="1"/>
      <c r="I97" s="1"/>
    </row>
    <row r="98">
      <c r="A98" s="2">
        <f>IFERROR(__xludf.DUMMYFUNCTION("""COMPUTED_VALUE"""),43975.0)</f>
        <v>43975</v>
      </c>
      <c r="B98" s="1" t="str">
        <f>IFERROR(__xludf.DUMMYFUNCTION("""COMPUTED_VALUE"""),"Thailand reported no new coronavirus cases and no new deaths, maintaining the country’s total of 3,040 confirmed cases and 56 fatalities since the outbreak began in January.")</f>
        <v>Thailand reported no new coronavirus cases and no new deaths, maintaining the country’s total of 3,040 confirmed cases and 56 fatalities since the outbreak began in January.</v>
      </c>
      <c r="C98" s="1" t="str">
        <f>IFERROR(__xludf.DUMMYFUNCTION("""COMPUTED_VALUE"""),"NBC News")</f>
        <v>NBC News</v>
      </c>
      <c r="D98" s="3" t="str">
        <f>IFERROR(__xludf.DUMMYFUNCTION("""COMPUTED_VALUE"""),"https://www.nbcnews.com/health/health-news/coronavirus-timeline-tracking-critical-moments-covid-19-n1154341")</f>
        <v>https://www.nbcnews.com/health/health-news/coronavirus-timeline-tracking-critical-moments-covid-19-n1154341</v>
      </c>
      <c r="E98" s="1"/>
      <c r="F98" s="1"/>
      <c r="G98" s="1"/>
      <c r="H98" s="1"/>
      <c r="I98" s="1"/>
    </row>
    <row r="99">
      <c r="A99" s="2">
        <f>IFERROR(__xludf.DUMMYFUNCTION("""COMPUTED_VALUE"""),43975.0)</f>
        <v>43975</v>
      </c>
      <c r="B99" s="1" t="str">
        <f>IFERROR(__xludf.DUMMYFUNCTION("""COMPUTED_VALUE"""),"A senior adviser to Britain's Prime Minister Boris Johnson faced calls for his resignation after reports that he drove 250 miles to his parents house while his wife showed virus symptoms, breaching lockdown regulations.")</f>
        <v>A senior adviser to Britain's Prime Minister Boris Johnson faced calls for his resignation after reports that he drove 250 miles to his parents house while his wife showed virus symptoms, breaching lockdown regulations.</v>
      </c>
      <c r="C99" s="1" t="str">
        <f>IFERROR(__xludf.DUMMYFUNCTION("""COMPUTED_VALUE"""),"NBC News")</f>
        <v>NBC News</v>
      </c>
      <c r="D99" s="3" t="str">
        <f>IFERROR(__xludf.DUMMYFUNCTION("""COMPUTED_VALUE"""),"https://www.nbcnews.com/health/health-news/coronavirus-timeline-tracking-critical-moments-covid-19-n1154341")</f>
        <v>https://www.nbcnews.com/health/health-news/coronavirus-timeline-tracking-critical-moments-covid-19-n1154341</v>
      </c>
      <c r="E99" s="1"/>
      <c r="F99" s="1"/>
      <c r="G99" s="1"/>
      <c r="H99" s="1"/>
      <c r="I99" s="1"/>
    </row>
    <row r="100">
      <c r="A100" s="2">
        <f>IFERROR(__xludf.DUMMYFUNCTION("""COMPUTED_VALUE"""),43975.0)</f>
        <v>43975</v>
      </c>
      <c r="B100" s="1" t="str">
        <f>IFERROR(__xludf.DUMMYFUNCTION("""COMPUTED_VALUE"""),"The Vatican announced that the Vatican Museums will reopen on June 1 after a three-month lockdown that had drained the Holy See's finances.")</f>
        <v>The Vatican announced that the Vatican Museums will reopen on June 1 after a three-month lockdown that had drained the Holy See's finances.</v>
      </c>
      <c r="C100" s="1" t="str">
        <f>IFERROR(__xludf.DUMMYFUNCTION("""COMPUTED_VALUE"""),"NBC News")</f>
        <v>NBC News</v>
      </c>
      <c r="D100" s="3" t="str">
        <f>IFERROR(__xludf.DUMMYFUNCTION("""COMPUTED_VALUE"""),"https://www.nbcnews.com/health/health-news/coronavirus-timeline-tracking-critical-moments-covid-19-n1154341")</f>
        <v>https://www.nbcnews.com/health/health-news/coronavirus-timeline-tracking-critical-moments-covid-19-n1154341</v>
      </c>
      <c r="E100" s="1"/>
      <c r="F100" s="1"/>
      <c r="G100" s="1"/>
      <c r="H100" s="1"/>
      <c r="I100" s="1"/>
    </row>
    <row r="101">
      <c r="A101" s="2">
        <f>IFERROR(__xludf.DUMMYFUNCTION("""COMPUTED_VALUE"""),43975.0)</f>
        <v>43975</v>
      </c>
      <c r="B101" s="1" t="str">
        <f>IFERROR(__xludf.DUMMYFUNCTION("""COMPUTED_VALUE"""),"Russia reported 153 coronavirus deaths in the past 24 hours, its highest daily toll yet, raising total casualties in the country to 3,541.")</f>
        <v>Russia reported 153 coronavirus deaths in the past 24 hours, its highest daily toll yet, raising total casualties in the country to 3,541.</v>
      </c>
      <c r="C101" s="1" t="str">
        <f>IFERROR(__xludf.DUMMYFUNCTION("""COMPUTED_VALUE"""),"NBC News")</f>
        <v>NBC News</v>
      </c>
      <c r="D101" s="3" t="str">
        <f>IFERROR(__xludf.DUMMYFUNCTION("""COMPUTED_VALUE"""),"https://www.nbcnews.com/health/health-news/coronavirus-timeline-tracking-critical-moments-covid-19-n1154341")</f>
        <v>https://www.nbcnews.com/health/health-news/coronavirus-timeline-tracking-critical-moments-covid-19-n1154341</v>
      </c>
      <c r="E101" s="1"/>
      <c r="F101" s="1"/>
      <c r="G101" s="1"/>
      <c r="H101" s="1"/>
      <c r="I101" s="1"/>
    </row>
    <row r="102">
      <c r="A102" s="2">
        <f>IFERROR(__xludf.DUMMYFUNCTION("""COMPUTED_VALUE"""),43975.0)</f>
        <v>43975</v>
      </c>
      <c r="B102" s="1" t="str">
        <f>IFERROR(__xludf.DUMMYFUNCTION("""COMPUTED_VALUE"""),"New York Gov. Andrew Cuomo announced that professional sports teams can begin training in the state as coronavirus restrictions start to loosen.")</f>
        <v>New York Gov. Andrew Cuomo announced that professional sports teams can begin training in the state as coronavirus restrictions start to loosen.</v>
      </c>
      <c r="C102" s="1" t="str">
        <f>IFERROR(__xludf.DUMMYFUNCTION("""COMPUTED_VALUE"""),"NBC News")</f>
        <v>NBC News</v>
      </c>
      <c r="D102" s="3" t="str">
        <f>IFERROR(__xludf.DUMMYFUNCTION("""COMPUTED_VALUE"""),"https://www.nbcnews.com/health/health-news/coronavirus-timeline-tracking-critical-moments-covid-19-n1154341")</f>
        <v>https://www.nbcnews.com/health/health-news/coronavirus-timeline-tracking-critical-moments-covid-19-n1154341</v>
      </c>
      <c r="E102" s="1"/>
      <c r="F102" s="1"/>
      <c r="G102" s="1"/>
      <c r="H102" s="1"/>
      <c r="I102" s="1"/>
    </row>
    <row r="103">
      <c r="A103" s="2">
        <f>IFERROR(__xludf.DUMMYFUNCTION("""COMPUTED_VALUE"""),43975.0)</f>
        <v>43975</v>
      </c>
      <c r="B103" s="1" t="str">
        <f>IFERROR(__xludf.DUMMYFUNCTION("""COMPUTED_VALUE"""),"Muslims around the world began celebrating Eid al-Fitr, a holiday marking the end of the fasting month of Ramadan, with millions under strict stay-at-home orders.")</f>
        <v>Muslims around the world began celebrating Eid al-Fitr, a holiday marking the end of the fasting month of Ramadan, with millions under strict stay-at-home orders.</v>
      </c>
      <c r="C103" s="1" t="str">
        <f>IFERROR(__xludf.DUMMYFUNCTION("""COMPUTED_VALUE"""),"NBC News")</f>
        <v>NBC News</v>
      </c>
      <c r="D103" s="3" t="str">
        <f>IFERROR(__xludf.DUMMYFUNCTION("""COMPUTED_VALUE"""),"https://www.nbcnews.com/health/health-news/coronavirus-timeline-tracking-critical-moments-covid-19-n1154341")</f>
        <v>https://www.nbcnews.com/health/health-news/coronavirus-timeline-tracking-critical-moments-covid-19-n1154341</v>
      </c>
      <c r="E103" s="1"/>
      <c r="F103" s="1"/>
      <c r="G103" s="1"/>
      <c r="H103" s="1"/>
      <c r="I103" s="1"/>
    </row>
    <row r="104">
      <c r="A104" s="2">
        <f>IFERROR(__xludf.DUMMYFUNCTION("""COMPUTED_VALUE"""),43975.0)</f>
        <v>43975</v>
      </c>
      <c r="B104" s="1" t="str">
        <f>IFERROR(__xludf.DUMMYFUNCTION("""COMPUTED_VALUE"""),"The White House announced a travel ban with Brazil that would bar anyone from entering the United States who had been in that country for the prior two weeks.")</f>
        <v>The White House announced a travel ban with Brazil that would bar anyone from entering the United States who had been in that country for the prior two weeks.</v>
      </c>
      <c r="C104" s="1" t="str">
        <f>IFERROR(__xludf.DUMMYFUNCTION("""COMPUTED_VALUE"""),"NBC News")</f>
        <v>NBC News</v>
      </c>
      <c r="D104" s="3" t="str">
        <f>IFERROR(__xludf.DUMMYFUNCTION("""COMPUTED_VALUE"""),"https://www.nbcnews.com/health/health-news/coronavirus-timeline-tracking-critical-moments-covid-19-n1154341")</f>
        <v>https://www.nbcnews.com/health/health-news/coronavirus-timeline-tracking-critical-moments-covid-19-n1154341</v>
      </c>
      <c r="E104" s="1"/>
      <c r="F104" s="1"/>
      <c r="G104" s="1"/>
      <c r="H104" s="1"/>
      <c r="I104" s="1"/>
    </row>
    <row r="105">
      <c r="A105" s="2">
        <f>IFERROR(__xludf.DUMMYFUNCTION("""COMPUTED_VALUE"""),43975.0)</f>
        <v>43975</v>
      </c>
      <c r="B105" s="1" t="str">
        <f>IFERROR(__xludf.DUMMYFUNCTION("""COMPUTED_VALUE"""),"Mexican President Andres Manuel Lopez Obrador said the coronavirus could cost as many as 1 million jobs in the country as many industries considered not essential remained shut.")</f>
        <v>Mexican President Andres Manuel Lopez Obrador said the coronavirus could cost as many as 1 million jobs in the country as many industries considered not essential remained shut.</v>
      </c>
      <c r="C105" s="1" t="str">
        <f>IFERROR(__xludf.DUMMYFUNCTION("""COMPUTED_VALUE"""),"NBC News")</f>
        <v>NBC News</v>
      </c>
      <c r="D105" s="3" t="str">
        <f>IFERROR(__xludf.DUMMYFUNCTION("""COMPUTED_VALUE"""),"https://www.nbcnews.com/health/health-news/coronavirus-timeline-tracking-critical-moments-covid-19-n1154341")</f>
        <v>https://www.nbcnews.com/health/health-news/coronavirus-timeline-tracking-critical-moments-covid-19-n1154341</v>
      </c>
      <c r="E105" s="1"/>
      <c r="F105" s="1"/>
      <c r="G105" s="1"/>
      <c r="H105" s="1"/>
      <c r="I105" s="1"/>
    </row>
    <row r="106">
      <c r="A106" s="2">
        <f>IFERROR(__xludf.DUMMYFUNCTION("""COMPUTED_VALUE"""),43975.0)</f>
        <v>43975</v>
      </c>
      <c r="B106" s="1" t="str">
        <f>IFERROR(__xludf.DUMMYFUNCTION("""COMPUTED_VALUE"""),"The Republican National Committee and other GOP groups filed a lawsuit against California Gov. Gavin Newsom, arguing a move to expand mail-in voting during the pandemic is illegal.")</f>
        <v>The Republican National Committee and other GOP groups filed a lawsuit against California Gov. Gavin Newsom, arguing a move to expand mail-in voting during the pandemic is illegal.</v>
      </c>
      <c r="C106" s="1" t="str">
        <f>IFERROR(__xludf.DUMMYFUNCTION("""COMPUTED_VALUE"""),"NBC News")</f>
        <v>NBC News</v>
      </c>
      <c r="D106" s="3" t="str">
        <f>IFERROR(__xludf.DUMMYFUNCTION("""COMPUTED_VALUE"""),"https://www.nbcnews.com/health/health-news/coronavirus-timeline-tracking-critical-moments-covid-19-n1154341")</f>
        <v>https://www.nbcnews.com/health/health-news/coronavirus-timeline-tracking-critical-moments-covid-19-n1154341</v>
      </c>
      <c r="E106" s="1"/>
      <c r="F106" s="1"/>
      <c r="G106" s="1"/>
      <c r="H106" s="1"/>
      <c r="I106" s="1"/>
    </row>
    <row r="107">
      <c r="A107" s="2">
        <f>IFERROR(__xludf.DUMMYFUNCTION("""COMPUTED_VALUE"""),43976.0)</f>
        <v>43976</v>
      </c>
      <c r="B107" s="1" t="str">
        <f>IFERROR(__xludf.DUMMYFUNCTION("""COMPUTED_VALUE"""),"Russian health authorities reported 8,946 new confirmed cases of COVID-19, bringing the nationwide total to more than 350,000 cases since the start of the outbreak. Russia had the third highest number of reported cases in the world, behind only the U.S. a"&amp;"nd Brazil.")</f>
        <v>Russian health authorities reported 8,946 new confirmed cases of COVID-19, bringing the nationwide total to more than 350,000 cases since the start of the outbreak. Russia had the third highest number of reported cases in the world, behind only the U.S. and Brazil.</v>
      </c>
      <c r="C107" s="1" t="str">
        <f>IFERROR(__xludf.DUMMYFUNCTION("""COMPUTED_VALUE"""),"NBC News")</f>
        <v>NBC News</v>
      </c>
      <c r="D107" s="3" t="str">
        <f>IFERROR(__xludf.DUMMYFUNCTION("""COMPUTED_VALUE"""),"https://www.nbcnews.com/health/health-news/coronavirus-timeline-tracking-critical-moments-covid-19-n1154341")</f>
        <v>https://www.nbcnews.com/health/health-news/coronavirus-timeline-tracking-critical-moments-covid-19-n1154341</v>
      </c>
      <c r="E107" s="1"/>
      <c r="F107" s="1"/>
      <c r="G107" s="1"/>
      <c r="H107" s="1"/>
      <c r="I107" s="1"/>
    </row>
    <row r="108">
      <c r="A108" s="2">
        <f>IFERROR(__xludf.DUMMYFUNCTION("""COMPUTED_VALUE"""),43976.0)</f>
        <v>43976</v>
      </c>
      <c r="B108" s="1" t="str">
        <f>IFERROR(__xludf.DUMMYFUNCTION("""COMPUTED_VALUE"""),"U.K. Prime Minister Boris Johnson faced rising anger among lawmakers in his own party, bishops and the public at large after he supported an aide who drove hundreds of miles out of London during the lockdown.")</f>
        <v>U.K. Prime Minister Boris Johnson faced rising anger among lawmakers in his own party, bishops and the public at large after he supported an aide who drove hundreds of miles out of London during the lockdown.</v>
      </c>
      <c r="C108" s="1" t="str">
        <f>IFERROR(__xludf.DUMMYFUNCTION("""COMPUTED_VALUE"""),"NBC News")</f>
        <v>NBC News</v>
      </c>
      <c r="D108" s="3" t="str">
        <f>IFERROR(__xludf.DUMMYFUNCTION("""COMPUTED_VALUE"""),"https://www.nbcnews.com/health/health-news/coronavirus-timeline-tracking-critical-moments-covid-19-n1154341")</f>
        <v>https://www.nbcnews.com/health/health-news/coronavirus-timeline-tracking-critical-moments-covid-19-n1154341</v>
      </c>
      <c r="E108" s="1"/>
      <c r="F108" s="1"/>
      <c r="G108" s="1"/>
      <c r="H108" s="1"/>
      <c r="I108" s="1"/>
    </row>
    <row r="109">
      <c r="A109" s="2">
        <f>IFERROR(__xludf.DUMMYFUNCTION("""COMPUTED_VALUE"""),43976.0)</f>
        <v>43976</v>
      </c>
      <c r="B109" s="1" t="str">
        <f>IFERROR(__xludf.DUMMYFUNCTION("""COMPUTED_VALUE"""),"Japanese Prime Minister Shinzo Abe announced plans to lift a state of emergency for Tokyo and four remaining areas but said that it could be reimposed if the pace of infections picked up.")</f>
        <v>Japanese Prime Minister Shinzo Abe announced plans to lift a state of emergency for Tokyo and four remaining areas but said that it could be reimposed if the pace of infections picked up.</v>
      </c>
      <c r="C109" s="1" t="str">
        <f>IFERROR(__xludf.DUMMYFUNCTION("""COMPUTED_VALUE"""),"NBC News")</f>
        <v>NBC News</v>
      </c>
      <c r="D109" s="3" t="str">
        <f>IFERROR(__xludf.DUMMYFUNCTION("""COMPUTED_VALUE"""),"https://www.nbcnews.com/health/health-news/coronavirus-timeline-tracking-critical-moments-covid-19-n1154341")</f>
        <v>https://www.nbcnews.com/health/health-news/coronavirus-timeline-tracking-critical-moments-covid-19-n1154341</v>
      </c>
      <c r="E109" s="1"/>
      <c r="F109" s="1"/>
      <c r="G109" s="1"/>
      <c r="H109" s="1"/>
      <c r="I109" s="1"/>
    </row>
    <row r="110">
      <c r="A110" s="2">
        <f>IFERROR(__xludf.DUMMYFUNCTION("""COMPUTED_VALUE"""),43976.0)</f>
        <v>43976</v>
      </c>
      <c r="B110" s="1" t="str">
        <f>IFERROR(__xludf.DUMMYFUNCTION("""COMPUTED_VALUE"""),"Syria reported 20 new coronavirus cases, the country’s largest single-day increase to date.")</f>
        <v>Syria reported 20 new coronavirus cases, the country’s largest single-day increase to date.</v>
      </c>
      <c r="C110" s="1" t="str">
        <f>IFERROR(__xludf.DUMMYFUNCTION("""COMPUTED_VALUE"""),"NBC News")</f>
        <v>NBC News</v>
      </c>
      <c r="D110" s="3" t="str">
        <f>IFERROR(__xludf.DUMMYFUNCTION("""COMPUTED_VALUE"""),"https://www.nbcnews.com/health/health-news/coronavirus-timeline-tracking-critical-moments-covid-19-n1154341")</f>
        <v>https://www.nbcnews.com/health/health-news/coronavirus-timeline-tracking-critical-moments-covid-19-n1154341</v>
      </c>
      <c r="E110" s="1"/>
      <c r="F110" s="1"/>
      <c r="G110" s="1"/>
      <c r="H110" s="1"/>
      <c r="I110" s="1"/>
    </row>
    <row r="111">
      <c r="A111" s="2">
        <f>IFERROR(__xludf.DUMMYFUNCTION("""COMPUTED_VALUE"""),43976.0)</f>
        <v>43976</v>
      </c>
      <c r="B111" s="1" t="str">
        <f>IFERROR(__xludf.DUMMYFUNCTION("""COMPUTED_VALUE"""),"Spain’s government announced plans to lift a requirement for foreign tourists to undergo a two-week quarantine beginning July 1.")</f>
        <v>Spain’s government announced plans to lift a requirement for foreign tourists to undergo a two-week quarantine beginning July 1.</v>
      </c>
      <c r="C111" s="1" t="str">
        <f>IFERROR(__xludf.DUMMYFUNCTION("""COMPUTED_VALUE"""),"NBC News")</f>
        <v>NBC News</v>
      </c>
      <c r="D111" s="3" t="str">
        <f>IFERROR(__xludf.DUMMYFUNCTION("""COMPUTED_VALUE"""),"https://www.nbcnews.com/health/health-news/coronavirus-timeline-tracking-critical-moments-covid-19-n1154341")</f>
        <v>https://www.nbcnews.com/health/health-news/coronavirus-timeline-tracking-critical-moments-covid-19-n1154341</v>
      </c>
      <c r="E111" s="1"/>
      <c r="F111" s="1"/>
      <c r="G111" s="1"/>
      <c r="H111" s="1"/>
      <c r="I111" s="1"/>
    </row>
    <row r="112">
      <c r="A112" s="2">
        <f>IFERROR(__xludf.DUMMYFUNCTION("""COMPUTED_VALUE"""),43976.0)</f>
        <v>43976</v>
      </c>
      <c r="B112" s="1" t="str">
        <f>IFERROR(__xludf.DUMMYFUNCTION("""COMPUTED_VALUE"""),"League officials announced that Japan’s professional baseball season will begin on June 19 with no fans in attendance.")</f>
        <v>League officials announced that Japan’s professional baseball season will begin on June 19 with no fans in attendance.</v>
      </c>
      <c r="C112" s="1" t="str">
        <f>IFERROR(__xludf.DUMMYFUNCTION("""COMPUTED_VALUE"""),"NBC News")</f>
        <v>NBC News</v>
      </c>
      <c r="D112" s="3" t="str">
        <f>IFERROR(__xludf.DUMMYFUNCTION("""COMPUTED_VALUE"""),"https://www.nbcnews.com/health/health-news/coronavirus-timeline-tracking-critical-moments-covid-19-n1154341")</f>
        <v>https://www.nbcnews.com/health/health-news/coronavirus-timeline-tracking-critical-moments-covid-19-n1154341</v>
      </c>
      <c r="E112" s="1"/>
      <c r="F112" s="1"/>
      <c r="G112" s="1"/>
      <c r="H112" s="1"/>
      <c r="I112" s="1"/>
    </row>
    <row r="113">
      <c r="A113" s="2">
        <f>IFERROR(__xludf.DUMMYFUNCTION("""COMPUTED_VALUE"""),43976.0)</f>
        <v>43976</v>
      </c>
      <c r="B113" s="1" t="str">
        <f>IFERROR(__xludf.DUMMYFUNCTION("""COMPUTED_VALUE"""),"President Trump threatened to move the Republican National Convention from Charlotte, North Carolina, if there is a chance the venue might not be filled there later this summer due to virus-related restrictions.")</f>
        <v>President Trump threatened to move the Republican National Convention from Charlotte, North Carolina, if there is a chance the venue might not be filled there later this summer due to virus-related restrictions.</v>
      </c>
      <c r="C113" s="1" t="str">
        <f>IFERROR(__xludf.DUMMYFUNCTION("""COMPUTED_VALUE"""),"NBC News")</f>
        <v>NBC News</v>
      </c>
      <c r="D113" s="3" t="str">
        <f>IFERROR(__xludf.DUMMYFUNCTION("""COMPUTED_VALUE"""),"https://www.nbcnews.com/health/health-news/coronavirus-timeline-tracking-critical-moments-covid-19-n1154341")</f>
        <v>https://www.nbcnews.com/health/health-news/coronavirus-timeline-tracking-critical-moments-covid-19-n1154341</v>
      </c>
      <c r="E113" s="1"/>
      <c r="F113" s="1"/>
      <c r="G113" s="1"/>
      <c r="H113" s="1"/>
      <c r="I113" s="1"/>
    </row>
    <row r="114">
      <c r="A114" s="2">
        <f>IFERROR(__xludf.DUMMYFUNCTION("""COMPUTED_VALUE"""),43976.0)</f>
        <v>43976</v>
      </c>
      <c r="B114" s="1" t="str">
        <f>IFERROR(__xludf.DUMMYFUNCTION("""COMPUTED_VALUE"""),"Doctors in Austria announced that they completed a lung transplant on a COVID-19 patient, the first to be done in Europe.")</f>
        <v>Doctors in Austria announced that they completed a lung transplant on a COVID-19 patient, the first to be done in Europe.</v>
      </c>
      <c r="C114" s="1" t="str">
        <f>IFERROR(__xludf.DUMMYFUNCTION("""COMPUTED_VALUE"""),"NBC News")</f>
        <v>NBC News</v>
      </c>
      <c r="D114" s="3" t="str">
        <f>IFERROR(__xludf.DUMMYFUNCTION("""COMPUTED_VALUE"""),"https://www.nbcnews.com/health/health-news/coronavirus-timeline-tracking-critical-moments-covid-19-n1154341")</f>
        <v>https://www.nbcnews.com/health/health-news/coronavirus-timeline-tracking-critical-moments-covid-19-n1154341</v>
      </c>
      <c r="E114" s="1"/>
      <c r="F114" s="1"/>
      <c r="G114" s="1"/>
      <c r="H114" s="1"/>
      <c r="I114" s="1"/>
    </row>
    <row r="115">
      <c r="A115" s="2">
        <f>IFERROR(__xludf.DUMMYFUNCTION("""COMPUTED_VALUE"""),43976.0)</f>
        <v>43976</v>
      </c>
      <c r="B115" s="1" t="str">
        <f>IFERROR(__xludf.DUMMYFUNCTION("""COMPUTED_VALUE"""),"Iceland eased its national alert against the coronavirus, allowing for public gatherings of up to 200 people and night clubs and gyms to reopen.")</f>
        <v>Iceland eased its national alert against the coronavirus, allowing for public gatherings of up to 200 people and night clubs and gyms to reopen.</v>
      </c>
      <c r="C115" s="1" t="str">
        <f>IFERROR(__xludf.DUMMYFUNCTION("""COMPUTED_VALUE"""),"NBC News")</f>
        <v>NBC News</v>
      </c>
      <c r="D115" s="3" t="str">
        <f>IFERROR(__xludf.DUMMYFUNCTION("""COMPUTED_VALUE"""),"https://www.nbcnews.com/health/health-news/coronavirus-timeline-tracking-critical-moments-covid-19-n1154341")</f>
        <v>https://www.nbcnews.com/health/health-news/coronavirus-timeline-tracking-critical-moments-covid-19-n1154341</v>
      </c>
      <c r="E115" s="1"/>
      <c r="F115" s="1"/>
      <c r="G115" s="1"/>
      <c r="H115" s="1"/>
      <c r="I115" s="1"/>
    </row>
    <row r="116">
      <c r="A116" s="2">
        <f>IFERROR(__xludf.DUMMYFUNCTION("""COMPUTED_VALUE"""),43976.0)</f>
        <v>43976</v>
      </c>
      <c r="B116" s="1" t="str">
        <f>IFERROR(__xludf.DUMMYFUNCTION("""COMPUTED_VALUE"""),"President Trump said he had ""just finished"" taking a two-week course of the antimalarial drug hydroxychloroquine, the medication he has vigorously promoted as a preventative or curative treatment for coronavirus, even as evidence piles up that the drug "&amp;"may cause more harm than good.")</f>
        <v>President Trump said he had "just finished" taking a two-week course of the antimalarial drug hydroxychloroquine, the medication he has vigorously promoted as a preventative or curative treatment for coronavirus, even as evidence piles up that the drug may cause more harm than good.</v>
      </c>
      <c r="C116" s="1" t="str">
        <f>IFERROR(__xludf.DUMMYFUNCTION("""COMPUTED_VALUE"""),"NBC News")</f>
        <v>NBC News</v>
      </c>
      <c r="D116" s="3" t="str">
        <f>IFERROR(__xludf.DUMMYFUNCTION("""COMPUTED_VALUE"""),"https://www.nbcnews.com/health/health-news/coronavirus-timeline-tracking-critical-moments-covid-19-n1154341")</f>
        <v>https://www.nbcnews.com/health/health-news/coronavirus-timeline-tracking-critical-moments-covid-19-n1154341</v>
      </c>
      <c r="E116" s="1"/>
      <c r="F116" s="1"/>
      <c r="G116" s="1"/>
      <c r="H116" s="1"/>
      <c r="I116" s="1"/>
    </row>
    <row r="117">
      <c r="A117" s="2">
        <f>IFERROR(__xludf.DUMMYFUNCTION("""COMPUTED_VALUE"""),43976.0)</f>
        <v>43976</v>
      </c>
      <c r="B117" s="1" t="str">
        <f>IFERROR(__xludf.DUMMYFUNCTION("""COMPUTED_VALUE"""),"The World Health Organization announced that it was suspending a trial of hydroxychloroquine in treating COVID-19, saying fears of the drug's potential danger is causing it to ""err on the side of caution.""")</f>
        <v>The World Health Organization announced that it was suspending a trial of hydroxychloroquine in treating COVID-19, saying fears of the drug's potential danger is causing it to "err on the side of caution."</v>
      </c>
      <c r="C117" s="1" t="str">
        <f>IFERROR(__xludf.DUMMYFUNCTION("""COMPUTED_VALUE"""),"NBC News")</f>
        <v>NBC News</v>
      </c>
      <c r="D117" s="3" t="str">
        <f>IFERROR(__xludf.DUMMYFUNCTION("""COMPUTED_VALUE"""),"https://www.nbcnews.com/health/health-news/coronavirus-timeline-tracking-critical-moments-covid-19-n1154341")</f>
        <v>https://www.nbcnews.com/health/health-news/coronavirus-timeline-tracking-critical-moments-covid-19-n1154341</v>
      </c>
      <c r="E117" s="1"/>
      <c r="F117" s="1"/>
      <c r="G117" s="1"/>
      <c r="H117" s="1"/>
      <c r="I117" s="1"/>
    </row>
    <row r="118">
      <c r="A118" s="2">
        <f>IFERROR(__xludf.DUMMYFUNCTION("""COMPUTED_VALUE"""),43976.0)</f>
        <v>43976</v>
      </c>
      <c r="B118" s="1" t="str">
        <f>IFERROR(__xludf.DUMMYFUNCTION("""COMPUTED_VALUE"""),"Joe Biden appeared in public for the first time in more than two months, laying a wreath to honor the fallen at a Delaware war memorial on Memorial Day.")</f>
        <v>Joe Biden appeared in public for the first time in more than two months, laying a wreath to honor the fallen at a Delaware war memorial on Memorial Day.</v>
      </c>
      <c r="C118" s="1" t="str">
        <f>IFERROR(__xludf.DUMMYFUNCTION("""COMPUTED_VALUE"""),"NBC News")</f>
        <v>NBC News</v>
      </c>
      <c r="D118" s="3" t="str">
        <f>IFERROR(__xludf.DUMMYFUNCTION("""COMPUTED_VALUE"""),"https://www.nbcnews.com/health/health-news/coronavirus-timeline-tracking-critical-moments-covid-19-n1154341")</f>
        <v>https://www.nbcnews.com/health/health-news/coronavirus-timeline-tracking-critical-moments-covid-19-n1154341</v>
      </c>
      <c r="E118" s="1"/>
      <c r="F118" s="1"/>
      <c r="G118" s="1"/>
      <c r="H118" s="1"/>
      <c r="I118" s="1"/>
    </row>
    <row r="119">
      <c r="A119" s="2">
        <f>IFERROR(__xludf.DUMMYFUNCTION("""COMPUTED_VALUE"""),43976.0)</f>
        <v>43976</v>
      </c>
      <c r="B119" s="1" t="str">
        <f>IFERROR(__xludf.DUMMYFUNCTION("""COMPUTED_VALUE"""),"The NHL announced plans to allow small groups of players, no more than six, to gather for workouts in early June, with an eye toward restarting play and resuming its coronavirus-halted season.")</f>
        <v>The NHL announced plans to allow small groups of players, no more than six, to gather for workouts in early June, with an eye toward restarting play and resuming its coronavirus-halted season.</v>
      </c>
      <c r="C119" s="1" t="str">
        <f>IFERROR(__xludf.DUMMYFUNCTION("""COMPUTED_VALUE"""),"NBC News")</f>
        <v>NBC News</v>
      </c>
      <c r="D119" s="3" t="str">
        <f>IFERROR(__xludf.DUMMYFUNCTION("""COMPUTED_VALUE"""),"https://www.nbcnews.com/health/health-news/coronavirus-timeline-tracking-critical-moments-covid-19-n1154341")</f>
        <v>https://www.nbcnews.com/health/health-news/coronavirus-timeline-tracking-critical-moments-covid-19-n1154341</v>
      </c>
      <c r="E119" s="1"/>
      <c r="F119" s="1"/>
      <c r="G119" s="1"/>
      <c r="H119" s="1"/>
      <c r="I119" s="1"/>
    </row>
    <row r="120">
      <c r="A120" s="2">
        <f>IFERROR(__xludf.DUMMYFUNCTION("""COMPUTED_VALUE"""),43976.0)</f>
        <v>43976</v>
      </c>
      <c r="B120" s="1" t="str">
        <f>IFERROR(__xludf.DUMMYFUNCTION("""COMPUTED_VALUE"""),"A second person in U.S. Immigration and Customs Enforcement custody died from COVID-19 complications.")</f>
        <v>A second person in U.S. Immigration and Customs Enforcement custody died from COVID-19 complications.</v>
      </c>
      <c r="C120" s="1" t="str">
        <f>IFERROR(__xludf.DUMMYFUNCTION("""COMPUTED_VALUE"""),"NBC News")</f>
        <v>NBC News</v>
      </c>
      <c r="D120" s="3" t="str">
        <f>IFERROR(__xludf.DUMMYFUNCTION("""COMPUTED_VALUE"""),"https://www.nbcnews.com/health/health-news/coronavirus-timeline-tracking-critical-moments-covid-19-n1154341")</f>
        <v>https://www.nbcnews.com/health/health-news/coronavirus-timeline-tracking-critical-moments-covid-19-n1154341</v>
      </c>
      <c r="E120" s="1"/>
      <c r="F120" s="1"/>
      <c r="G120" s="1"/>
      <c r="H120" s="1"/>
      <c r="I120" s="1"/>
    </row>
    <row r="121">
      <c r="A121" s="2">
        <f>IFERROR(__xludf.DUMMYFUNCTION("""COMPUTED_VALUE"""),43976.0)</f>
        <v>43976</v>
      </c>
      <c r="B121" s="1" t="str">
        <f>IFERROR(__xludf.DUMMYFUNCTION("""COMPUTED_VALUE"""),"The World Health Organization warned that countries where coronavirus infections were declining could still face an ""immediate second peak"" if they let up too soon on measures to halt the outbreak.")</f>
        <v>The World Health Organization warned that countries where coronavirus infections were declining could still face an "immediate second peak" if they let up too soon on measures to halt the outbreak.</v>
      </c>
      <c r="C121" s="1" t="str">
        <f>IFERROR(__xludf.DUMMYFUNCTION("""COMPUTED_VALUE"""),"NBC News")</f>
        <v>NBC News</v>
      </c>
      <c r="D121" s="3" t="str">
        <f>IFERROR(__xludf.DUMMYFUNCTION("""COMPUTED_VALUE"""),"https://www.nbcnews.com/health/health-news/coronavirus-timeline-tracking-critical-moments-covid-19-n1154341")</f>
        <v>https://www.nbcnews.com/health/health-news/coronavirus-timeline-tracking-critical-moments-covid-19-n1154341</v>
      </c>
      <c r="E121" s="1"/>
      <c r="F121" s="1"/>
      <c r="G121" s="1"/>
      <c r="H121" s="1"/>
      <c r="I121" s="1"/>
    </row>
    <row r="122">
      <c r="A122" s="2">
        <f>IFERROR(__xludf.DUMMYFUNCTION("""COMPUTED_VALUE"""),43976.0)</f>
        <v>43976</v>
      </c>
      <c r="B122" s="1" t="str">
        <f>IFERROR(__xludf.DUMMYFUNCTION("""COMPUTED_VALUE"""),"California's state health department announced that counties can reopen places of worship for religious services, with restrictions that include limiting gatherings to 100 people or less.")</f>
        <v>California's state health department announced that counties can reopen places of worship for religious services, with restrictions that include limiting gatherings to 100 people or less.</v>
      </c>
      <c r="C122" s="1" t="str">
        <f>IFERROR(__xludf.DUMMYFUNCTION("""COMPUTED_VALUE"""),"NBC News")</f>
        <v>NBC News</v>
      </c>
      <c r="D122" s="3" t="str">
        <f>IFERROR(__xludf.DUMMYFUNCTION("""COMPUTED_VALUE"""),"https://www.nbcnews.com/health/health-news/coronavirus-timeline-tracking-critical-moments-covid-19-n1154341")</f>
        <v>https://www.nbcnews.com/health/health-news/coronavirus-timeline-tracking-critical-moments-covid-19-n1154341</v>
      </c>
      <c r="E122" s="1"/>
      <c r="F122" s="1"/>
      <c r="G122" s="1"/>
      <c r="H122" s="1"/>
      <c r="I122" s="1"/>
    </row>
    <row r="123">
      <c r="A123" s="2">
        <f>IFERROR(__xludf.DUMMYFUNCTION("""COMPUTED_VALUE"""),43976.0)</f>
        <v>43976</v>
      </c>
      <c r="B123" s="1" t="str">
        <f>IFERROR(__xludf.DUMMYFUNCTION("""COMPUTED_VALUE"""),"The U.S. Department of Justice sent a stern letter to Nevada Gov. Steve Sisolak warning that the department had civil rights concerns over the state's ban on gatherings of 10 or more people for religious worship services.")</f>
        <v>The U.S. Department of Justice sent a stern letter to Nevada Gov. Steve Sisolak warning that the department had civil rights concerns over the state's ban on gatherings of 10 or more people for religious worship services.</v>
      </c>
      <c r="C123" s="1" t="str">
        <f>IFERROR(__xludf.DUMMYFUNCTION("""COMPUTED_VALUE"""),"NBC News")</f>
        <v>NBC News</v>
      </c>
      <c r="D123" s="3" t="str">
        <f>IFERROR(__xludf.DUMMYFUNCTION("""COMPUTED_VALUE"""),"https://www.nbcnews.com/health/health-news/coronavirus-timeline-tracking-critical-moments-covid-19-n1154341")</f>
        <v>https://www.nbcnews.com/health/health-news/coronavirus-timeline-tracking-critical-moments-covid-19-n1154341</v>
      </c>
      <c r="E123" s="1"/>
      <c r="F123" s="1"/>
      <c r="G123" s="1"/>
      <c r="H123" s="1"/>
      <c r="I123" s="1"/>
    </row>
    <row r="124">
      <c r="A124" s="2">
        <f>IFERROR(__xludf.DUMMYFUNCTION("""COMPUTED_VALUE"""),43976.0)</f>
        <v>43976</v>
      </c>
      <c r="B124" s="1" t="str">
        <f>IFERROR(__xludf.DUMMYFUNCTION("""COMPUTED_VALUE"""),"The Chinese Center for Disease Control and Prevention said that following an investigation of the animals at the Wuhan Seafood Market — where the first cases of COVID-19 were initially reported — it has ruled the site out as the origin of the outbreak.")</f>
        <v>The Chinese Center for Disease Control and Prevention said that following an investigation of the animals at the Wuhan Seafood Market — where the first cases of COVID-19 were initially reported — it has ruled the site out as the origin of the outbreak.</v>
      </c>
      <c r="C124" s="1" t="str">
        <f>IFERROR(__xludf.DUMMYFUNCTION("""COMPUTED_VALUE"""),"NBC News")</f>
        <v>NBC News</v>
      </c>
      <c r="D124" s="3" t="str">
        <f>IFERROR(__xludf.DUMMYFUNCTION("""COMPUTED_VALUE"""),"https://www.nbcnews.com/health/health-news/coronavirus-timeline-tracking-critical-moments-covid-19-n1154341")</f>
        <v>https://www.nbcnews.com/health/health-news/coronavirus-timeline-tracking-critical-moments-covid-19-n1154341</v>
      </c>
      <c r="E124" s="1"/>
      <c r="F124" s="1"/>
      <c r="G124" s="1"/>
      <c r="H124" s="1"/>
      <c r="I124" s="1"/>
    </row>
    <row r="125">
      <c r="A125" s="2">
        <f>IFERROR(__xludf.DUMMYFUNCTION("""COMPUTED_VALUE"""),43977.0)</f>
        <v>43977</v>
      </c>
      <c r="B125" s="1" t="str">
        <f>IFERROR(__xludf.DUMMYFUNCTION("""COMPUTED_VALUE"""),"Saudi Arabia announced that it will amend its curfew times and lift a ban on domestic travel, with the exception of the holy city of Mecca starting May 28.")</f>
        <v>Saudi Arabia announced that it will amend its curfew times and lift a ban on domestic travel, with the exception of the holy city of Mecca starting May 28.</v>
      </c>
      <c r="C125" s="1" t="str">
        <f>IFERROR(__xludf.DUMMYFUNCTION("""COMPUTED_VALUE"""),"NBC News")</f>
        <v>NBC News</v>
      </c>
      <c r="D125" s="3" t="str">
        <f>IFERROR(__xludf.DUMMYFUNCTION("""COMPUTED_VALUE"""),"https://www.nbcnews.com/health/health-news/coronavirus-timeline-tracking-critical-moments-covid-19-n1154341")</f>
        <v>https://www.nbcnews.com/health/health-news/coronavirus-timeline-tracking-critical-moments-covid-19-n1154341</v>
      </c>
      <c r="E125" s="1"/>
      <c r="F125" s="1"/>
      <c r="G125" s="1"/>
      <c r="H125" s="1"/>
      <c r="I125" s="1"/>
    </row>
    <row r="126">
      <c r="A126" s="2">
        <f>IFERROR(__xludf.DUMMYFUNCTION("""COMPUTED_VALUE"""),43977.0)</f>
        <v>43977</v>
      </c>
      <c r="B126" s="1" t="str">
        <f>IFERROR(__xludf.DUMMYFUNCTION("""COMPUTED_VALUE"""),"Australia’s Prime Minister said that he will not open the country’s borders “anytime soon,” but would continue to discuss the possibility of establishing a safe travel zone with neighboring New Zealand.")</f>
        <v>Australia’s Prime Minister said that he will not open the country’s borders “anytime soon,” but would continue to discuss the possibility of establishing a safe travel zone with neighboring New Zealand.</v>
      </c>
      <c r="C126" s="1" t="str">
        <f>IFERROR(__xludf.DUMMYFUNCTION("""COMPUTED_VALUE"""),"NBC News")</f>
        <v>NBC News</v>
      </c>
      <c r="D126" s="3" t="str">
        <f>IFERROR(__xludf.DUMMYFUNCTION("""COMPUTED_VALUE"""),"https://www.nbcnews.com/health/health-news/coronavirus-timeline-tracking-critical-moments-covid-19-n1154341")</f>
        <v>https://www.nbcnews.com/health/health-news/coronavirus-timeline-tracking-critical-moments-covid-19-n1154341</v>
      </c>
      <c r="E126" s="1"/>
      <c r="F126" s="1"/>
      <c r="G126" s="1"/>
      <c r="H126" s="1"/>
      <c r="I126" s="1"/>
    </row>
    <row r="127">
      <c r="A127" s="2">
        <f>IFERROR(__xludf.DUMMYFUNCTION("""COMPUTED_VALUE"""),43977.0)</f>
        <v>43977</v>
      </c>
      <c r="B127" s="1" t="str">
        <f>IFERROR(__xludf.DUMMYFUNCTION("""COMPUTED_VALUE"""),"Russian authorities reported a record 174 COVID-19 fatalities as cases continued to climb at a flat rate nationwide. There were more than 360,000 reported infections in the country.")</f>
        <v>Russian authorities reported a record 174 COVID-19 fatalities as cases continued to climb at a flat rate nationwide. There were more than 360,000 reported infections in the country.</v>
      </c>
      <c r="C127" s="1" t="str">
        <f>IFERROR(__xludf.DUMMYFUNCTION("""COMPUTED_VALUE"""),"NBC News")</f>
        <v>NBC News</v>
      </c>
      <c r="D127" s="3" t="str">
        <f>IFERROR(__xludf.DUMMYFUNCTION("""COMPUTED_VALUE"""),"https://www.nbcnews.com/health/health-news/coronavirus-timeline-tracking-critical-moments-covid-19-n1154341")</f>
        <v>https://www.nbcnews.com/health/health-news/coronavirus-timeline-tracking-critical-moments-covid-19-n1154341</v>
      </c>
      <c r="E127" s="1"/>
      <c r="F127" s="1"/>
      <c r="G127" s="1"/>
      <c r="H127" s="1"/>
      <c r="I127" s="1"/>
    </row>
    <row r="128">
      <c r="A128" s="2">
        <f>IFERROR(__xludf.DUMMYFUNCTION("""COMPUTED_VALUE"""),43977.0)</f>
        <v>43977</v>
      </c>
      <c r="B128" s="1" t="str">
        <f>IFERROR(__xludf.DUMMYFUNCTION("""COMPUTED_VALUE"""),"Bethlehem's Church of the Nativity, the traditional birthplace of Jesus, reopened to worshipers and tourists as Palestinian authorities eased coronavirus restrictions in the West Bank.")</f>
        <v>Bethlehem's Church of the Nativity, the traditional birthplace of Jesus, reopened to worshipers and tourists as Palestinian authorities eased coronavirus restrictions in the West Bank.</v>
      </c>
      <c r="C128" s="1" t="str">
        <f>IFERROR(__xludf.DUMMYFUNCTION("""COMPUTED_VALUE"""),"NBC News")</f>
        <v>NBC News</v>
      </c>
      <c r="D128" s="3" t="str">
        <f>IFERROR(__xludf.DUMMYFUNCTION("""COMPUTED_VALUE"""),"https://www.nbcnews.com/health/health-news/coronavirus-timeline-tracking-critical-moments-covid-19-n1154341")</f>
        <v>https://www.nbcnews.com/health/health-news/coronavirus-timeline-tracking-critical-moments-covid-19-n1154341</v>
      </c>
      <c r="E128" s="1"/>
      <c r="F128" s="1"/>
      <c r="G128" s="1"/>
      <c r="H128" s="1"/>
      <c r="I128" s="1"/>
    </row>
    <row r="129">
      <c r="A129" s="2">
        <f>IFERROR(__xludf.DUMMYFUNCTION("""COMPUTED_VALUE"""),43977.0)</f>
        <v>43977</v>
      </c>
      <c r="B129" s="1" t="str">
        <f>IFERROR(__xludf.DUMMYFUNCTION("""COMPUTED_VALUE"""),"The New York Stock Exchange’s famous trading floor partially reopened.")</f>
        <v>The New York Stock Exchange’s famous trading floor partially reopened.</v>
      </c>
      <c r="C129" s="1" t="str">
        <f>IFERROR(__xludf.DUMMYFUNCTION("""COMPUTED_VALUE"""),"NBC News")</f>
        <v>NBC News</v>
      </c>
      <c r="D129" s="3" t="str">
        <f>IFERROR(__xludf.DUMMYFUNCTION("""COMPUTED_VALUE"""),"https://www.nbcnews.com/health/health-news/coronavirus-timeline-tracking-critical-moments-covid-19-n1154341")</f>
        <v>https://www.nbcnews.com/health/health-news/coronavirus-timeline-tracking-critical-moments-covid-19-n1154341</v>
      </c>
      <c r="E129" s="1"/>
      <c r="F129" s="1"/>
      <c r="G129" s="1"/>
      <c r="H129" s="1"/>
      <c r="I129" s="1"/>
    </row>
    <row r="130">
      <c r="A130" s="2">
        <f>IFERROR(__xludf.DUMMYFUNCTION("""COMPUTED_VALUE"""),43977.0)</f>
        <v>43977</v>
      </c>
      <c r="B130" s="1" t="str">
        <f>IFERROR(__xludf.DUMMYFUNCTION("""COMPUTED_VALUE"""),"Italy’s famed archaeological site Pompeii reopened to the public for the first time since the beginning of the country’s lockdown.")</f>
        <v>Italy’s famed archaeological site Pompeii reopened to the public for the first time since the beginning of the country’s lockdown.</v>
      </c>
      <c r="C130" s="1" t="str">
        <f>IFERROR(__xludf.DUMMYFUNCTION("""COMPUTED_VALUE"""),"NBC News")</f>
        <v>NBC News</v>
      </c>
      <c r="D130" s="3" t="str">
        <f>IFERROR(__xludf.DUMMYFUNCTION("""COMPUTED_VALUE"""),"https://www.nbcnews.com/health/health-news/coronavirus-timeline-tracking-critical-moments-covid-19-n1154341")</f>
        <v>https://www.nbcnews.com/health/health-news/coronavirus-timeline-tracking-critical-moments-covid-19-n1154341</v>
      </c>
      <c r="E130" s="1"/>
      <c r="F130" s="1"/>
      <c r="G130" s="1"/>
      <c r="H130" s="1"/>
      <c r="I130" s="1"/>
    </row>
    <row r="131">
      <c r="A131" s="2">
        <f>IFERROR(__xludf.DUMMYFUNCTION("""COMPUTED_VALUE"""),43977.0)</f>
        <v>43977</v>
      </c>
      <c r="B131" s="1" t="str">
        <f>IFERROR(__xludf.DUMMYFUNCTION("""COMPUTED_VALUE"""),"New Jersey Gov. Phil Murphy announced that professional sports teams in the state would be allowed to practice and play in games or matches.")</f>
        <v>New Jersey Gov. Phil Murphy announced that professional sports teams in the state would be allowed to practice and play in games or matches.</v>
      </c>
      <c r="C131" s="1" t="str">
        <f>IFERROR(__xludf.DUMMYFUNCTION("""COMPUTED_VALUE"""),"NBC News")</f>
        <v>NBC News</v>
      </c>
      <c r="D131" s="3" t="str">
        <f>IFERROR(__xludf.DUMMYFUNCTION("""COMPUTED_VALUE"""),"https://www.nbcnews.com/health/health-news/coronavirus-timeline-tracking-critical-moments-covid-19-n1154341")</f>
        <v>https://www.nbcnews.com/health/health-news/coronavirus-timeline-tracking-critical-moments-covid-19-n1154341</v>
      </c>
      <c r="E131" s="1"/>
      <c r="F131" s="1"/>
      <c r="G131" s="1"/>
      <c r="H131" s="1"/>
      <c r="I131" s="1"/>
    </row>
    <row r="132">
      <c r="A132" s="2">
        <f>IFERROR(__xludf.DUMMYFUNCTION("""COMPUTED_VALUE"""),43977.0)</f>
        <v>43977</v>
      </c>
      <c r="B132" s="1" t="str">
        <f>IFERROR(__xludf.DUMMYFUNCTION("""COMPUTED_VALUE"""),"Virginia Gov. Ralph Northam said Virginians will be required to wear face coverings ""inside at a public place,” beginning on May 29.")</f>
        <v>Virginia Gov. Ralph Northam said Virginians will be required to wear face coverings "inside at a public place,” beginning on May 29.</v>
      </c>
      <c r="C132" s="1" t="str">
        <f>IFERROR(__xludf.DUMMYFUNCTION("""COMPUTED_VALUE"""),"NBC News")</f>
        <v>NBC News</v>
      </c>
      <c r="D132" s="3" t="str">
        <f>IFERROR(__xludf.DUMMYFUNCTION("""COMPUTED_VALUE"""),"https://www.nbcnews.com/health/health-news/coronavirus-timeline-tracking-critical-moments-covid-19-n1154341")</f>
        <v>https://www.nbcnews.com/health/health-news/coronavirus-timeline-tracking-critical-moments-covid-19-n1154341</v>
      </c>
      <c r="E132" s="1"/>
      <c r="F132" s="1"/>
      <c r="G132" s="1"/>
      <c r="H132" s="1"/>
      <c r="I132" s="1"/>
    </row>
    <row r="133">
      <c r="A133" s="2">
        <f>IFERROR(__xludf.DUMMYFUNCTION("""COMPUTED_VALUE"""),43977.0)</f>
        <v>43977</v>
      </c>
      <c r="B133" s="1" t="str">
        <f>IFERROR(__xludf.DUMMYFUNCTION("""COMPUTED_VALUE"""),"The CDC reported that more than 62,000 doctors, nurses and other health care providers on the front lines of the U.S.'s COVID-19 crisis had been infected, and at least 291 had died.")</f>
        <v>The CDC reported that more than 62,000 doctors, nurses and other health care providers on the front lines of the U.S.'s COVID-19 crisis had been infected, and at least 291 had died.</v>
      </c>
      <c r="C133" s="1" t="str">
        <f>IFERROR(__xludf.DUMMYFUNCTION("""COMPUTED_VALUE"""),"NBC News")</f>
        <v>NBC News</v>
      </c>
      <c r="D133" s="3" t="str">
        <f>IFERROR(__xludf.DUMMYFUNCTION("""COMPUTED_VALUE"""),"https://www.nbcnews.com/health/health-news/coronavirus-timeline-tracking-critical-moments-covid-19-n1154341")</f>
        <v>https://www.nbcnews.com/health/health-news/coronavirus-timeline-tracking-critical-moments-covid-19-n1154341</v>
      </c>
      <c r="E133" s="1"/>
      <c r="F133" s="1"/>
      <c r="G133" s="1"/>
      <c r="H133" s="1"/>
      <c r="I133" s="1"/>
    </row>
    <row r="134">
      <c r="A134" s="2">
        <f>IFERROR(__xludf.DUMMYFUNCTION("""COMPUTED_VALUE"""),43977.0)</f>
        <v>43977</v>
      </c>
      <c r="B134" s="1" t="str">
        <f>IFERROR(__xludf.DUMMYFUNCTION("""COMPUTED_VALUE"""),"California gave the green light for hair salons and barber shops to reopen in parts of the state that are seeing fewer coronavirus hospitalizations and deaths.")</f>
        <v>California gave the green light for hair salons and barber shops to reopen in parts of the state that are seeing fewer coronavirus hospitalizations and deaths.</v>
      </c>
      <c r="C134" s="1" t="str">
        <f>IFERROR(__xludf.DUMMYFUNCTION("""COMPUTED_VALUE"""),"NBC News")</f>
        <v>NBC News</v>
      </c>
      <c r="D134" s="3" t="str">
        <f>IFERROR(__xludf.DUMMYFUNCTION("""COMPUTED_VALUE"""),"https://www.nbcnews.com/health/health-news/coronavirus-timeline-tracking-critical-moments-covid-19-n1154341")</f>
        <v>https://www.nbcnews.com/health/health-news/coronavirus-timeline-tracking-critical-moments-covid-19-n1154341</v>
      </c>
      <c r="E134" s="1"/>
      <c r="F134" s="1"/>
      <c r="G134" s="1"/>
      <c r="H134" s="1"/>
      <c r="I134" s="1"/>
    </row>
    <row r="135">
      <c r="A135" s="2">
        <f>IFERROR(__xludf.DUMMYFUNCTION("""COMPUTED_VALUE"""),43977.0)</f>
        <v>43977</v>
      </c>
      <c r="B135" s="1" t="str">
        <f>IFERROR(__xludf.DUMMYFUNCTION("""COMPUTED_VALUE"""),"Nevada Gov. Steve Sisolak canceled a press briefing after learning of a possible exposure to COVID-19.")</f>
        <v>Nevada Gov. Steve Sisolak canceled a press briefing after learning of a possible exposure to COVID-19.</v>
      </c>
      <c r="C135" s="1" t="str">
        <f>IFERROR(__xludf.DUMMYFUNCTION("""COMPUTED_VALUE"""),"NBC News")</f>
        <v>NBC News</v>
      </c>
      <c r="D135" s="3" t="str">
        <f>IFERROR(__xludf.DUMMYFUNCTION("""COMPUTED_VALUE"""),"https://www.nbcnews.com/health/health-news/coronavirus-timeline-tracking-critical-moments-covid-19-n1154341")</f>
        <v>https://www.nbcnews.com/health/health-news/coronavirus-timeline-tracking-critical-moments-covid-19-n1154341</v>
      </c>
      <c r="E135" s="1"/>
      <c r="F135" s="1"/>
      <c r="G135" s="1"/>
      <c r="H135" s="1"/>
      <c r="I135" s="1"/>
    </row>
    <row r="136">
      <c r="A136" s="2">
        <f>IFERROR(__xludf.DUMMYFUNCTION("""COMPUTED_VALUE"""),43977.0)</f>
        <v>43977</v>
      </c>
      <c r="B136" s="1" t="str">
        <f>IFERROR(__xludf.DUMMYFUNCTION("""COMPUTED_VALUE"""),"Los Angeles Mayor Eric Garcetti said customers would be welcome back inside retail businesses, and houses of worship could resume in-person services.")</f>
        <v>Los Angeles Mayor Eric Garcetti said customers would be welcome back inside retail businesses, and houses of worship could resume in-person services.</v>
      </c>
      <c r="C136" s="1" t="str">
        <f>IFERROR(__xludf.DUMMYFUNCTION("""COMPUTED_VALUE"""),"NBC News")</f>
        <v>NBC News</v>
      </c>
      <c r="D136" s="3" t="str">
        <f>IFERROR(__xludf.DUMMYFUNCTION("""COMPUTED_VALUE"""),"https://www.nbcnews.com/health/health-news/coronavirus-timeline-tracking-critical-moments-covid-19-n1154341")</f>
        <v>https://www.nbcnews.com/health/health-news/coronavirus-timeline-tracking-critical-moments-covid-19-n1154341</v>
      </c>
      <c r="E136" s="1"/>
      <c r="F136" s="1"/>
      <c r="G136" s="1"/>
      <c r="H136" s="1"/>
      <c r="I136" s="1"/>
    </row>
    <row r="137">
      <c r="A137" s="2">
        <f>IFERROR(__xludf.DUMMYFUNCTION("""COMPUTED_VALUE"""),43977.0)</f>
        <v>43977</v>
      </c>
      <c r="B137" s="1" t="str">
        <f>IFERROR(__xludf.DUMMYFUNCTION("""COMPUTED_VALUE"""),"Miami Mayor Francis Suarez said the city will allow dine-in eating to resume at restaurants, but with restrictions aimed at slowing the spread of the coronavirus.")</f>
        <v>Miami Mayor Francis Suarez said the city will allow dine-in eating to resume at restaurants, but with restrictions aimed at slowing the spread of the coronavirus.</v>
      </c>
      <c r="C137" s="1" t="str">
        <f>IFERROR(__xludf.DUMMYFUNCTION("""COMPUTED_VALUE"""),"NBC News")</f>
        <v>NBC News</v>
      </c>
      <c r="D137" s="3" t="str">
        <f>IFERROR(__xludf.DUMMYFUNCTION("""COMPUTED_VALUE"""),"https://www.nbcnews.com/health/health-news/coronavirus-timeline-tracking-critical-moments-covid-19-n1154341")</f>
        <v>https://www.nbcnews.com/health/health-news/coronavirus-timeline-tracking-critical-moments-covid-19-n1154341</v>
      </c>
      <c r="E137" s="1"/>
      <c r="F137" s="1"/>
      <c r="G137" s="1"/>
      <c r="H137" s="1"/>
      <c r="I137" s="1"/>
    </row>
    <row r="138">
      <c r="A138" s="2">
        <f>IFERROR(__xludf.DUMMYFUNCTION("""COMPUTED_VALUE"""),43977.0)</f>
        <v>43977</v>
      </c>
      <c r="B138" s="1" t="str">
        <f>IFERROR(__xludf.DUMMYFUNCTION("""COMPUTED_VALUE"""),"Sweden’s government defended its response to the COVID-19 global pandemic despite the Scandinavian country reporting one of the highest mortality rates in the world with 4,125 fatalities, or about 40 deaths per 100,000 people.")</f>
        <v>Sweden’s government defended its response to the COVID-19 global pandemic despite the Scandinavian country reporting one of the highest mortality rates in the world with 4,125 fatalities, or about 40 deaths per 100,000 people.</v>
      </c>
      <c r="C138" s="1" t="str">
        <f>IFERROR(__xludf.DUMMYFUNCTION("""COMPUTED_VALUE"""),"NBC News")</f>
        <v>NBC News</v>
      </c>
      <c r="D138" s="3" t="str">
        <f>IFERROR(__xludf.DUMMYFUNCTION("""COMPUTED_VALUE"""),"https://www.nbcnews.com/health/health-news/coronavirus-timeline-tracking-critical-moments-covid-19-n1154341")</f>
        <v>https://www.nbcnews.com/health/health-news/coronavirus-timeline-tracking-critical-moments-covid-19-n1154341</v>
      </c>
      <c r="E138" s="1"/>
      <c r="F138" s="1"/>
      <c r="G138" s="1"/>
      <c r="H138" s="1"/>
      <c r="I138" s="1"/>
    </row>
    <row r="139">
      <c r="A139" s="2">
        <f>IFERROR(__xludf.DUMMYFUNCTION("""COMPUTED_VALUE"""),43977.0)</f>
        <v>43977</v>
      </c>
      <c r="B139" s="1" t="str">
        <f>IFERROR(__xludf.DUMMYFUNCTION("""COMPUTED_VALUE"""),"Chilean authorities said intensive care units in the country’s hospitals are nearly at capacity amid a flood of coronavirus patients.")</f>
        <v>Chilean authorities said intensive care units in the country’s hospitals are nearly at capacity amid a flood of coronavirus patients.</v>
      </c>
      <c r="C139" s="1" t="str">
        <f>IFERROR(__xludf.DUMMYFUNCTION("""COMPUTED_VALUE"""),"NBC News")</f>
        <v>NBC News</v>
      </c>
      <c r="D139" s="3" t="str">
        <f>IFERROR(__xludf.DUMMYFUNCTION("""COMPUTED_VALUE"""),"https://www.nbcnews.com/health/health-news/coronavirus-timeline-tracking-critical-moments-covid-19-n1154341")</f>
        <v>https://www.nbcnews.com/health/health-news/coronavirus-timeline-tracking-critical-moments-covid-19-n1154341</v>
      </c>
      <c r="E139" s="1"/>
      <c r="F139" s="1"/>
      <c r="G139" s="1"/>
      <c r="H139" s="1"/>
      <c r="I139" s="1"/>
    </row>
    <row r="140">
      <c r="A140" s="2">
        <f>IFERROR(__xludf.DUMMYFUNCTION("""COMPUTED_VALUE"""),43977.0)</f>
        <v>43977</v>
      </c>
      <c r="B140" s="1" t="str">
        <f>IFERROR(__xludf.DUMMYFUNCTION("""COMPUTED_VALUE"""),"The World Health Organization said the Americas had emerged as the new epicenter of the coronavirus pandemic.")</f>
        <v>The World Health Organization said the Americas had emerged as the new epicenter of the coronavirus pandemic.</v>
      </c>
      <c r="C140" s="1" t="str">
        <f>IFERROR(__xludf.DUMMYFUNCTION("""COMPUTED_VALUE"""),"NBC News")</f>
        <v>NBC News</v>
      </c>
      <c r="D140" s="3" t="str">
        <f>IFERROR(__xludf.DUMMYFUNCTION("""COMPUTED_VALUE"""),"https://www.nbcnews.com/health/health-news/coronavirus-timeline-tracking-critical-moments-covid-19-n1154341")</f>
        <v>https://www.nbcnews.com/health/health-news/coronavirus-timeline-tracking-critical-moments-covid-19-n1154341</v>
      </c>
      <c r="E140" s="1"/>
      <c r="F140" s="1"/>
      <c r="G140" s="1"/>
      <c r="H140" s="1"/>
      <c r="I140" s="1"/>
    </row>
    <row r="141">
      <c r="A141" s="2">
        <f>IFERROR(__xludf.DUMMYFUNCTION("""COMPUTED_VALUE"""),43977.0)</f>
        <v>43977</v>
      </c>
      <c r="B141" s="1" t="str">
        <f>IFERROR(__xludf.DUMMYFUNCTION("""COMPUTED_VALUE"""),"WHO releases Manifesto for a healthy recovery from COVID-19.")</f>
        <v>WHO releases Manifesto for a healthy recovery from COVID-19.</v>
      </c>
      <c r="C141" s="1" t="str">
        <f>IFERROR(__xludf.DUMMYFUNCTION("""COMPUTED_VALUE"""),"World Health Organization")</f>
        <v>World Health Organization</v>
      </c>
      <c r="D141" s="3" t="str">
        <f>IFERROR(__xludf.DUMMYFUNCTION("""COMPUTED_VALUE"""),"https://www.who.int/news-room/feature-stories/detail/who-manifesto-for-a-healthy-recovery-from-covid-19")</f>
        <v>https://www.who.int/news-room/feature-stories/detail/who-manifesto-for-a-healthy-recovery-from-covid-19</v>
      </c>
      <c r="E141" s="1"/>
      <c r="F141" s="1"/>
      <c r="G141" s="1"/>
      <c r="H141" s="1"/>
      <c r="I141" s="1"/>
    </row>
    <row r="142">
      <c r="A142" s="2">
        <f>IFERROR(__xludf.DUMMYFUNCTION("""COMPUTED_VALUE"""),43978.0)</f>
        <v>43978</v>
      </c>
      <c r="B142" s="1" t="str">
        <f>IFERROR(__xludf.DUMMYFUNCTION("""COMPUTED_VALUE"""),"More than 2 million students returned to school in South Korea, as the country recorded the highest number of new infections in more than a month.")</f>
        <v>More than 2 million students returned to school in South Korea, as the country recorded the highest number of new infections in more than a month.</v>
      </c>
      <c r="C142" s="1" t="str">
        <f>IFERROR(__xludf.DUMMYFUNCTION("""COMPUTED_VALUE"""),"NBC News")</f>
        <v>NBC News</v>
      </c>
      <c r="D142" s="3" t="str">
        <f>IFERROR(__xludf.DUMMYFUNCTION("""COMPUTED_VALUE"""),"https://www.nbcnews.com/health/health-news/coronavirus-timeline-tracking-critical-moments-covid-19-n1154341")</f>
        <v>https://www.nbcnews.com/health/health-news/coronavirus-timeline-tracking-critical-moments-covid-19-n1154341</v>
      </c>
      <c r="E142" s="1"/>
      <c r="F142" s="1"/>
      <c r="G142" s="1"/>
      <c r="H142" s="1"/>
      <c r="I142" s="1"/>
    </row>
    <row r="143">
      <c r="A143" s="2">
        <f>IFERROR(__xludf.DUMMYFUNCTION("""COMPUTED_VALUE"""),43978.0)</f>
        <v>43978</v>
      </c>
      <c r="B143" s="1" t="str">
        <f>IFERROR(__xludf.DUMMYFUNCTION("""COMPUTED_VALUE"""),"The Egyptian Medical Syndicate, the main union for doctors in Egypt, released a statement warning that the country’s health system could “completely collapse” if the government continues to provide inadequate personal protective equipment to health care w"&amp;"orkers.")</f>
        <v>The Egyptian Medical Syndicate, the main union for doctors in Egypt, released a statement warning that the country’s health system could “completely collapse” if the government continues to provide inadequate personal protective equipment to health care workers.</v>
      </c>
      <c r="C143" s="1" t="str">
        <f>IFERROR(__xludf.DUMMYFUNCTION("""COMPUTED_VALUE"""),"NBC News")</f>
        <v>NBC News</v>
      </c>
      <c r="D143" s="3" t="str">
        <f>IFERROR(__xludf.DUMMYFUNCTION("""COMPUTED_VALUE"""),"https://www.nbcnews.com/health/health-news/coronavirus-timeline-tracking-critical-moments-covid-19-n1154341")</f>
        <v>https://www.nbcnews.com/health/health-news/coronavirus-timeline-tracking-critical-moments-covid-19-n1154341</v>
      </c>
      <c r="E143" s="1"/>
      <c r="F143" s="1"/>
      <c r="G143" s="1"/>
      <c r="H143" s="1"/>
      <c r="I143" s="1"/>
    </row>
    <row r="144">
      <c r="A144" s="2">
        <f>IFERROR(__xludf.DUMMYFUNCTION("""COMPUTED_VALUE"""),43978.0)</f>
        <v>43978</v>
      </c>
      <c r="B144" s="1" t="str">
        <f>IFERROR(__xludf.DUMMYFUNCTION("""COMPUTED_VALUE"""),"Boeing announced plans to lay off 6,770 workers, as the coronavirus crisis continued to hammer the aircraft manufacturer.")</f>
        <v>Boeing announced plans to lay off 6,770 workers, as the coronavirus crisis continued to hammer the aircraft manufacturer.</v>
      </c>
      <c r="C144" s="1" t="str">
        <f>IFERROR(__xludf.DUMMYFUNCTION("""COMPUTED_VALUE"""),"NBC News")</f>
        <v>NBC News</v>
      </c>
      <c r="D144" s="3" t="str">
        <f>IFERROR(__xludf.DUMMYFUNCTION("""COMPUTED_VALUE"""),"https://www.nbcnews.com/health/health-news/coronavirus-timeline-tracking-critical-moments-covid-19-n1154341")</f>
        <v>https://www.nbcnews.com/health/health-news/coronavirus-timeline-tracking-critical-moments-covid-19-n1154341</v>
      </c>
      <c r="E144" s="1"/>
      <c r="F144" s="1"/>
      <c r="G144" s="1"/>
      <c r="H144" s="1"/>
      <c r="I144" s="1"/>
    </row>
    <row r="145">
      <c r="A145" s="2">
        <f>IFERROR(__xludf.DUMMYFUNCTION("""COMPUTED_VALUE"""),43978.0)</f>
        <v>43978</v>
      </c>
      <c r="B145" s="1" t="str">
        <f>IFERROR(__xludf.DUMMYFUNCTION("""COMPUTED_VALUE"""),"A large federal trial of remdesivir entered its next phase to test the effects of combining the antiviral drug with a pill to bring down inflammation.")</f>
        <v>A large federal trial of remdesivir entered its next phase to test the effects of combining the antiviral drug with a pill to bring down inflammation.</v>
      </c>
      <c r="C145" s="1" t="str">
        <f>IFERROR(__xludf.DUMMYFUNCTION("""COMPUTED_VALUE"""),"NBC News")</f>
        <v>NBC News</v>
      </c>
      <c r="D145" s="3" t="str">
        <f>IFERROR(__xludf.DUMMYFUNCTION("""COMPUTED_VALUE"""),"https://www.nbcnews.com/health/health-news/coronavirus-timeline-tracking-critical-moments-covid-19-n1154341")</f>
        <v>https://www.nbcnews.com/health/health-news/coronavirus-timeline-tracking-critical-moments-covid-19-n1154341</v>
      </c>
      <c r="E145" s="1"/>
      <c r="F145" s="1"/>
      <c r="G145" s="1"/>
      <c r="H145" s="1"/>
      <c r="I145" s="1"/>
    </row>
    <row r="146">
      <c r="A146" s="2">
        <f>IFERROR(__xludf.DUMMYFUNCTION("""COMPUTED_VALUE"""),43978.0)</f>
        <v>43978</v>
      </c>
      <c r="B146" s="1" t="str">
        <f>IFERROR(__xludf.DUMMYFUNCTION("""COMPUTED_VALUE"""),"The Walt Disney Company announced plans to begin a phased reopening of some of its Orlando, Florida, parks. Walt Disney World's Magic Kingdom and Animal Kingdom are planning to open July 11. Epcot and Disney's Hollywood Studios are set to open July 15.")</f>
        <v>The Walt Disney Company announced plans to begin a phased reopening of some of its Orlando, Florida, parks. Walt Disney World's Magic Kingdom and Animal Kingdom are planning to open July 11. Epcot and Disney's Hollywood Studios are set to open July 15.</v>
      </c>
      <c r="C146" s="1" t="str">
        <f>IFERROR(__xludf.DUMMYFUNCTION("""COMPUTED_VALUE"""),"NBC News")</f>
        <v>NBC News</v>
      </c>
      <c r="D146" s="3" t="str">
        <f>IFERROR(__xludf.DUMMYFUNCTION("""COMPUTED_VALUE"""),"https://www.nbcnews.com/health/health-news/coronavirus-timeline-tracking-critical-moments-covid-19-n1154341")</f>
        <v>https://www.nbcnews.com/health/health-news/coronavirus-timeline-tracking-critical-moments-covid-19-n1154341</v>
      </c>
      <c r="E146" s="1"/>
      <c r="F146" s="1"/>
      <c r="G146" s="1"/>
      <c r="H146" s="1"/>
      <c r="I146" s="1"/>
    </row>
    <row r="147">
      <c r="A147" s="2">
        <f>IFERROR(__xludf.DUMMYFUNCTION("""COMPUTED_VALUE"""),43978.0)</f>
        <v>43978</v>
      </c>
      <c r="B147" s="1" t="str">
        <f>IFERROR(__xludf.DUMMYFUNCTION("""COMPUTED_VALUE"""),"Nevada Gov. Steve Sisolak said he tested negative for coronavirus after possible exposure during a visit to an employment center.")</f>
        <v>Nevada Gov. Steve Sisolak said he tested negative for coronavirus after possible exposure during a visit to an employment center.</v>
      </c>
      <c r="C147" s="1" t="str">
        <f>IFERROR(__xludf.DUMMYFUNCTION("""COMPUTED_VALUE"""),"NBC News")</f>
        <v>NBC News</v>
      </c>
      <c r="D147" s="3" t="str">
        <f>IFERROR(__xludf.DUMMYFUNCTION("""COMPUTED_VALUE"""),"https://www.nbcnews.com/health/health-news/coronavirus-timeline-tracking-critical-moments-covid-19-n1154341")</f>
        <v>https://www.nbcnews.com/health/health-news/coronavirus-timeline-tracking-critical-moments-covid-19-n1154341</v>
      </c>
      <c r="E147" s="1"/>
      <c r="F147" s="1"/>
      <c r="G147" s="1"/>
      <c r="H147" s="1"/>
      <c r="I147" s="1"/>
    </row>
    <row r="148">
      <c r="A148" s="2">
        <f>IFERROR(__xludf.DUMMYFUNCTION("""COMPUTED_VALUE"""),43978.0)</f>
        <v>43978</v>
      </c>
      <c r="B148" s="1" t="str">
        <f>IFERROR(__xludf.DUMMYFUNCTION("""COMPUTED_VALUE"""),"The United States surpassed 100,000 coronavirus deaths.")</f>
        <v>The United States surpassed 100,000 coronavirus deaths.</v>
      </c>
      <c r="C148" s="1" t="str">
        <f>IFERROR(__xludf.DUMMYFUNCTION("""COMPUTED_VALUE"""),"NBC News")</f>
        <v>NBC News</v>
      </c>
      <c r="D148" s="3" t="str">
        <f>IFERROR(__xludf.DUMMYFUNCTION("""COMPUTED_VALUE"""),"https://www.nbcnews.com/health/health-news/coronavirus-timeline-tracking-critical-moments-covid-19-n1154341")</f>
        <v>https://www.nbcnews.com/health/health-news/coronavirus-timeline-tracking-critical-moments-covid-19-n1154341</v>
      </c>
      <c r="E148" s="1"/>
      <c r="F148" s="1"/>
      <c r="G148" s="1"/>
      <c r="H148" s="1"/>
      <c r="I148" s="1"/>
    </row>
    <row r="149">
      <c r="A149" s="2">
        <f>IFERROR(__xludf.DUMMYFUNCTION("""COMPUTED_VALUE"""),43978.0)</f>
        <v>43978</v>
      </c>
      <c r="B149" s="1" t="str">
        <f>IFERROR(__xludf.DUMMYFUNCTION("""COMPUTED_VALUE"""),"Wisconsin saw a record number of new coronavirus cases and deaths reported in a single day, two weeks after the state’s Supreme Court struck down its statewide stay-at-home order.")</f>
        <v>Wisconsin saw a record number of new coronavirus cases and deaths reported in a single day, two weeks after the state’s Supreme Court struck down its statewide stay-at-home order.</v>
      </c>
      <c r="C149" s="1" t="str">
        <f>IFERROR(__xludf.DUMMYFUNCTION("""COMPUTED_VALUE"""),"NBC News")</f>
        <v>NBC News</v>
      </c>
      <c r="D149" s="3" t="str">
        <f>IFERROR(__xludf.DUMMYFUNCTION("""COMPUTED_VALUE"""),"https://www.nbcnews.com/health/health-news/coronavirus-timeline-tracking-critical-moments-covid-19-n1154341")</f>
        <v>https://www.nbcnews.com/health/health-news/coronavirus-timeline-tracking-critical-moments-covid-19-n1154341</v>
      </c>
      <c r="E149" s="1"/>
      <c r="F149" s="1"/>
      <c r="G149" s="1"/>
      <c r="H149" s="1"/>
      <c r="I149" s="1"/>
    </row>
    <row r="150">
      <c r="A150" s="2">
        <f>IFERROR(__xludf.DUMMYFUNCTION("""COMPUTED_VALUE"""),43979.0)</f>
        <v>43979</v>
      </c>
      <c r="B150" s="1" t="str">
        <f>IFERROR(__xludf.DUMMYFUNCTION("""COMPUTED_VALUE"""),"India reported another record single day jump of more than 6,500 cases, bringing the country’s total number of confirmed cases to 158,333, even as the two-month lockdown was due to ease on May 31.")</f>
        <v>India reported another record single day jump of more than 6,500 cases, bringing the country’s total number of confirmed cases to 158,333, even as the two-month lockdown was due to ease on May 31.</v>
      </c>
      <c r="C150" s="1" t="str">
        <f>IFERROR(__xludf.DUMMYFUNCTION("""COMPUTED_VALUE"""),"NBC News")</f>
        <v>NBC News</v>
      </c>
      <c r="D150" s="3" t="str">
        <f>IFERROR(__xludf.DUMMYFUNCTION("""COMPUTED_VALUE"""),"https://www.nbcnews.com/health/health-news/coronavirus-timeline-tracking-critical-moments-covid-19-n1154341")</f>
        <v>https://www.nbcnews.com/health/health-news/coronavirus-timeline-tracking-critical-moments-covid-19-n1154341</v>
      </c>
      <c r="E150" s="1"/>
      <c r="F150" s="1"/>
      <c r="G150" s="1"/>
      <c r="H150" s="1"/>
      <c r="I150" s="1"/>
    </row>
    <row r="151">
      <c r="A151" s="2">
        <f>IFERROR(__xludf.DUMMYFUNCTION("""COMPUTED_VALUE"""),43979.0)</f>
        <v>43979</v>
      </c>
      <c r="B151" s="1" t="str">
        <f>IFERROR(__xludf.DUMMYFUNCTION("""COMPUTED_VALUE"""),"South Korea reported its biggest spike in coronavirus cases in more than 50 days, marking a setback after the country won praise for initially bringing its epidemic under control. The resurgent spike of 79 new cases was linked to workers at a massive logi"&amp;"stics warehouse in Seoul, operated by a local e-commerce giant.")</f>
        <v>South Korea reported its biggest spike in coronavirus cases in more than 50 days, marking a setback after the country won praise for initially bringing its epidemic under control. The resurgent spike of 79 new cases was linked to workers at a massive logistics warehouse in Seoul, operated by a local e-commerce giant.</v>
      </c>
      <c r="C151" s="1" t="str">
        <f>IFERROR(__xludf.DUMMYFUNCTION("""COMPUTED_VALUE"""),"NBC News")</f>
        <v>NBC News</v>
      </c>
      <c r="D151" s="3" t="str">
        <f>IFERROR(__xludf.DUMMYFUNCTION("""COMPUTED_VALUE"""),"https://www.nbcnews.com/health/health-news/coronavirus-timeline-tracking-critical-moments-covid-19-n1154341")</f>
        <v>https://www.nbcnews.com/health/health-news/coronavirus-timeline-tracking-critical-moments-covid-19-n1154341</v>
      </c>
      <c r="E151" s="1"/>
      <c r="F151" s="1"/>
      <c r="G151" s="1"/>
      <c r="H151" s="1"/>
      <c r="I151" s="1"/>
    </row>
    <row r="152">
      <c r="A152" s="2">
        <f>IFERROR(__xludf.DUMMYFUNCTION("""COMPUTED_VALUE"""),43979.0)</f>
        <v>43979</v>
      </c>
      <c r="B152" s="1" t="str">
        <f>IFERROR(__xludf.DUMMYFUNCTION("""COMPUTED_VALUE"""),"The World Health Organization announced the creation of a foundation for new sources of funding. WHO Director-General Tedros Ghebreyesus said it would ease a potential financial shortage and that funds will go towards all of the agency’s projects, includi"&amp;"ng vaccine research and preparing for future pandemics.")</f>
        <v>The World Health Organization announced the creation of a foundation for new sources of funding. WHO Director-General Tedros Ghebreyesus said it would ease a potential financial shortage and that funds will go towards all of the agency’s projects, including vaccine research and preparing for future pandemics.</v>
      </c>
      <c r="C152" s="1" t="str">
        <f>IFERROR(__xludf.DUMMYFUNCTION("""COMPUTED_VALUE"""),"NBC News")</f>
        <v>NBC News</v>
      </c>
      <c r="D152" s="3" t="str">
        <f>IFERROR(__xludf.DUMMYFUNCTION("""COMPUTED_VALUE"""),"https://www.nbcnews.com/health/health-news/coronavirus-timeline-tracking-critical-moments-covid-19-n1154341")</f>
        <v>https://www.nbcnews.com/health/health-news/coronavirus-timeline-tracking-critical-moments-covid-19-n1154341</v>
      </c>
      <c r="E152" s="1"/>
      <c r="F152" s="1"/>
      <c r="G152" s="1"/>
      <c r="H152" s="1"/>
      <c r="I152" s="1"/>
    </row>
    <row r="153">
      <c r="A153" s="2">
        <f>IFERROR(__xludf.DUMMYFUNCTION("""COMPUTED_VALUE"""),43979.0)</f>
        <v>43979</v>
      </c>
      <c r="B153" s="1" t="str">
        <f>IFERROR(__xludf.DUMMYFUNCTION("""COMPUTED_VALUE"""),"Coronavirus cases in Iraq surpassed 5,000, with the vast majority of new cases recorded in Baghdad. The country also reported 175 coronavirus deaths.")</f>
        <v>Coronavirus cases in Iraq surpassed 5,000, with the vast majority of new cases recorded in Baghdad. The country also reported 175 coronavirus deaths.</v>
      </c>
      <c r="C153" s="1" t="str">
        <f>IFERROR(__xludf.DUMMYFUNCTION("""COMPUTED_VALUE"""),"NBC News")</f>
        <v>NBC News</v>
      </c>
      <c r="D153" s="3" t="str">
        <f>IFERROR(__xludf.DUMMYFUNCTION("""COMPUTED_VALUE"""),"https://www.nbcnews.com/health/health-news/coronavirus-timeline-tracking-critical-moments-covid-19-n1154341")</f>
        <v>https://www.nbcnews.com/health/health-news/coronavirus-timeline-tracking-critical-moments-covid-19-n1154341</v>
      </c>
      <c r="E153" s="1"/>
      <c r="F153" s="1"/>
      <c r="G153" s="1"/>
      <c r="H153" s="1"/>
      <c r="I153" s="1"/>
    </row>
    <row r="154">
      <c r="A154" s="2">
        <f>IFERROR(__xludf.DUMMYFUNCTION("""COMPUTED_VALUE"""),43979.0)</f>
        <v>43979</v>
      </c>
      <c r="B154" s="1" t="str">
        <f>IFERROR(__xludf.DUMMYFUNCTION("""COMPUTED_VALUE"""),"The coronavirus death toll in Russia passed 4,000. Despite the increasing number of deaths and infections, from June 1 Moscow planned to begin ""Phase 1"" of easing its lockdown, with some non-food stores and businesses re-opening.")</f>
        <v>The coronavirus death toll in Russia passed 4,000. Despite the increasing number of deaths and infections, from June 1 Moscow planned to begin "Phase 1" of easing its lockdown, with some non-food stores and businesses re-opening.</v>
      </c>
      <c r="C154" s="1" t="str">
        <f>IFERROR(__xludf.DUMMYFUNCTION("""COMPUTED_VALUE"""),"NBC News")</f>
        <v>NBC News</v>
      </c>
      <c r="D154" s="3" t="str">
        <f>IFERROR(__xludf.DUMMYFUNCTION("""COMPUTED_VALUE"""),"https://www.nbcnews.com/health/health-news/coronavirus-timeline-tracking-critical-moments-covid-19-n1154341")</f>
        <v>https://www.nbcnews.com/health/health-news/coronavirus-timeline-tracking-critical-moments-covid-19-n1154341</v>
      </c>
      <c r="E154" s="1"/>
      <c r="F154" s="1"/>
      <c r="G154" s="1"/>
      <c r="H154" s="1"/>
      <c r="I154" s="1"/>
    </row>
    <row r="155">
      <c r="A155" s="2">
        <f>IFERROR(__xludf.DUMMYFUNCTION("""COMPUTED_VALUE"""),43979.0)</f>
        <v>43979</v>
      </c>
      <c r="B155" s="1" t="str">
        <f>IFERROR(__xludf.DUMMYFUNCTION("""COMPUTED_VALUE"""),"The Texas Supreme Court blocked an effort by Democrats in the state to expand voting by mail, ruling that lack of immunity to COVID-19 does not qualify a person to apply for a mail-in ballot.")</f>
        <v>The Texas Supreme Court blocked an effort by Democrats in the state to expand voting by mail, ruling that lack of immunity to COVID-19 does not qualify a person to apply for a mail-in ballot.</v>
      </c>
      <c r="C155" s="1" t="str">
        <f>IFERROR(__xludf.DUMMYFUNCTION("""COMPUTED_VALUE"""),"NBC News")</f>
        <v>NBC News</v>
      </c>
      <c r="D155" s="3" t="str">
        <f>IFERROR(__xludf.DUMMYFUNCTION("""COMPUTED_VALUE"""),"https://www.nbcnews.com/health/health-news/coronavirus-timeline-tracking-critical-moments-covid-19-n1154341")</f>
        <v>https://www.nbcnews.com/health/health-news/coronavirus-timeline-tracking-critical-moments-covid-19-n1154341</v>
      </c>
      <c r="E155" s="1"/>
      <c r="F155" s="1"/>
      <c r="G155" s="1"/>
      <c r="H155" s="1"/>
      <c r="I155" s="1"/>
    </row>
    <row r="156">
      <c r="A156" s="2">
        <f>IFERROR(__xludf.DUMMYFUNCTION("""COMPUTED_VALUE"""),43979.0)</f>
        <v>43979</v>
      </c>
      <c r="B156" s="1" t="str">
        <f>IFERROR(__xludf.DUMMYFUNCTION("""COMPUTED_VALUE"""),"Data released by the Department of Labor showed that more than 2.1 million Americans filed for unemployment benefits for the first time last week, the 10th straight week that jobless claims have been in the millions.")</f>
        <v>Data released by the Department of Labor showed that more than 2.1 million Americans filed for unemployment benefits for the first time last week, the 10th straight week that jobless claims have been in the millions.</v>
      </c>
      <c r="C156" s="1" t="str">
        <f>IFERROR(__xludf.DUMMYFUNCTION("""COMPUTED_VALUE"""),"NBC News")</f>
        <v>NBC News</v>
      </c>
      <c r="D156" s="3" t="str">
        <f>IFERROR(__xludf.DUMMYFUNCTION("""COMPUTED_VALUE"""),"https://www.nbcnews.com/health/health-news/coronavirus-timeline-tracking-critical-moments-covid-19-n1154341")</f>
        <v>https://www.nbcnews.com/health/health-news/coronavirus-timeline-tracking-critical-moments-covid-19-n1154341</v>
      </c>
      <c r="E156" s="1"/>
      <c r="F156" s="1"/>
      <c r="G156" s="1"/>
      <c r="H156" s="1"/>
      <c r="I156" s="1"/>
    </row>
    <row r="157">
      <c r="A157" s="2">
        <f>IFERROR(__xludf.DUMMYFUNCTION("""COMPUTED_VALUE"""),43979.0)</f>
        <v>43979</v>
      </c>
      <c r="B157" s="1" t="str">
        <f>IFERROR(__xludf.DUMMYFUNCTION("""COMPUTED_VALUE"""),"New York Gov. Andrew Cuomo announced that he is signing an executive order authorizing businesses to deny entry to people who do not wear a mask or face covering.")</f>
        <v>New York Gov. Andrew Cuomo announced that he is signing an executive order authorizing businesses to deny entry to people who do not wear a mask or face covering.</v>
      </c>
      <c r="C157" s="1" t="str">
        <f>IFERROR(__xludf.DUMMYFUNCTION("""COMPUTED_VALUE"""),"NBC News")</f>
        <v>NBC News</v>
      </c>
      <c r="D157" s="3" t="str">
        <f>IFERROR(__xludf.DUMMYFUNCTION("""COMPUTED_VALUE"""),"https://www.nbcnews.com/health/health-news/coronavirus-timeline-tracking-critical-moments-covid-19-n1154341")</f>
        <v>https://www.nbcnews.com/health/health-news/coronavirus-timeline-tracking-critical-moments-covid-19-n1154341</v>
      </c>
      <c r="E157" s="1"/>
      <c r="F157" s="1"/>
      <c r="G157" s="1"/>
      <c r="H157" s="1"/>
      <c r="I157" s="1"/>
    </row>
    <row r="158">
      <c r="A158" s="2">
        <f>IFERROR(__xludf.DUMMYFUNCTION("""COMPUTED_VALUE"""),43979.0)</f>
        <v>43979</v>
      </c>
      <c r="B158" s="1" t="str">
        <f>IFERROR(__xludf.DUMMYFUNCTION("""COMPUTED_VALUE"""),"The Premier League announced that its 2019-20 season will resume on June 17 after a 100-day hiatus due to the coronavirus pandemic.")</f>
        <v>The Premier League announced that its 2019-20 season will resume on June 17 after a 100-day hiatus due to the coronavirus pandemic.</v>
      </c>
      <c r="C158" s="1" t="str">
        <f>IFERROR(__xludf.DUMMYFUNCTION("""COMPUTED_VALUE"""),"NBC News")</f>
        <v>NBC News</v>
      </c>
      <c r="D158" s="3" t="str">
        <f>IFERROR(__xludf.DUMMYFUNCTION("""COMPUTED_VALUE"""),"https://www.nbcnews.com/health/health-news/coronavirus-timeline-tracking-critical-moments-covid-19-n1154341")</f>
        <v>https://www.nbcnews.com/health/health-news/coronavirus-timeline-tracking-critical-moments-covid-19-n1154341</v>
      </c>
      <c r="E158" s="1"/>
      <c r="F158" s="1"/>
      <c r="G158" s="1"/>
      <c r="H158" s="1"/>
      <c r="I158" s="1"/>
    </row>
    <row r="159">
      <c r="A159" s="2">
        <f>IFERROR(__xludf.DUMMYFUNCTION("""COMPUTED_VALUE"""),43979.0)</f>
        <v>43979</v>
      </c>
      <c r="B159" s="1" t="str">
        <f>IFERROR(__xludf.DUMMYFUNCTION("""COMPUTED_VALUE"""),"Prime Minister Boris Johnson announced a plan to further relax England’s coronavirus restrictions, allowing some outdoor vendors to reopen and increasing the number of people those in England can meet in parks or private gardens.")</f>
        <v>Prime Minister Boris Johnson announced a plan to further relax England’s coronavirus restrictions, allowing some outdoor vendors to reopen and increasing the number of people those in England can meet in parks or private gardens.</v>
      </c>
      <c r="C159" s="1" t="str">
        <f>IFERROR(__xludf.DUMMYFUNCTION("""COMPUTED_VALUE"""),"NBC News")</f>
        <v>NBC News</v>
      </c>
      <c r="D159" s="3" t="str">
        <f>IFERROR(__xludf.DUMMYFUNCTION("""COMPUTED_VALUE"""),"https://www.nbcnews.com/health/health-news/coronavirus-timeline-tracking-critical-moments-covid-19-n1154341")</f>
        <v>https://www.nbcnews.com/health/health-news/coronavirus-timeline-tracking-critical-moments-covid-19-n1154341</v>
      </c>
      <c r="E159" s="1"/>
      <c r="F159" s="1"/>
      <c r="G159" s="1"/>
      <c r="H159" s="1"/>
      <c r="I159" s="1"/>
    </row>
    <row r="160">
      <c r="A160" s="2">
        <f>IFERROR(__xludf.DUMMYFUNCTION("""COMPUTED_VALUE"""),43979.0)</f>
        <v>43979</v>
      </c>
      <c r="B160" s="1" t="str">
        <f>IFERROR(__xludf.DUMMYFUNCTION("""COMPUTED_VALUE"""),"Chicago Mayor Lori Lightfoot announced that the city will begin reopening on June 3. Child care centers, libraries, hotels, hair salons and barber shops, dentist offices and other health care centers and non-essential retail businesses will be among those"&amp;" allowed to open as long as safety guidelines are followed. Restaurants and coffee shops will be open for outdoor dining only.")</f>
        <v>Chicago Mayor Lori Lightfoot announced that the city will begin reopening on June 3. Child care centers, libraries, hotels, hair salons and barber shops, dentist offices and other health care centers and non-essential retail businesses will be among those allowed to open as long as safety guidelines are followed. Restaurants and coffee shops will be open for outdoor dining only.</v>
      </c>
      <c r="C160" s="1" t="str">
        <f>IFERROR(__xludf.DUMMYFUNCTION("""COMPUTED_VALUE"""),"NBC News")</f>
        <v>NBC News</v>
      </c>
      <c r="D160" s="3" t="str">
        <f>IFERROR(__xludf.DUMMYFUNCTION("""COMPUTED_VALUE"""),"https://www.nbcnews.com/health/health-news/coronavirus-timeline-tracking-critical-moments-covid-19-n1154341")</f>
        <v>https://www.nbcnews.com/health/health-news/coronavirus-timeline-tracking-critical-moments-covid-19-n1154341</v>
      </c>
      <c r="E160" s="1"/>
      <c r="F160" s="1"/>
      <c r="G160" s="1"/>
      <c r="H160" s="1"/>
      <c r="I160" s="1"/>
    </row>
    <row r="161">
      <c r="A161" s="2">
        <f>IFERROR(__xludf.DUMMYFUNCTION("""COMPUTED_VALUE"""),43979.0)</f>
        <v>43979</v>
      </c>
      <c r="B161" s="1" t="str">
        <f>IFERROR(__xludf.DUMMYFUNCTION("""COMPUTED_VALUE"""),"The Boston Athletic Association announced that the Boston Marathon will be held as a virtual event this year.")</f>
        <v>The Boston Athletic Association announced that the Boston Marathon will be held as a virtual event this year.</v>
      </c>
      <c r="C161" s="1" t="str">
        <f>IFERROR(__xludf.DUMMYFUNCTION("""COMPUTED_VALUE"""),"NBC News")</f>
        <v>NBC News</v>
      </c>
      <c r="D161" s="3" t="str">
        <f>IFERROR(__xludf.DUMMYFUNCTION("""COMPUTED_VALUE"""),"https://www.nbcnews.com/health/health-news/coronavirus-timeline-tracking-critical-moments-covid-19-n1154341")</f>
        <v>https://www.nbcnews.com/health/health-news/coronavirus-timeline-tracking-critical-moments-covid-19-n1154341</v>
      </c>
      <c r="E161" s="1"/>
      <c r="F161" s="1"/>
      <c r="G161" s="1"/>
      <c r="H161" s="1"/>
      <c r="I161" s="1"/>
    </row>
    <row r="162">
      <c r="A162" s="2">
        <f>IFERROR(__xludf.DUMMYFUNCTION("""COMPUTED_VALUE"""),43979.0)</f>
        <v>43979</v>
      </c>
      <c r="B162" s="1" t="str">
        <f>IFERROR(__xludf.DUMMYFUNCTION("""COMPUTED_VALUE"""),"Missouri Gov. Mike Parson delayed rolling out the second phase of the state’s reopening plan, saying the extension would give some communities “more time to prepare.”")</f>
        <v>Missouri Gov. Mike Parson delayed rolling out the second phase of the state’s reopening plan, saying the extension would give some communities “more time to prepare.”</v>
      </c>
      <c r="C162" s="1" t="str">
        <f>IFERROR(__xludf.DUMMYFUNCTION("""COMPUTED_VALUE"""),"NBC News")</f>
        <v>NBC News</v>
      </c>
      <c r="D162" s="3" t="str">
        <f>IFERROR(__xludf.DUMMYFUNCTION("""COMPUTED_VALUE"""),"https://www.nbcnews.com/health/health-news/coronavirus-timeline-tracking-critical-moments-covid-19-n1154341")</f>
        <v>https://www.nbcnews.com/health/health-news/coronavirus-timeline-tracking-critical-moments-covid-19-n1154341</v>
      </c>
      <c r="E162" s="1"/>
      <c r="F162" s="1"/>
      <c r="G162" s="1"/>
      <c r="H162" s="1"/>
      <c r="I162" s="1"/>
    </row>
    <row r="163">
      <c r="A163" s="2">
        <f>IFERROR(__xludf.DUMMYFUNCTION("""COMPUTED_VALUE"""),43979.0)</f>
        <v>43979</v>
      </c>
      <c r="B163" s="1" t="str">
        <f>IFERROR(__xludf.DUMMYFUNCTION("""COMPUTED_VALUE"""),"San Francisco Mayor London Breed announced an order requiring nearly everyone to wear a mask when they're not at home — including runners, people on bicycles and generally anyone who is within 30 feet of another person not in their household.")</f>
        <v>San Francisco Mayor London Breed announced an order requiring nearly everyone to wear a mask when they're not at home — including runners, people on bicycles and generally anyone who is within 30 feet of another person not in their household.</v>
      </c>
      <c r="C163" s="1" t="str">
        <f>IFERROR(__xludf.DUMMYFUNCTION("""COMPUTED_VALUE"""),"NBC News")</f>
        <v>NBC News</v>
      </c>
      <c r="D163" s="3" t="str">
        <f>IFERROR(__xludf.DUMMYFUNCTION("""COMPUTED_VALUE"""),"https://www.nbcnews.com/health/health-news/coronavirus-timeline-tracking-critical-moments-covid-19-n1154341")</f>
        <v>https://www.nbcnews.com/health/health-news/coronavirus-timeline-tracking-critical-moments-covid-19-n1154341</v>
      </c>
      <c r="E163" s="1"/>
      <c r="F163" s="1"/>
      <c r="G163" s="1"/>
      <c r="H163" s="1"/>
      <c r="I163" s="1"/>
    </row>
    <row r="164">
      <c r="A164" s="2">
        <f>IFERROR(__xludf.DUMMYFUNCTION("""COMPUTED_VALUE"""),43979.0)</f>
        <v>43979</v>
      </c>
      <c r="B164" s="1" t="str">
        <f>IFERROR(__xludf.DUMMYFUNCTION("""COMPUTED_VALUE"""),"The United Nations confirmed that its annual climate summit, COP 26, will be pushed back to November 2021, delayed by one year, due to the coronavirus pandemic.")</f>
        <v>The United Nations confirmed that its annual climate summit, COP 26, will be pushed back to November 2021, delayed by one year, due to the coronavirus pandemic.</v>
      </c>
      <c r="C164" s="1" t="str">
        <f>IFERROR(__xludf.DUMMYFUNCTION("""COMPUTED_VALUE"""),"NBC News")</f>
        <v>NBC News</v>
      </c>
      <c r="D164" s="3" t="str">
        <f>IFERROR(__xludf.DUMMYFUNCTION("""COMPUTED_VALUE"""),"https://www.nbcnews.com/health/health-news/coronavirus-timeline-tracking-critical-moments-covid-19-n1154341")</f>
        <v>https://www.nbcnews.com/health/health-news/coronavirus-timeline-tracking-critical-moments-covid-19-n1154341</v>
      </c>
      <c r="E164" s="1"/>
      <c r="F164" s="1"/>
      <c r="G164" s="1"/>
      <c r="H164" s="1"/>
      <c r="I164" s="1"/>
    </row>
    <row r="165">
      <c r="A165" s="2">
        <f>IFERROR(__xludf.DUMMYFUNCTION("""COMPUTED_VALUE"""),43979.0)</f>
        <v>43979</v>
      </c>
      <c r="B165" s="1" t="str">
        <f>IFERROR(__xludf.DUMMYFUNCTION("""COMPUTED_VALUE"""),"French Prime Minister Edouard Philippe announced that most restaurants, parks and schools will progressively reopen from June 2, after nearly two months in lockdown.")</f>
        <v>French Prime Minister Edouard Philippe announced that most restaurants, parks and schools will progressively reopen from June 2, after nearly two months in lockdown.</v>
      </c>
      <c r="C165" s="1" t="str">
        <f>IFERROR(__xludf.DUMMYFUNCTION("""COMPUTED_VALUE"""),"NBC News")</f>
        <v>NBC News</v>
      </c>
      <c r="D165" s="3" t="str">
        <f>IFERROR(__xludf.DUMMYFUNCTION("""COMPUTED_VALUE"""),"https://www.nbcnews.com/health/health-news/coronavirus-timeline-tracking-critical-moments-covid-19-n1154341")</f>
        <v>https://www.nbcnews.com/health/health-news/coronavirus-timeline-tracking-critical-moments-covid-19-n1154341</v>
      </c>
      <c r="E165" s="1"/>
      <c r="F165" s="1"/>
      <c r="G165" s="1"/>
      <c r="H165" s="1"/>
      <c r="I165" s="1"/>
    </row>
    <row r="166">
      <c r="A166" s="2">
        <f>IFERROR(__xludf.DUMMYFUNCTION("""COMPUTED_VALUE"""),43979.0)</f>
        <v>43979</v>
      </c>
      <c r="B166" s="1" t="str">
        <f>IFERROR(__xludf.DUMMYFUNCTION("""COMPUTED_VALUE"""),"The Philippines saw its highest daily spike in coronavirus cases, but President Rodrigo Duterte pressed ahead with easing one of the world's toughest and longest lockdowns.")</f>
        <v>The Philippines saw its highest daily spike in coronavirus cases, but President Rodrigo Duterte pressed ahead with easing one of the world's toughest and longest lockdowns.</v>
      </c>
      <c r="C166" s="1" t="str">
        <f>IFERROR(__xludf.DUMMYFUNCTION("""COMPUTED_VALUE"""),"NBC News")</f>
        <v>NBC News</v>
      </c>
      <c r="D166" s="3" t="str">
        <f>IFERROR(__xludf.DUMMYFUNCTION("""COMPUTED_VALUE"""),"https://www.nbcnews.com/health/health-news/coronavirus-timeline-tracking-critical-moments-covid-19-n1154341")</f>
        <v>https://www.nbcnews.com/health/health-news/coronavirus-timeline-tracking-critical-moments-covid-19-n1154341</v>
      </c>
      <c r="E166" s="1"/>
      <c r="F166" s="1"/>
      <c r="G166" s="1"/>
      <c r="H166" s="1"/>
      <c r="I166" s="1"/>
    </row>
    <row r="167">
      <c r="A167" s="2">
        <f>IFERROR(__xludf.DUMMYFUNCTION("""COMPUTED_VALUE"""),43980.0)</f>
        <v>43980</v>
      </c>
      <c r="B167" s="1" t="str">
        <f>IFERROR(__xludf.DUMMYFUNCTION("""COMPUTED_VALUE"""),"New Zealand celebrated one week without a new coronavirus case in the country.")</f>
        <v>New Zealand celebrated one week without a new coronavirus case in the country.</v>
      </c>
      <c r="C167" s="1" t="str">
        <f>IFERROR(__xludf.DUMMYFUNCTION("""COMPUTED_VALUE"""),"NBC News")</f>
        <v>NBC News</v>
      </c>
      <c r="D167" s="3" t="str">
        <f>IFERROR(__xludf.DUMMYFUNCTION("""COMPUTED_VALUE"""),"https://www.nbcnews.com/health/health-news/coronavirus-timeline-tracking-critical-moments-covid-19-n1154341")</f>
        <v>https://www.nbcnews.com/health/health-news/coronavirus-timeline-tracking-critical-moments-covid-19-n1154341</v>
      </c>
      <c r="E167" s="1"/>
      <c r="F167" s="1"/>
      <c r="G167" s="1"/>
      <c r="H167" s="1"/>
      <c r="I167" s="1"/>
    </row>
    <row r="168">
      <c r="A168" s="2">
        <f>IFERROR(__xludf.DUMMYFUNCTION("""COMPUTED_VALUE"""),43980.0)</f>
        <v>43980</v>
      </c>
      <c r="B168" s="1" t="str">
        <f>IFERROR(__xludf.DUMMYFUNCTION("""COMPUTED_VALUE"""),"Pakistan’s Civil Aviation Authority said it will allow international flights to resume on May 30, after largely closing its airspace to commercial flights in March to curb the coronavirus outbreak.")</f>
        <v>Pakistan’s Civil Aviation Authority said it will allow international flights to resume on May 30, after largely closing its airspace to commercial flights in March to curb the coronavirus outbreak.</v>
      </c>
      <c r="C168" s="1" t="str">
        <f>IFERROR(__xludf.DUMMYFUNCTION("""COMPUTED_VALUE"""),"NBC News")</f>
        <v>NBC News</v>
      </c>
      <c r="D168" s="3" t="str">
        <f>IFERROR(__xludf.DUMMYFUNCTION("""COMPUTED_VALUE"""),"https://www.nbcnews.com/health/health-news/coronavirus-timeline-tracking-critical-moments-covid-19-n1154341")</f>
        <v>https://www.nbcnews.com/health/health-news/coronavirus-timeline-tracking-critical-moments-covid-19-n1154341</v>
      </c>
      <c r="E168" s="1"/>
      <c r="F168" s="1"/>
      <c r="G168" s="1"/>
      <c r="H168" s="1"/>
      <c r="I168" s="1"/>
    </row>
    <row r="169">
      <c r="A169" s="2">
        <f>IFERROR(__xludf.DUMMYFUNCTION("""COMPUTED_VALUE"""),43980.0)</f>
        <v>43980</v>
      </c>
      <c r="B169" s="1" t="str">
        <f>IFERROR(__xludf.DUMMYFUNCTION("""COMPUTED_VALUE"""),"The CDC reported that the coronavirus began quietly spreading in the U.S. as early as late January — before President Trump blocked air travel from China and a full month before community spread was first detected in the country.")</f>
        <v>The CDC reported that the coronavirus began quietly spreading in the U.S. as early as late January — before President Trump blocked air travel from China and a full month before community spread was first detected in the country.</v>
      </c>
      <c r="C169" s="1" t="str">
        <f>IFERROR(__xludf.DUMMYFUNCTION("""COMPUTED_VALUE"""),"NBC News")</f>
        <v>NBC News</v>
      </c>
      <c r="D169" s="3" t="str">
        <f>IFERROR(__xludf.DUMMYFUNCTION("""COMPUTED_VALUE"""),"https://www.nbcnews.com/health/health-news/coronavirus-timeline-tracking-critical-moments-covid-19-n1154341")</f>
        <v>https://www.nbcnews.com/health/health-news/coronavirus-timeline-tracking-critical-moments-covid-19-n1154341</v>
      </c>
      <c r="E169" s="1"/>
      <c r="F169" s="1"/>
      <c r="G169" s="1"/>
      <c r="H169" s="1"/>
      <c r="I169" s="1"/>
    </row>
    <row r="170">
      <c r="A170" s="2">
        <f>IFERROR(__xludf.DUMMYFUNCTION("""COMPUTED_VALUE"""),43980.0)</f>
        <v>43980</v>
      </c>
      <c r="B170" s="1" t="str">
        <f>IFERROR(__xludf.DUMMYFUNCTION("""COMPUTED_VALUE"""),"New York Gov. Andrew Cuomo said New York City is on track to begin Phase I reopening on June 8.")</f>
        <v>New York Gov. Andrew Cuomo said New York City is on track to begin Phase I reopening on June 8.</v>
      </c>
      <c r="C170" s="1" t="str">
        <f>IFERROR(__xludf.DUMMYFUNCTION("""COMPUTED_VALUE"""),"NBC News")</f>
        <v>NBC News</v>
      </c>
      <c r="D170" s="3" t="str">
        <f>IFERROR(__xludf.DUMMYFUNCTION("""COMPUTED_VALUE"""),"https://www.nbcnews.com/health/health-news/coronavirus-timeline-tracking-critical-moments-covid-19-n1154341")</f>
        <v>https://www.nbcnews.com/health/health-news/coronavirus-timeline-tracking-critical-moments-covid-19-n1154341</v>
      </c>
      <c r="E170" s="1"/>
      <c r="F170" s="1"/>
      <c r="G170" s="1"/>
      <c r="H170" s="1"/>
      <c r="I170" s="1"/>
    </row>
    <row r="171">
      <c r="A171" s="2">
        <f>IFERROR(__xludf.DUMMYFUNCTION("""COMPUTED_VALUE"""),43980.0)</f>
        <v>43980</v>
      </c>
      <c r="B171" s="1" t="str">
        <f>IFERROR(__xludf.DUMMYFUNCTION("""COMPUTED_VALUE"""),"New Jersey Gov. Phil Murphy announced that he will be signing an executive order allowing child care services, non-contact organized sports, and youth day camps to resume over the next several weeks. Child care centers will be able to reopen on June 15, n"&amp;"on-contact sport activities can restart on June 22, and summer programs can begin on July 6, he said.")</f>
        <v>New Jersey Gov. Phil Murphy announced that he will be signing an executive order allowing child care services, non-contact organized sports, and youth day camps to resume over the next several weeks. Child care centers will be able to reopen on June 15, non-contact sport activities can restart on June 22, and summer programs can begin on July 6, he said.</v>
      </c>
      <c r="C171" s="1" t="str">
        <f>IFERROR(__xludf.DUMMYFUNCTION("""COMPUTED_VALUE"""),"NBC News")</f>
        <v>NBC News</v>
      </c>
      <c r="D171" s="3" t="str">
        <f>IFERROR(__xludf.DUMMYFUNCTION("""COMPUTED_VALUE"""),"https://www.nbcnews.com/health/health-news/coronavirus-timeline-tracking-critical-moments-covid-19-n1154341")</f>
        <v>https://www.nbcnews.com/health/health-news/coronavirus-timeline-tracking-critical-moments-covid-19-n1154341</v>
      </c>
      <c r="E171" s="1"/>
      <c r="F171" s="1"/>
      <c r="G171" s="1"/>
      <c r="H171" s="1"/>
      <c r="I171" s="1"/>
    </row>
    <row r="172">
      <c r="A172" s="2">
        <f>IFERROR(__xludf.DUMMYFUNCTION("""COMPUTED_VALUE"""),43980.0)</f>
        <v>43980</v>
      </c>
      <c r="B172" s="1" t="str">
        <f>IFERROR(__xludf.DUMMYFUNCTION("""COMPUTED_VALUE"""),"Italy’s government said it will allow inter-regional travel starting on June 3, as the country’s health ministry reported no critical virus infection spikes in any region of the country.")</f>
        <v>Italy’s government said it will allow inter-regional travel starting on June 3, as the country’s health ministry reported no critical virus infection spikes in any region of the country.</v>
      </c>
      <c r="C172" s="1" t="str">
        <f>IFERROR(__xludf.DUMMYFUNCTION("""COMPUTED_VALUE"""),"NBC News")</f>
        <v>NBC News</v>
      </c>
      <c r="D172" s="3" t="str">
        <f>IFERROR(__xludf.DUMMYFUNCTION("""COMPUTED_VALUE"""),"https://www.nbcnews.com/health/health-news/coronavirus-timeline-tracking-critical-moments-covid-19-n1154341")</f>
        <v>https://www.nbcnews.com/health/health-news/coronavirus-timeline-tracking-critical-moments-covid-19-n1154341</v>
      </c>
      <c r="E172" s="1"/>
      <c r="F172" s="1"/>
      <c r="G172" s="1"/>
      <c r="H172" s="1"/>
      <c r="I172" s="1"/>
    </row>
    <row r="173">
      <c r="A173" s="2">
        <f>IFERROR(__xludf.DUMMYFUNCTION("""COMPUTED_VALUE"""),43981.0)</f>
        <v>43981</v>
      </c>
      <c r="B173" s="1" t="str">
        <f>IFERROR(__xludf.DUMMYFUNCTION("""COMPUTED_VALUE"""),"Taiwan's government said that it had approved Gilead Sciences' potential COVID-19 treatment, remdesivir, to treat the illness caused by the coronavirus.")</f>
        <v>Taiwan's government said that it had approved Gilead Sciences' potential COVID-19 treatment, remdesivir, to treat the illness caused by the coronavirus.</v>
      </c>
      <c r="C173" s="1" t="str">
        <f>IFERROR(__xludf.DUMMYFUNCTION("""COMPUTED_VALUE"""),"NBC News")</f>
        <v>NBC News</v>
      </c>
      <c r="D173" s="3" t="str">
        <f>IFERROR(__xludf.DUMMYFUNCTION("""COMPUTED_VALUE"""),"https://www.nbcnews.com/health/health-news/coronavirus-timeline-tracking-critical-moments-covid-19-n1154341")</f>
        <v>https://www.nbcnews.com/health/health-news/coronavirus-timeline-tracking-critical-moments-covid-19-n1154341</v>
      </c>
      <c r="E173" s="1"/>
      <c r="F173" s="1"/>
      <c r="G173" s="1"/>
      <c r="H173" s="1"/>
      <c r="I173" s="1"/>
    </row>
    <row r="174">
      <c r="A174" s="2">
        <f>IFERROR(__xludf.DUMMYFUNCTION("""COMPUTED_VALUE"""),43981.0)</f>
        <v>43981</v>
      </c>
      <c r="B174" s="1" t="str">
        <f>IFERROR(__xludf.DUMMYFUNCTION("""COMPUTED_VALUE"""),"Government employees in Iran returned to work as President Hassan Rouhani announced that mosques can resume daily prayers throughout the country, even though some areas are seeing high levels of virus infections.")</f>
        <v>Government employees in Iran returned to work as President Hassan Rouhani announced that mosques can resume daily prayers throughout the country, even though some areas are seeing high levels of virus infections.</v>
      </c>
      <c r="C174" s="1" t="str">
        <f>IFERROR(__xludf.DUMMYFUNCTION("""COMPUTED_VALUE"""),"NBC News")</f>
        <v>NBC News</v>
      </c>
      <c r="D174" s="3" t="str">
        <f>IFERROR(__xludf.DUMMYFUNCTION("""COMPUTED_VALUE"""),"https://www.nbcnews.com/health/health-news/coronavirus-timeline-tracking-critical-moments-covid-19-n1154341")</f>
        <v>https://www.nbcnews.com/health/health-news/coronavirus-timeline-tracking-critical-moments-covid-19-n1154341</v>
      </c>
      <c r="E174" s="1"/>
      <c r="F174" s="1"/>
      <c r="G174" s="1"/>
      <c r="H174" s="1"/>
      <c r="I174" s="1"/>
    </row>
    <row r="175">
      <c r="A175" s="2">
        <f>IFERROR(__xludf.DUMMYFUNCTION("""COMPUTED_VALUE"""),43981.0)</f>
        <v>43981</v>
      </c>
      <c r="B175" s="1" t="str">
        <f>IFERROR(__xludf.DUMMYFUNCTION("""COMPUTED_VALUE"""),"The European Union called on the U.S. to reconsider the decision to sever ties with the World Health Organization over its handling of the coronavirus pandemic.")</f>
        <v>The European Union called on the U.S. to reconsider the decision to sever ties with the World Health Organization over its handling of the coronavirus pandemic.</v>
      </c>
      <c r="C175" s="1" t="str">
        <f>IFERROR(__xludf.DUMMYFUNCTION("""COMPUTED_VALUE"""),"NBC News")</f>
        <v>NBC News</v>
      </c>
      <c r="D175" s="3" t="str">
        <f>IFERROR(__xludf.DUMMYFUNCTION("""COMPUTED_VALUE"""),"https://www.nbcnews.com/health/health-news/coronavirus-timeline-tracking-critical-moments-covid-19-n1154341")</f>
        <v>https://www.nbcnews.com/health/health-news/coronavirus-timeline-tracking-critical-moments-covid-19-n1154341</v>
      </c>
      <c r="E175" s="1"/>
      <c r="F175" s="1"/>
      <c r="G175" s="1"/>
      <c r="H175" s="1"/>
      <c r="I175" s="1"/>
    </row>
    <row r="176">
      <c r="A176" s="2">
        <f>IFERROR(__xludf.DUMMYFUNCTION("""COMPUTED_VALUE"""),43981.0)</f>
        <v>43981</v>
      </c>
      <c r="B176" s="1" t="str">
        <f>IFERROR(__xludf.DUMMYFUNCTION("""COMPUTED_VALUE"""),"India registered another record single-day jump of 7,964 virus cases and 265 deaths, a day before the two-month lockdown was set to end. The Health Ministry put the total number of confirmed cases at 173,763 with 4,971 deaths.")</f>
        <v>India registered another record single-day jump of 7,964 virus cases and 265 deaths, a day before the two-month lockdown was set to end. The Health Ministry put the total number of confirmed cases at 173,763 with 4,971 deaths.</v>
      </c>
      <c r="C176" s="1" t="str">
        <f>IFERROR(__xludf.DUMMYFUNCTION("""COMPUTED_VALUE"""),"NBC News")</f>
        <v>NBC News</v>
      </c>
      <c r="D176" s="3" t="str">
        <f>IFERROR(__xludf.DUMMYFUNCTION("""COMPUTED_VALUE"""),"https://www.nbcnews.com/health/health-news/coronavirus-timeline-tracking-critical-moments-covid-19-n1154341")</f>
        <v>https://www.nbcnews.com/health/health-news/coronavirus-timeline-tracking-critical-moments-covid-19-n1154341</v>
      </c>
      <c r="E176" s="1"/>
      <c r="F176" s="1"/>
      <c r="G176" s="1"/>
      <c r="H176" s="1"/>
      <c r="I176" s="1"/>
    </row>
    <row r="177">
      <c r="A177" s="2">
        <f>IFERROR(__xludf.DUMMYFUNCTION("""COMPUTED_VALUE"""),43981.0)</f>
        <v>43981</v>
      </c>
      <c r="B177" s="1" t="str">
        <f>IFERROR(__xludf.DUMMYFUNCTION("""COMPUTED_VALUE"""),"Los Angeles Mayor Eric Garcetti said that all of the city's COVID-19 testing centers were closed as of 3 p.m. local time due to protests in the city.")</f>
        <v>Los Angeles Mayor Eric Garcetti said that all of the city's COVID-19 testing centers were closed as of 3 p.m. local time due to protests in the city.</v>
      </c>
      <c r="C177" s="1" t="str">
        <f>IFERROR(__xludf.DUMMYFUNCTION("""COMPUTED_VALUE"""),"NBC News")</f>
        <v>NBC News</v>
      </c>
      <c r="D177" s="3" t="str">
        <f>IFERROR(__xludf.DUMMYFUNCTION("""COMPUTED_VALUE"""),"https://www.nbcnews.com/health/health-news/coronavirus-timeline-tracking-critical-moments-covid-19-n1154341")</f>
        <v>https://www.nbcnews.com/health/health-news/coronavirus-timeline-tracking-critical-moments-covid-19-n1154341</v>
      </c>
      <c r="E177" s="1"/>
      <c r="F177" s="1"/>
      <c r="G177" s="1"/>
      <c r="H177" s="1"/>
      <c r="I177" s="1"/>
    </row>
    <row r="178">
      <c r="A178" s="2">
        <f>IFERROR(__xludf.DUMMYFUNCTION("""COMPUTED_VALUE"""),43981.0)</f>
        <v>43981</v>
      </c>
      <c r="B178" s="1" t="str">
        <f>IFERROR(__xludf.DUMMYFUNCTION("""COMPUTED_VALUE"""),"The mayor of Colombia’s capital announced plans to shut down one of the city’s largest neighborhoods as cases there continue to rise. Mayor Claudia Lopez said that starting June 1 the working-class Kennedy area of Bogota — home to nearly 1.5 million peopl"&amp;"e — will be under a strict quarantine.")</f>
        <v>The mayor of Colombia’s capital announced plans to shut down one of the city’s largest neighborhoods as cases there continue to rise. Mayor Claudia Lopez said that starting June 1 the working-class Kennedy area of Bogota — home to nearly 1.5 million people — will be under a strict quarantine.</v>
      </c>
      <c r="C178" s="1" t="str">
        <f>IFERROR(__xludf.DUMMYFUNCTION("""COMPUTED_VALUE"""),"NBC News")</f>
        <v>NBC News</v>
      </c>
      <c r="D178" s="3" t="str">
        <f>IFERROR(__xludf.DUMMYFUNCTION("""COMPUTED_VALUE"""),"https://www.nbcnews.com/health/health-news/coronavirus-timeline-tracking-critical-moments-covid-19-n1154341")</f>
        <v>https://www.nbcnews.com/health/health-news/coronavirus-timeline-tracking-critical-moments-covid-19-n1154341</v>
      </c>
      <c r="E178" s="1"/>
      <c r="F178" s="1"/>
      <c r="G178" s="1"/>
      <c r="H178" s="1"/>
      <c r="I178" s="1"/>
    </row>
    <row r="179">
      <c r="A179" s="2">
        <f>IFERROR(__xludf.DUMMYFUNCTION("""COMPUTED_VALUE"""),43982.0)</f>
        <v>43982</v>
      </c>
      <c r="B179" s="1" t="str">
        <f>IFERROR(__xludf.DUMMYFUNCTION("""COMPUTED_VALUE"""),"As thousands of Americans gathered in cities across the country to protest the in-custody death of George Floyd in Minneapolis, infectious disease experts worried that the large crowds and lack of social distancing could cause catastrophic setbacks for co"&amp;"ntrolling the spread of the coronavirus.")</f>
        <v>As thousands of Americans gathered in cities across the country to protest the in-custody death of George Floyd in Minneapolis, infectious disease experts worried that the large crowds and lack of social distancing could cause catastrophic setbacks for controlling the spread of the coronavirus.</v>
      </c>
      <c r="C179" s="1" t="str">
        <f>IFERROR(__xludf.DUMMYFUNCTION("""COMPUTED_VALUE"""),"NBC News")</f>
        <v>NBC News</v>
      </c>
      <c r="D179" s="3" t="str">
        <f>IFERROR(__xludf.DUMMYFUNCTION("""COMPUTED_VALUE"""),"https://www.nbcnews.com/health/health-news/coronavirus-timeline-tracking-critical-moments-covid-19-n1154341")</f>
        <v>https://www.nbcnews.com/health/health-news/coronavirus-timeline-tracking-critical-moments-covid-19-n1154341</v>
      </c>
      <c r="E179" s="1"/>
      <c r="F179" s="1"/>
      <c r="G179" s="1"/>
      <c r="H179" s="1"/>
      <c r="I179" s="1"/>
    </row>
    <row r="180">
      <c r="A180" s="2">
        <f>IFERROR(__xludf.DUMMYFUNCTION("""COMPUTED_VALUE"""),43982.0)</f>
        <v>43982</v>
      </c>
      <c r="B180" s="1" t="str">
        <f>IFERROR(__xludf.DUMMYFUNCTION("""COMPUTED_VALUE"""),"Global coronavirus cases surpassed 6 million, according to Johns Hopkins University data, as the death toll worldwide neared 370,000.")</f>
        <v>Global coronavirus cases surpassed 6 million, according to Johns Hopkins University data, as the death toll worldwide neared 370,000.</v>
      </c>
      <c r="C180" s="1" t="str">
        <f>IFERROR(__xludf.DUMMYFUNCTION("""COMPUTED_VALUE"""),"NBC News")</f>
        <v>NBC News</v>
      </c>
      <c r="D180" s="3" t="str">
        <f>IFERROR(__xludf.DUMMYFUNCTION("""COMPUTED_VALUE"""),"https://www.nbcnews.com/health/health-news/coronavirus-timeline-tracking-critical-moments-covid-19-n1154341")</f>
        <v>https://www.nbcnews.com/health/health-news/coronavirus-timeline-tracking-critical-moments-covid-19-n1154341</v>
      </c>
      <c r="E180" s="1"/>
      <c r="F180" s="1"/>
      <c r="G180" s="1"/>
      <c r="H180" s="1"/>
      <c r="I180" s="1"/>
    </row>
    <row r="181">
      <c r="A181" s="2">
        <f>IFERROR(__xludf.DUMMYFUNCTION("""COMPUTED_VALUE"""),43982.0)</f>
        <v>43982</v>
      </c>
      <c r="B181" s="1" t="str">
        <f>IFERROR(__xludf.DUMMYFUNCTION("""COMPUTED_VALUE"""),"Rwanda's ministry of health reported the East African nation's first death caused by the coronavirus. The country had 359 confirmed cases nationwide.")</f>
        <v>Rwanda's ministry of health reported the East African nation's first death caused by the coronavirus. The country had 359 confirmed cases nationwide.</v>
      </c>
      <c r="C181" s="1" t="str">
        <f>IFERROR(__xludf.DUMMYFUNCTION("""COMPUTED_VALUE"""),"NBC News")</f>
        <v>NBC News</v>
      </c>
      <c r="D181" s="3" t="str">
        <f>IFERROR(__xludf.DUMMYFUNCTION("""COMPUTED_VALUE"""),"https://www.nbcnews.com/health/health-news/coronavirus-timeline-tracking-critical-moments-covid-19-n1154341")</f>
        <v>https://www.nbcnews.com/health/health-news/coronavirus-timeline-tracking-critical-moments-covid-19-n1154341</v>
      </c>
      <c r="E181" s="1"/>
      <c r="F181" s="1"/>
      <c r="G181" s="1"/>
      <c r="H181" s="1"/>
      <c r="I181" s="1"/>
    </row>
    <row r="182">
      <c r="A182" s="2">
        <f>IFERROR(__xludf.DUMMYFUNCTION("""COMPUTED_VALUE"""),43982.0)</f>
        <v>43982</v>
      </c>
      <c r="B182" s="1" t="str">
        <f>IFERROR(__xludf.DUMMYFUNCTION("""COMPUTED_VALUE"""),"China reported two new cases of COVID-19, bringing its total to 83,001. Both cases were imported ones in the Shandong province, south of Beijing. No new domestic cases had been reported for a week, and the country’s official death toll remained at 4,634.")</f>
        <v>China reported two new cases of COVID-19, bringing its total to 83,001. Both cases were imported ones in the Shandong province, south of Beijing. No new domestic cases had been reported for a week, and the country’s official death toll remained at 4,634.</v>
      </c>
      <c r="C182" s="1" t="str">
        <f>IFERROR(__xludf.DUMMYFUNCTION("""COMPUTED_VALUE"""),"NBC News")</f>
        <v>NBC News</v>
      </c>
      <c r="D182" s="3" t="str">
        <f>IFERROR(__xludf.DUMMYFUNCTION("""COMPUTED_VALUE"""),"https://www.nbcnews.com/health/health-news/coronavirus-timeline-tracking-critical-moments-covid-19-n1154341")</f>
        <v>https://www.nbcnews.com/health/health-news/coronavirus-timeline-tracking-critical-moments-covid-19-n1154341</v>
      </c>
      <c r="E182" s="1"/>
      <c r="F182" s="1"/>
      <c r="G182" s="1"/>
      <c r="H182" s="1"/>
      <c r="I182" s="1"/>
    </row>
    <row r="183">
      <c r="A183" s="2">
        <f>IFERROR(__xludf.DUMMYFUNCTION("""COMPUTED_VALUE"""),43982.0)</f>
        <v>43982</v>
      </c>
      <c r="B183" s="1" t="str">
        <f>IFERROR(__xludf.DUMMYFUNCTION("""COMPUTED_VALUE"""),"Pope Francis delivered his first address in three months from his window overlooking St. Peter's Square, as Italy's lockdown drew to an end. Francis said that people are more important than the economy, as countries decide how quickly to reopen their coun"&amp;"tries from coronavirus lockdowns.")</f>
        <v>Pope Francis delivered his first address in three months from his window overlooking St. Peter's Square, as Italy's lockdown drew to an end. Francis said that people are more important than the economy, as countries decide how quickly to reopen their countries from coronavirus lockdowns.</v>
      </c>
      <c r="C183" s="1" t="str">
        <f>IFERROR(__xludf.DUMMYFUNCTION("""COMPUTED_VALUE"""),"NBC News")</f>
        <v>NBC News</v>
      </c>
      <c r="D183" s="3" t="str">
        <f>IFERROR(__xludf.DUMMYFUNCTION("""COMPUTED_VALUE"""),"https://www.nbcnews.com/health/health-news/coronavirus-timeline-tracking-critical-moments-covid-19-n1154341")</f>
        <v>https://www.nbcnews.com/health/health-news/coronavirus-timeline-tracking-critical-moments-covid-19-n1154341</v>
      </c>
      <c r="E183" s="1"/>
      <c r="F183" s="1"/>
      <c r="G183" s="1"/>
      <c r="H183" s="1"/>
      <c r="I183" s="1"/>
    </row>
    <row r="184">
      <c r="A184" s="2">
        <f>IFERROR(__xludf.DUMMYFUNCTION("""COMPUTED_VALUE"""),43982.0)</f>
        <v>43982</v>
      </c>
      <c r="B184" s="1" t="str">
        <f>IFERROR(__xludf.DUMMYFUNCTION("""COMPUTED_VALUE"""),"Florida reported more than 2,100 positive coronavirus cases in two days, bringing the state's total number of cases to 55,424. The state’s death toll as a result of the virus was 2,447.")</f>
        <v>Florida reported more than 2,100 positive coronavirus cases in two days, bringing the state's total number of cases to 55,424. The state’s death toll as a result of the virus was 2,447.</v>
      </c>
      <c r="C184" s="1" t="str">
        <f>IFERROR(__xludf.DUMMYFUNCTION("""COMPUTED_VALUE"""),"NBC News")</f>
        <v>NBC News</v>
      </c>
      <c r="D184" s="3" t="str">
        <f>IFERROR(__xludf.DUMMYFUNCTION("""COMPUTED_VALUE"""),"https://www.nbcnews.com/health/health-news/coronavirus-timeline-tracking-critical-moments-covid-19-n1154341")</f>
        <v>https://www.nbcnews.com/health/health-news/coronavirus-timeline-tracking-critical-moments-covid-19-n1154341</v>
      </c>
      <c r="E184" s="1"/>
      <c r="F184" s="1"/>
      <c r="G184" s="1"/>
      <c r="H184" s="1"/>
      <c r="I184" s="1"/>
    </row>
    <row r="185">
      <c r="A185" s="2">
        <f>IFERROR(__xludf.DUMMYFUNCTION("""COMPUTED_VALUE"""),43982.0)</f>
        <v>43982</v>
      </c>
      <c r="B185" s="1" t="str">
        <f>IFERROR(__xludf.DUMMYFUNCTION("""COMPUTED_VALUE"""),"South Korea reported 27 new cases, 21 of which were recorded in the densely-populated Seoul metropolitan area where officials have been working to stem transmissions linked to nightclub-goers and warehouse workers.")</f>
        <v>South Korea reported 27 new cases, 21 of which were recorded in the densely-populated Seoul metropolitan area where officials have been working to stem transmissions linked to nightclub-goers and warehouse workers.</v>
      </c>
      <c r="C185" s="1" t="str">
        <f>IFERROR(__xludf.DUMMYFUNCTION("""COMPUTED_VALUE"""),"NBC News")</f>
        <v>NBC News</v>
      </c>
      <c r="D185" s="3" t="str">
        <f>IFERROR(__xludf.DUMMYFUNCTION("""COMPUTED_VALUE"""),"https://www.nbcnews.com/health/health-news/coronavirus-timeline-tracking-critical-moments-covid-19-n1154341")</f>
        <v>https://www.nbcnews.com/health/health-news/coronavirus-timeline-tracking-critical-moments-covid-19-n1154341</v>
      </c>
      <c r="E185" s="1"/>
      <c r="F185" s="1"/>
      <c r="G185" s="1"/>
      <c r="H185" s="1"/>
      <c r="I185" s="1"/>
    </row>
    <row r="186">
      <c r="A186" s="2">
        <f>IFERROR(__xludf.DUMMYFUNCTION("""COMPUTED_VALUE"""),43983.0)</f>
        <v>43983</v>
      </c>
      <c r="B186" s="1" t="str">
        <f>IFERROR(__xludf.DUMMYFUNCTION("""COMPUTED_VALUE"""),"Russia recorded more than 400,000 total coronavirus infections — with only Brazil and the U.S. recording more — as the epidemic grew in regions outside of Moscow.")</f>
        <v>Russia recorded more than 400,000 total coronavirus infections — with only Brazil and the U.S. recording more — as the epidemic grew in regions outside of Moscow.</v>
      </c>
      <c r="C186" s="1" t="str">
        <f>IFERROR(__xludf.DUMMYFUNCTION("""COMPUTED_VALUE"""),"NBC News")</f>
        <v>NBC News</v>
      </c>
      <c r="D186" s="3" t="str">
        <f>IFERROR(__xludf.DUMMYFUNCTION("""COMPUTED_VALUE"""),"https://www.nbcnews.com/health/health-news/coronavirus-timeline-tracking-critical-moments-covid-19-n1154341")</f>
        <v>https://www.nbcnews.com/health/health-news/coronavirus-timeline-tracking-critical-moments-covid-19-n1154341</v>
      </c>
      <c r="E186" s="1"/>
      <c r="F186" s="1"/>
      <c r="G186" s="1"/>
      <c r="H186" s="1"/>
      <c r="I186" s="1"/>
    </row>
    <row r="187">
      <c r="A187" s="2">
        <f>IFERROR(__xludf.DUMMYFUNCTION("""COMPUTED_VALUE"""),43983.0)</f>
        <v>43983</v>
      </c>
      <c r="B187" s="1" t="str">
        <f>IFERROR(__xludf.DUMMYFUNCTION("""COMPUTED_VALUE"""),"China said the United States was ""addicted to quitting"" following a U.S. decision to leave the World Health Organization and added that the withdrawal reveals a pursuit of power politics and unilateralism.")</f>
        <v>China said the United States was "addicted to quitting" following a U.S. decision to leave the World Health Organization and added that the withdrawal reveals a pursuit of power politics and unilateralism.</v>
      </c>
      <c r="C187" s="1" t="str">
        <f>IFERROR(__xludf.DUMMYFUNCTION("""COMPUTED_VALUE"""),"NBC News")</f>
        <v>NBC News</v>
      </c>
      <c r="D187" s="3" t="str">
        <f>IFERROR(__xludf.DUMMYFUNCTION("""COMPUTED_VALUE"""),"https://www.nbcnews.com/health/health-news/coronavirus-timeline-tracking-critical-moments-covid-19-n1154341")</f>
        <v>https://www.nbcnews.com/health/health-news/coronavirus-timeline-tracking-critical-moments-covid-19-n1154341</v>
      </c>
      <c r="E187" s="1"/>
      <c r="F187" s="1"/>
      <c r="G187" s="1"/>
      <c r="H187" s="1"/>
      <c r="I187" s="1"/>
    </row>
    <row r="188">
      <c r="A188" s="2">
        <f>IFERROR(__xludf.DUMMYFUNCTION("""COMPUTED_VALUE"""),43983.0)</f>
        <v>43983</v>
      </c>
      <c r="B188" s="1" t="str">
        <f>IFERROR(__xludf.DUMMYFUNCTION("""COMPUTED_VALUE"""),"South Africa began lifting some coronavirus lockdown restrictions as people were allowed to leave home for work, worship or shopping. Schools were due to open, but remained closed following a reversal from the Education Ministry.")</f>
        <v>South Africa began lifting some coronavirus lockdown restrictions as people were allowed to leave home for work, worship or shopping. Schools were due to open, but remained closed following a reversal from the Education Ministry.</v>
      </c>
      <c r="C188" s="1" t="str">
        <f>IFERROR(__xludf.DUMMYFUNCTION("""COMPUTED_VALUE"""),"NBC News")</f>
        <v>NBC News</v>
      </c>
      <c r="D188" s="3" t="str">
        <f>IFERROR(__xludf.DUMMYFUNCTION("""COMPUTED_VALUE"""),"https://www.nbcnews.com/health/health-news/coronavirus-timeline-tracking-critical-moments-covid-19-n1154341")</f>
        <v>https://www.nbcnews.com/health/health-news/coronavirus-timeline-tracking-critical-moments-covid-19-n1154341</v>
      </c>
      <c r="E188" s="1"/>
      <c r="F188" s="1"/>
      <c r="G188" s="1"/>
      <c r="H188" s="1"/>
      <c r="I188" s="1"/>
    </row>
    <row r="189">
      <c r="A189" s="2">
        <f>IFERROR(__xludf.DUMMYFUNCTION("""COMPUTED_VALUE"""),43983.0)</f>
        <v>43983</v>
      </c>
      <c r="B189" s="1" t="str">
        <f>IFERROR(__xludf.DUMMYFUNCTION("""COMPUTED_VALUE"""),"India's cases of coronavirus surpassed 190,000, overtaking France to become seventh highest in the world, as the government eased back on most restrictions after a two-month-long lockdown that left millions without work.")</f>
        <v>India's cases of coronavirus surpassed 190,000, overtaking France to become seventh highest in the world, as the government eased back on most restrictions after a two-month-long lockdown that left millions without work.</v>
      </c>
      <c r="C189" s="1" t="str">
        <f>IFERROR(__xludf.DUMMYFUNCTION("""COMPUTED_VALUE"""),"NBC News")</f>
        <v>NBC News</v>
      </c>
      <c r="D189" s="3" t="str">
        <f>IFERROR(__xludf.DUMMYFUNCTION("""COMPUTED_VALUE"""),"https://www.nbcnews.com/health/health-news/coronavirus-timeline-tracking-critical-moments-covid-19-n1154341")</f>
        <v>https://www.nbcnews.com/health/health-news/coronavirus-timeline-tracking-critical-moments-covid-19-n1154341</v>
      </c>
      <c r="E189" s="1"/>
      <c r="F189" s="1"/>
      <c r="G189" s="1"/>
      <c r="H189" s="1"/>
      <c r="I189" s="1"/>
    </row>
    <row r="190">
      <c r="A190" s="2">
        <f>IFERROR(__xludf.DUMMYFUNCTION("""COMPUTED_VALUE"""),43983.0)</f>
        <v>43983</v>
      </c>
      <c r="B190" s="1" t="str">
        <f>IFERROR(__xludf.DUMMYFUNCTION("""COMPUTED_VALUE"""),"Coronavirus restrictions were eased in many countries from Asia to Europe, even as U.S. protests against police brutality sparked fears of new outbreaks.")</f>
        <v>Coronavirus restrictions were eased in many countries from Asia to Europe, even as U.S. protests against police brutality sparked fears of new outbreaks.</v>
      </c>
      <c r="C190" s="1" t="str">
        <f>IFERROR(__xludf.DUMMYFUNCTION("""COMPUTED_VALUE"""),"NBC News")</f>
        <v>NBC News</v>
      </c>
      <c r="D190" s="3" t="str">
        <f>IFERROR(__xludf.DUMMYFUNCTION("""COMPUTED_VALUE"""),"https://www.nbcnews.com/health/health-news/coronavirus-timeline-tracking-critical-moments-covid-19-n1154341")</f>
        <v>https://www.nbcnews.com/health/health-news/coronavirus-timeline-tracking-critical-moments-covid-19-n1154341</v>
      </c>
      <c r="E190" s="1"/>
      <c r="F190" s="1"/>
      <c r="G190" s="1"/>
      <c r="H190" s="1"/>
      <c r="I190" s="1"/>
    </row>
    <row r="191">
      <c r="A191" s="2">
        <f>IFERROR(__xludf.DUMMYFUNCTION("""COMPUTED_VALUE"""),43983.0)</f>
        <v>43983</v>
      </c>
      <c r="B191" s="1" t="str">
        <f>IFERROR(__xludf.DUMMYFUNCTION("""COMPUTED_VALUE"""),"Gilead Sciences Inc. said its antiviral drug remdesivir showed improvement in patients with moderate COVID-19 in a late-stage study.")</f>
        <v>Gilead Sciences Inc. said its antiviral drug remdesivir showed improvement in patients with moderate COVID-19 in a late-stage study.</v>
      </c>
      <c r="C191" s="1" t="str">
        <f>IFERROR(__xludf.DUMMYFUNCTION("""COMPUTED_VALUE"""),"NBC News")</f>
        <v>NBC News</v>
      </c>
      <c r="D191" s="3" t="str">
        <f>IFERROR(__xludf.DUMMYFUNCTION("""COMPUTED_VALUE"""),"https://www.nbcnews.com/health/health-news/coronavirus-timeline-tracking-critical-moments-covid-19-n1154341")</f>
        <v>https://www.nbcnews.com/health/health-news/coronavirus-timeline-tracking-critical-moments-covid-19-n1154341</v>
      </c>
      <c r="E191" s="1"/>
      <c r="F191" s="1"/>
      <c r="G191" s="1"/>
      <c r="H191" s="1"/>
      <c r="I191" s="1"/>
    </row>
    <row r="192">
      <c r="A192" s="2">
        <f>IFERROR(__xludf.DUMMYFUNCTION("""COMPUTED_VALUE"""),43983.0)</f>
        <v>43983</v>
      </c>
      <c r="B192" s="1" t="str">
        <f>IFERROR(__xludf.DUMMYFUNCTION("""COMPUTED_VALUE"""),"Eli Lilly started the first COVID-19 antibody treatment trials in humans. The treatment uses what are known as monoclonal antibodies made from people who were sick with the coronavirus. They are meant to work as natural antibodies do in the body by blocki"&amp;"ng the virus.")</f>
        <v>Eli Lilly started the first COVID-19 antibody treatment trials in humans. The treatment uses what are known as monoclonal antibodies made from people who were sick with the coronavirus. They are meant to work as natural antibodies do in the body by blocking the virus.</v>
      </c>
      <c r="C192" s="1" t="str">
        <f>IFERROR(__xludf.DUMMYFUNCTION("""COMPUTED_VALUE"""),"NBC News")</f>
        <v>NBC News</v>
      </c>
      <c r="D192" s="3" t="str">
        <f>IFERROR(__xludf.DUMMYFUNCTION("""COMPUTED_VALUE"""),"https://www.nbcnews.com/health/health-news/coronavirus-timeline-tracking-critical-moments-covid-19-n1154341")</f>
        <v>https://www.nbcnews.com/health/health-news/coronavirus-timeline-tracking-critical-moments-covid-19-n1154341</v>
      </c>
      <c r="E192" s="1"/>
      <c r="F192" s="1"/>
      <c r="G192" s="1"/>
      <c r="H192" s="1"/>
      <c r="I192" s="1"/>
    </row>
    <row r="193">
      <c r="A193" s="2">
        <f>IFERROR(__xludf.DUMMYFUNCTION("""COMPUTED_VALUE"""),43983.0)</f>
        <v>43983</v>
      </c>
      <c r="B193" s="1" t="str">
        <f>IFERROR(__xludf.DUMMYFUNCTION("""COMPUTED_VALUE"""),"Spain reported no deaths in a 24-hour period from the new coronavirus for the first time since March.")</f>
        <v>Spain reported no deaths in a 24-hour period from the new coronavirus for the first time since March.</v>
      </c>
      <c r="C193" s="1" t="str">
        <f>IFERROR(__xludf.DUMMYFUNCTION("""COMPUTED_VALUE"""),"NBC News")</f>
        <v>NBC News</v>
      </c>
      <c r="D193" s="3" t="str">
        <f>IFERROR(__xludf.DUMMYFUNCTION("""COMPUTED_VALUE"""),"https://www.nbcnews.com/health/health-news/coronavirus-timeline-tracking-critical-moments-covid-19-n1154341")</f>
        <v>https://www.nbcnews.com/health/health-news/coronavirus-timeline-tracking-critical-moments-covid-19-n1154341</v>
      </c>
      <c r="E193" s="1"/>
      <c r="F193" s="1"/>
      <c r="G193" s="1"/>
      <c r="H193" s="1"/>
      <c r="I193" s="1"/>
    </row>
    <row r="194">
      <c r="A194" s="4">
        <f>IFERROR(__xludf.DUMMYFUNCTION("""COMPUTED_VALUE"""),43983.0)</f>
        <v>43983</v>
      </c>
      <c r="B194" s="1" t="str">
        <f>IFERROR(__xludf.DUMMYFUNCTION("""COMPUTED_VALUE"""),"The Congressional Budget Office said that the U.S. economy could be $15.7 trillion smaller over the next decade than it otherwise would have been if Congress does not mitigate the economic damage from the coronavirus.")</f>
        <v>The Congressional Budget Office said that the U.S. economy could be $15.7 trillion smaller over the next decade than it otherwise would have been if Congress does not mitigate the economic damage from the coronavirus.</v>
      </c>
      <c r="C194" s="1" t="str">
        <f>IFERROR(__xludf.DUMMYFUNCTION("""COMPUTED_VALUE"""),"NBC News")</f>
        <v>NBC News</v>
      </c>
      <c r="D194" s="3" t="str">
        <f>IFERROR(__xludf.DUMMYFUNCTION("""COMPUTED_VALUE"""),"https://www.nbcnews.com/health/health-news/coronavirus-timeline-tracking-critical-moments-covid-19-n1154341")</f>
        <v>https://www.nbcnews.com/health/health-news/coronavirus-timeline-tracking-critical-moments-covid-19-n1154341</v>
      </c>
      <c r="E194" s="1"/>
      <c r="F194" s="1"/>
      <c r="G194" s="1"/>
      <c r="H194" s="1"/>
      <c r="I194" s="1"/>
    </row>
    <row r="195">
      <c r="A195" s="4">
        <f>IFERROR(__xludf.DUMMYFUNCTION("""COMPUTED_VALUE"""),43984.0)</f>
        <v>43984</v>
      </c>
      <c r="B195" s="1" t="str">
        <f>IFERROR(__xludf.DUMMYFUNCTION("""COMPUTED_VALUE"""),"As mass protests continued across the U.S., a meta-analysis published in The Lancet found that social distancing is the most effective way to slow the spread of the coronavirus — more so than face coverings and eye protection.")</f>
        <v>As mass protests continued across the U.S., a meta-analysis published in The Lancet found that social distancing is the most effective way to slow the spread of the coronavirus — more so than face coverings and eye protection.</v>
      </c>
      <c r="C195" s="1" t="str">
        <f>IFERROR(__xludf.DUMMYFUNCTION("""COMPUTED_VALUE"""),"NBC News")</f>
        <v>NBC News</v>
      </c>
      <c r="D195" s="3" t="str">
        <f>IFERROR(__xludf.DUMMYFUNCTION("""COMPUTED_VALUE"""),"https://www.nbcnews.com/health/health-news/coronavirus-timeline-tracking-critical-moments-covid-19-n1154341")</f>
        <v>https://www.nbcnews.com/health/health-news/coronavirus-timeline-tracking-critical-moments-covid-19-n1154341</v>
      </c>
      <c r="E195" s="1"/>
      <c r="F195" s="1"/>
      <c r="G195" s="1"/>
      <c r="H195" s="1"/>
      <c r="I195" s="1"/>
    </row>
    <row r="196">
      <c r="A196" s="4">
        <f>IFERROR(__xludf.DUMMYFUNCTION("""COMPUTED_VALUE"""),43984.0)</f>
        <v>43984</v>
      </c>
      <c r="B196" s="1" t="str">
        <f>IFERROR(__xludf.DUMMYFUNCTION("""COMPUTED_VALUE"""),"Wuhan registered no new asymptomatic infections for the first time following tests of more than 60,000 people, according to the city's municipal health commission.")</f>
        <v>Wuhan registered no new asymptomatic infections for the first time following tests of more than 60,000 people, according to the city's municipal health commission.</v>
      </c>
      <c r="C196" s="1" t="str">
        <f>IFERROR(__xludf.DUMMYFUNCTION("""COMPUTED_VALUE"""),"NBC News")</f>
        <v>NBC News</v>
      </c>
      <c r="D196" s="3" t="str">
        <f>IFERROR(__xludf.DUMMYFUNCTION("""COMPUTED_VALUE"""),"https://www.nbcnews.com/health/health-news/coronavirus-timeline-tracking-critical-moments-covid-19-n1154341")</f>
        <v>https://www.nbcnews.com/health/health-news/coronavirus-timeline-tracking-critical-moments-covid-19-n1154341</v>
      </c>
      <c r="E196" s="1"/>
      <c r="F196" s="1"/>
      <c r="G196" s="1"/>
      <c r="H196" s="1"/>
      <c r="I196" s="1"/>
    </row>
    <row r="197">
      <c r="A197" s="4">
        <f>IFERROR(__xludf.DUMMYFUNCTION("""COMPUTED_VALUE"""),43984.0)</f>
        <v>43984</v>
      </c>
      <c r="B197" s="1" t="str">
        <f>IFERROR(__xludf.DUMMYFUNCTION("""COMPUTED_VALUE"""),"Confirmed coronavirus infections passed the 150,000 mark on the African continent, according to the World Health Organization. The continent’s worst affected nation was South Africa, with 35,000 cases.")</f>
        <v>Confirmed coronavirus infections passed the 150,000 mark on the African continent, according to the World Health Organization. The continent’s worst affected nation was South Africa, with 35,000 cases.</v>
      </c>
      <c r="C197" s="1" t="str">
        <f>IFERROR(__xludf.DUMMYFUNCTION("""COMPUTED_VALUE"""),"NBC News")</f>
        <v>NBC News</v>
      </c>
      <c r="D197" s="3" t="str">
        <f>IFERROR(__xludf.DUMMYFUNCTION("""COMPUTED_VALUE"""),"https://www.nbcnews.com/health/health-news/coronavirus-timeline-tracking-critical-moments-covid-19-n1154341")</f>
        <v>https://www.nbcnews.com/health/health-news/coronavirus-timeline-tracking-critical-moments-covid-19-n1154341</v>
      </c>
      <c r="E197" s="1"/>
      <c r="F197" s="1"/>
      <c r="G197" s="1"/>
      <c r="H197" s="1"/>
      <c r="I197" s="1"/>
    </row>
    <row r="198">
      <c r="A198" s="4">
        <f>IFERROR(__xludf.DUMMYFUNCTION("""COMPUTED_VALUE"""),43984.0)</f>
        <v>43984</v>
      </c>
      <c r="B198" s="1" t="str">
        <f>IFERROR(__xludf.DUMMYFUNCTION("""COMPUTED_VALUE"""),"A report from Public Health England found that black and Asian ethnic minorities in England are up to twice as likely to die after contracting COVID-19 than white British people. People of Chinese, Indian, Pakistani and Caribbean ethnicity were at between"&amp;" 10 percent to 50 percent higher risk of death, the report said.")</f>
        <v>A report from Public Health England found that black and Asian ethnic minorities in England are up to twice as likely to die after contracting COVID-19 than white British people. People of Chinese, Indian, Pakistani and Caribbean ethnicity were at between 10 percent to 50 percent higher risk of death, the report said.</v>
      </c>
      <c r="C198" s="1" t="str">
        <f>IFERROR(__xludf.DUMMYFUNCTION("""COMPUTED_VALUE"""),"NBC News")</f>
        <v>NBC News</v>
      </c>
      <c r="D198" s="3" t="str">
        <f>IFERROR(__xludf.DUMMYFUNCTION("""COMPUTED_VALUE"""),"https://www.nbcnews.com/health/health-news/coronavirus-timeline-tracking-critical-moments-covid-19-n1154341")</f>
        <v>https://www.nbcnews.com/health/health-news/coronavirus-timeline-tracking-critical-moments-covid-19-n1154341</v>
      </c>
      <c r="E198" s="1"/>
      <c r="F198" s="1"/>
      <c r="G198" s="1"/>
      <c r="H198" s="1"/>
      <c r="I198" s="1"/>
    </row>
    <row r="199">
      <c r="A199" s="4">
        <f>IFERROR(__xludf.DUMMYFUNCTION("""COMPUTED_VALUE"""),43984.0)</f>
        <v>43984</v>
      </c>
      <c r="B199" s="1" t="str">
        <f>IFERROR(__xludf.DUMMYFUNCTION("""COMPUTED_VALUE"""),"Many British lawmakers returned to parliament after the government put an end to arrangements — in place since April — that allowed them to debate and vote in a ""virtual"" parliament.")</f>
        <v>Many British lawmakers returned to parliament after the government put an end to arrangements — in place since April — that allowed them to debate and vote in a "virtual" parliament.</v>
      </c>
      <c r="C199" s="1" t="str">
        <f>IFERROR(__xludf.DUMMYFUNCTION("""COMPUTED_VALUE"""),"NBC News")</f>
        <v>NBC News</v>
      </c>
      <c r="D199" s="3" t="str">
        <f>IFERROR(__xludf.DUMMYFUNCTION("""COMPUTED_VALUE"""),"https://www.nbcnews.com/health/health-news/coronavirus-timeline-tracking-critical-moments-covid-19-n1154341")</f>
        <v>https://www.nbcnews.com/health/health-news/coronavirus-timeline-tracking-critical-moments-covid-19-n1154341</v>
      </c>
      <c r="E199" s="1"/>
      <c r="F199" s="1"/>
      <c r="G199" s="1"/>
      <c r="H199" s="1"/>
      <c r="I199" s="1"/>
    </row>
    <row r="200">
      <c r="A200" s="4">
        <f>IFERROR(__xludf.DUMMYFUNCTION("""COMPUTED_VALUE"""),43984.0)</f>
        <v>43984</v>
      </c>
      <c r="B200" s="1" t="str">
        <f>IFERROR(__xludf.DUMMYFUNCTION("""COMPUTED_VALUE"""),"Reporting by The Associated Press found that China delayed releasing the genetic map, or genome, of the coronavirus for more than a week after three different government labs had fully decoded the information. The AP found considerable frustration among W"&amp;"HO officials over not getting the information they needed early on in the outbreak to fight the spread of the deadly virus.")</f>
        <v>Reporting by The Associated Press found that China delayed releasing the genetic map, or genome, of the coronavirus for more than a week after three different government labs had fully decoded the information. The AP found considerable frustration among WHO officials over not getting the information they needed early on in the outbreak to fight the spread of the deadly virus.</v>
      </c>
      <c r="C200" s="1" t="str">
        <f>IFERROR(__xludf.DUMMYFUNCTION("""COMPUTED_VALUE"""),"NBC News")</f>
        <v>NBC News</v>
      </c>
      <c r="D200" s="3" t="str">
        <f>IFERROR(__xludf.DUMMYFUNCTION("""COMPUTED_VALUE"""),"https://www.nbcnews.com/health/health-news/coronavirus-timeline-tracking-critical-moments-covid-19-n1154341")</f>
        <v>https://www.nbcnews.com/health/health-news/coronavirus-timeline-tracking-critical-moments-covid-19-n1154341</v>
      </c>
      <c r="E200" s="1"/>
      <c r="F200" s="1"/>
      <c r="G200" s="1"/>
      <c r="H200" s="1"/>
      <c r="I200" s="1"/>
    </row>
    <row r="201">
      <c r="A201" s="4">
        <f>IFERROR(__xludf.DUMMYFUNCTION("""COMPUTED_VALUE"""),43984.0)</f>
        <v>43984</v>
      </c>
      <c r="B201" s="1" t="str">
        <f>IFERROR(__xludf.DUMMYFUNCTION("""COMPUTED_VALUE"""),"As access to COVID-19 tests ramped up in many areas across the country, some testing sites, from California to Florida, temporarily suspended operations because of violence and protests in recent days.")</f>
        <v>As access to COVID-19 tests ramped up in many areas across the country, some testing sites, from California to Florida, temporarily suspended operations because of violence and protests in recent days.</v>
      </c>
      <c r="C201" s="1" t="str">
        <f>IFERROR(__xludf.DUMMYFUNCTION("""COMPUTED_VALUE"""),"NBC News")</f>
        <v>NBC News</v>
      </c>
      <c r="D201" s="3" t="str">
        <f>IFERROR(__xludf.DUMMYFUNCTION("""COMPUTED_VALUE"""),"https://www.nbcnews.com/health/health-news/coronavirus-timeline-tracking-critical-moments-covid-19-n1154341")</f>
        <v>https://www.nbcnews.com/health/health-news/coronavirus-timeline-tracking-critical-moments-covid-19-n1154341</v>
      </c>
      <c r="E201" s="1"/>
      <c r="F201" s="1"/>
      <c r="G201" s="1"/>
      <c r="H201" s="1"/>
      <c r="I201" s="1"/>
    </row>
    <row r="202">
      <c r="A202" s="4">
        <f>IFERROR(__xludf.DUMMYFUNCTION("""COMPUTED_VALUE"""),43984.0)</f>
        <v>43984</v>
      </c>
      <c r="B202" s="1" t="str">
        <f>IFERROR(__xludf.DUMMYFUNCTION("""COMPUTED_VALUE"""),"Dr. Francis Collins, director of the National Institutes of Health, said in a blog post on the agency’s site that warmer weather is unlikely to slow or stop the spread of coronavirus.")</f>
        <v>Dr. Francis Collins, director of the National Institutes of Health, said in a blog post on the agency’s site that warmer weather is unlikely to slow or stop the spread of coronavirus.</v>
      </c>
      <c r="C202" s="1" t="str">
        <f>IFERROR(__xludf.DUMMYFUNCTION("""COMPUTED_VALUE"""),"NBC News")</f>
        <v>NBC News</v>
      </c>
      <c r="D202" s="3" t="str">
        <f>IFERROR(__xludf.DUMMYFUNCTION("""COMPUTED_VALUE"""),"https://www.nbcnews.com/health/health-news/coronavirus-timeline-tracking-critical-moments-covid-19-n1154341")</f>
        <v>https://www.nbcnews.com/health/health-news/coronavirus-timeline-tracking-critical-moments-covid-19-n1154341</v>
      </c>
      <c r="E202" s="1"/>
      <c r="F202" s="1"/>
      <c r="G202" s="1"/>
      <c r="H202" s="1"/>
      <c r="I202" s="1"/>
    </row>
    <row r="203">
      <c r="A203" s="4">
        <f>IFERROR(__xludf.DUMMYFUNCTION("""COMPUTED_VALUE"""),43984.0)</f>
        <v>43984</v>
      </c>
      <c r="B203" s="1" t="str">
        <f>IFERROR(__xludf.DUMMYFUNCTION("""COMPUTED_VALUE"""),"The Senate voted 51-40 to confirm Brian Miller, President Trump's pick to be the special inspector general for pandemic recovery. Miller, who had been working for Trump in the White House Counsel's office, was opposed by most Senate Democrats.")</f>
        <v>The Senate voted 51-40 to confirm Brian Miller, President Trump's pick to be the special inspector general for pandemic recovery. Miller, who had been working for Trump in the White House Counsel's office, was opposed by most Senate Democrats.</v>
      </c>
      <c r="C203" s="1" t="str">
        <f>IFERROR(__xludf.DUMMYFUNCTION("""COMPUTED_VALUE"""),"NBC News")</f>
        <v>NBC News</v>
      </c>
      <c r="D203" s="3" t="str">
        <f>IFERROR(__xludf.DUMMYFUNCTION("""COMPUTED_VALUE"""),"https://www.nbcnews.com/health/health-news/coronavirus-timeline-tracking-critical-moments-covid-19-n1154341")</f>
        <v>https://www.nbcnews.com/health/health-news/coronavirus-timeline-tracking-critical-moments-covid-19-n1154341</v>
      </c>
      <c r="E203" s="1"/>
      <c r="F203" s="1"/>
      <c r="G203" s="1"/>
      <c r="H203" s="1"/>
      <c r="I203" s="1"/>
    </row>
    <row r="204">
      <c r="A204" s="4">
        <f>IFERROR(__xludf.DUMMYFUNCTION("""COMPUTED_VALUE"""),43984.0)</f>
        <v>43984</v>
      </c>
      <c r="B204" s="1" t="str">
        <f>IFERROR(__xludf.DUMMYFUNCTION("""COMPUTED_VALUE"""),"President Trump said that he will be seeking another state to host the Republican National Convention because the North Carolina Gov. Roy Cooper refused to guarantee that coronavirus restrictions wouldn’t affect the party’s nominating convention.")</f>
        <v>President Trump said that he will be seeking another state to host the Republican National Convention because the North Carolina Gov. Roy Cooper refused to guarantee that coronavirus restrictions wouldn’t affect the party’s nominating convention.</v>
      </c>
      <c r="C204" s="1" t="str">
        <f>IFERROR(__xludf.DUMMYFUNCTION("""COMPUTED_VALUE"""),"NBC News")</f>
        <v>NBC News</v>
      </c>
      <c r="D204" s="3" t="str">
        <f>IFERROR(__xludf.DUMMYFUNCTION("""COMPUTED_VALUE"""),"https://www.nbcnews.com/health/health-news/coronavirus-timeline-tracking-critical-moments-covid-19-n1154341")</f>
        <v>https://www.nbcnews.com/health/health-news/coronavirus-timeline-tracking-critical-moments-covid-19-n1154341</v>
      </c>
      <c r="E204" s="1"/>
      <c r="F204" s="1"/>
      <c r="G204" s="1"/>
      <c r="H204" s="1"/>
      <c r="I204" s="1"/>
    </row>
    <row r="205">
      <c r="A205" s="4">
        <f>IFERROR(__xludf.DUMMYFUNCTION("""COMPUTED_VALUE"""),43985.0)</f>
        <v>43985</v>
      </c>
      <c r="B205" s="1" t="str">
        <f>IFERROR(__xludf.DUMMYFUNCTION("""COMPUTED_VALUE"""),"The municipal government in Mudanjiang, a city in Heilongjiang province in northeast China, said it will carry out nucleic acid testing of all of the city's 2.5 million residents. This came after Wuhan, the original center of the pandemic, finished mass t"&amp;"esting of its population.")</f>
        <v>The municipal government in Mudanjiang, a city in Heilongjiang province in northeast China, said it will carry out nucleic acid testing of all of the city's 2.5 million residents. This came after Wuhan, the original center of the pandemic, finished mass testing of its population.</v>
      </c>
      <c r="C205" s="1" t="str">
        <f>IFERROR(__xludf.DUMMYFUNCTION("""COMPUTED_VALUE"""),"NBC News")</f>
        <v>NBC News</v>
      </c>
      <c r="D205" s="3" t="str">
        <f>IFERROR(__xludf.DUMMYFUNCTION("""COMPUTED_VALUE"""),"https://www.nbcnews.com/health/health-news/coronavirus-timeline-tracking-critical-moments-covid-19-n1154341")</f>
        <v>https://www.nbcnews.com/health/health-news/coronavirus-timeline-tracking-critical-moments-covid-19-n1154341</v>
      </c>
      <c r="E205" s="1"/>
      <c r="F205" s="1"/>
      <c r="G205" s="1"/>
      <c r="H205" s="1"/>
      <c r="I205" s="1"/>
    </row>
    <row r="206">
      <c r="A206" s="4">
        <f>IFERROR(__xludf.DUMMYFUNCTION("""COMPUTED_VALUE"""),43985.0)</f>
        <v>43985</v>
      </c>
      <c r="B206" s="1" t="str">
        <f>IFERROR(__xludf.DUMMYFUNCTION("""COMPUTED_VALUE"""),"An elderly Rohingya man has become the first person to die from COVID-19 in the refugee camps in southern Bangladesh, according to the U.N. Refugee Agency. The death raised fears of a serious outbreak in refugee camps that house over a million Rohingya, a"&amp;" mostly Muslim ethnic minority group that were forced to flee a brutal military crackdown in neighbouring Myanmar.")</f>
        <v>An elderly Rohingya man has become the first person to die from COVID-19 in the refugee camps in southern Bangladesh, according to the U.N. Refugee Agency. The death raised fears of a serious outbreak in refugee camps that house over a million Rohingya, a mostly Muslim ethnic minority group that were forced to flee a brutal military crackdown in neighbouring Myanmar.</v>
      </c>
      <c r="C206" s="1" t="str">
        <f>IFERROR(__xludf.DUMMYFUNCTION("""COMPUTED_VALUE"""),"NBC News")</f>
        <v>NBC News</v>
      </c>
      <c r="D206" s="3" t="str">
        <f>IFERROR(__xludf.DUMMYFUNCTION("""COMPUTED_VALUE"""),"https://www.nbcnews.com/health/health-news/coronavirus-timeline-tracking-critical-moments-covid-19-n1154341")</f>
        <v>https://www.nbcnews.com/health/health-news/coronavirus-timeline-tracking-critical-moments-covid-19-n1154341</v>
      </c>
      <c r="E206" s="1"/>
      <c r="F206" s="1"/>
      <c r="G206" s="1"/>
      <c r="H206" s="1"/>
      <c r="I206" s="1"/>
    </row>
    <row r="207">
      <c r="A207" s="4">
        <f>IFERROR(__xludf.DUMMYFUNCTION("""COMPUTED_VALUE"""),43985.0)</f>
        <v>43985</v>
      </c>
      <c r="B207" s="1" t="str">
        <f>IFERROR(__xludf.DUMMYFUNCTION("""COMPUTED_VALUE"""),"Italy reopened its airports after two months of strict lockdown, allowing Italians to move freely between regions.")</f>
        <v>Italy reopened its airports after two months of strict lockdown, allowing Italians to move freely between regions.</v>
      </c>
      <c r="C207" s="1" t="str">
        <f>IFERROR(__xludf.DUMMYFUNCTION("""COMPUTED_VALUE"""),"NBC News")</f>
        <v>NBC News</v>
      </c>
      <c r="D207" s="3" t="str">
        <f>IFERROR(__xludf.DUMMYFUNCTION("""COMPUTED_VALUE"""),"https://www.nbcnews.com/health/health-news/coronavirus-timeline-tracking-critical-moments-covid-19-n1154341")</f>
        <v>https://www.nbcnews.com/health/health-news/coronavirus-timeline-tracking-critical-moments-covid-19-n1154341</v>
      </c>
      <c r="E207" s="1"/>
      <c r="F207" s="1"/>
      <c r="G207" s="1"/>
      <c r="H207" s="1"/>
      <c r="I207" s="1"/>
    </row>
    <row r="208">
      <c r="A208" s="4">
        <f>IFERROR(__xludf.DUMMYFUNCTION("""COMPUTED_VALUE"""),43985.0)</f>
        <v>43985</v>
      </c>
      <c r="B208" s="1" t="str">
        <f>IFERROR(__xludf.DUMMYFUNCTION("""COMPUTED_VALUE"""),"COVID-19 patients were among 100,000 people evacuated from low-lying areas as a powerful cyclone hit the west-coast Indian states of Maharashtra and Gujarat.")</f>
        <v>COVID-19 patients were among 100,000 people evacuated from low-lying areas as a powerful cyclone hit the west-coast Indian states of Maharashtra and Gujarat.</v>
      </c>
      <c r="C208" s="1" t="str">
        <f>IFERROR(__xludf.DUMMYFUNCTION("""COMPUTED_VALUE"""),"NBC News")</f>
        <v>NBC News</v>
      </c>
      <c r="D208" s="3" t="str">
        <f>IFERROR(__xludf.DUMMYFUNCTION("""COMPUTED_VALUE"""),"https://www.nbcnews.com/health/health-news/coronavirus-timeline-tracking-critical-moments-covid-19-n1154341")</f>
        <v>https://www.nbcnews.com/health/health-news/coronavirus-timeline-tracking-critical-moments-covid-19-n1154341</v>
      </c>
      <c r="E208" s="1"/>
      <c r="F208" s="1"/>
      <c r="G208" s="1"/>
      <c r="H208" s="1"/>
      <c r="I208" s="1"/>
    </row>
    <row r="209">
      <c r="A209" s="4">
        <f>IFERROR(__xludf.DUMMYFUNCTION("""COMPUTED_VALUE"""),43985.0)</f>
        <v>43985</v>
      </c>
      <c r="B209" s="1" t="str">
        <f>IFERROR(__xludf.DUMMYFUNCTION("""COMPUTED_VALUE"""),"Spain’s tourism ministry said it is working on plans to gradually open its borders to tourists from countries deemed more secure in the fight against the coronavirus, possibly starting from June 22.")</f>
        <v>Spain’s tourism ministry said it is working on plans to gradually open its borders to tourists from countries deemed more secure in the fight against the coronavirus, possibly starting from June 22.</v>
      </c>
      <c r="C209" s="1" t="str">
        <f>IFERROR(__xludf.DUMMYFUNCTION("""COMPUTED_VALUE"""),"NBC News")</f>
        <v>NBC News</v>
      </c>
      <c r="D209" s="3" t="str">
        <f>IFERROR(__xludf.DUMMYFUNCTION("""COMPUTED_VALUE"""),"https://www.nbcnews.com/health/health-news/coronavirus-timeline-tracking-critical-moments-covid-19-n1154341")</f>
        <v>https://www.nbcnews.com/health/health-news/coronavirus-timeline-tracking-critical-moments-covid-19-n1154341</v>
      </c>
      <c r="E209" s="1"/>
      <c r="F209" s="1"/>
      <c r="G209" s="1"/>
      <c r="H209" s="1"/>
      <c r="I209" s="1"/>
    </row>
    <row r="210">
      <c r="A210" s="4">
        <f>IFERROR(__xludf.DUMMYFUNCTION("""COMPUTED_VALUE"""),43985.0)</f>
        <v>43985</v>
      </c>
      <c r="B210" s="1" t="str">
        <f>IFERROR(__xludf.DUMMYFUNCTION("""COMPUTED_VALUE"""),"Germany’s Foreign Minister Heiko Maas announced that the country will lift a travel ban for European Union member states, other Schengen countries and the U.K. starting June 15.")</f>
        <v>Germany’s Foreign Minister Heiko Maas announced that the country will lift a travel ban for European Union member states, other Schengen countries and the U.K. starting June 15.</v>
      </c>
      <c r="C210" s="1" t="str">
        <f>IFERROR(__xludf.DUMMYFUNCTION("""COMPUTED_VALUE"""),"NBC News")</f>
        <v>NBC News</v>
      </c>
      <c r="D210" s="3" t="str">
        <f>IFERROR(__xludf.DUMMYFUNCTION("""COMPUTED_VALUE"""),"https://www.nbcnews.com/health/health-news/coronavirus-timeline-tracking-critical-moments-covid-19-n1154341")</f>
        <v>https://www.nbcnews.com/health/health-news/coronavirus-timeline-tracking-critical-moments-covid-19-n1154341</v>
      </c>
      <c r="E210" s="1"/>
      <c r="F210" s="1"/>
      <c r="G210" s="1"/>
      <c r="H210" s="1"/>
      <c r="I210" s="1"/>
    </row>
    <row r="211">
      <c r="A211" s="4">
        <f>IFERROR(__xludf.DUMMYFUNCTION("""COMPUTED_VALUE"""),43985.0)</f>
        <v>43985</v>
      </c>
      <c r="B211" s="1" t="str">
        <f>IFERROR(__xludf.DUMMYFUNCTION("""COMPUTED_VALUE"""),"The Department of Transportation said in a statement that it plans to ban Chinese carriers from flying passengers to the U.S, after Beijing declined to increase the number of flights it allows to the United States.")</f>
        <v>The Department of Transportation said in a statement that it plans to ban Chinese carriers from flying passengers to the U.S, after Beijing declined to increase the number of flights it allows to the United States.</v>
      </c>
      <c r="C211" s="1" t="str">
        <f>IFERROR(__xludf.DUMMYFUNCTION("""COMPUTED_VALUE"""),"NBC News")</f>
        <v>NBC News</v>
      </c>
      <c r="D211" s="3" t="str">
        <f>IFERROR(__xludf.DUMMYFUNCTION("""COMPUTED_VALUE"""),"https://www.nbcnews.com/health/health-news/coronavirus-timeline-tracking-critical-moments-covid-19-n1154341")</f>
        <v>https://www.nbcnews.com/health/health-news/coronavirus-timeline-tracking-critical-moments-covid-19-n1154341</v>
      </c>
      <c r="E211" s="1"/>
      <c r="F211" s="1"/>
      <c r="G211" s="1"/>
      <c r="H211" s="1"/>
      <c r="I211" s="1"/>
    </row>
    <row r="212">
      <c r="A212" s="4">
        <f>IFERROR(__xludf.DUMMYFUNCTION("""COMPUTED_VALUE"""),43985.0)</f>
        <v>43985</v>
      </c>
      <c r="B212" s="1" t="str">
        <f>IFERROR(__xludf.DUMMYFUNCTION("""COMPUTED_VALUE"""),"The Director-General of the World Health Organization said in a news briefing that the spread of COVID-19 is still escalating globally, with more than 100,000 cases reported for each of the past five days, but new cases in Europe continue to decline.")</f>
        <v>The Director-General of the World Health Organization said in a news briefing that the spread of COVID-19 is still escalating globally, with more than 100,000 cases reported for each of the past five days, but new cases in Europe continue to decline.</v>
      </c>
      <c r="C212" s="1" t="str">
        <f>IFERROR(__xludf.DUMMYFUNCTION("""COMPUTED_VALUE"""),"NBC News")</f>
        <v>NBC News</v>
      </c>
      <c r="D212" s="3" t="str">
        <f>IFERROR(__xludf.DUMMYFUNCTION("""COMPUTED_VALUE"""),"https://www.nbcnews.com/health/health-news/coronavirus-timeline-tracking-critical-moments-covid-19-n1154341")</f>
        <v>https://www.nbcnews.com/health/health-news/coronavirus-timeline-tracking-critical-moments-covid-19-n1154341</v>
      </c>
      <c r="E212" s="1"/>
      <c r="F212" s="1"/>
      <c r="G212" s="1"/>
      <c r="H212" s="1"/>
      <c r="I212" s="1"/>
    </row>
    <row r="213">
      <c r="A213" s="4">
        <f>IFERROR(__xludf.DUMMYFUNCTION("""COMPUTED_VALUE"""),43985.0)</f>
        <v>43985</v>
      </c>
      <c r="B213" s="1" t="str">
        <f>IFERROR(__xludf.DUMMYFUNCTION("""COMPUTED_VALUE"""),"Organizers of the country’s largest annual technology trade show, CES, said the convention is still on track to be held in Las Vegas in January. The group said it will expand its selection of livestreamed CES content and roll out new cleaning and social d"&amp;"istancing practices.")</f>
        <v>Organizers of the country’s largest annual technology trade show, CES, said the convention is still on track to be held in Las Vegas in January. The group said it will expand its selection of livestreamed CES content and roll out new cleaning and social distancing practices.</v>
      </c>
      <c r="C213" s="1" t="str">
        <f>IFERROR(__xludf.DUMMYFUNCTION("""COMPUTED_VALUE"""),"NBC News")</f>
        <v>NBC News</v>
      </c>
      <c r="D213" s="3" t="str">
        <f>IFERROR(__xludf.DUMMYFUNCTION("""COMPUTED_VALUE"""),"https://www.nbcnews.com/health/health-news/coronavirus-timeline-tracking-critical-moments-covid-19-n1154341")</f>
        <v>https://www.nbcnews.com/health/health-news/coronavirus-timeline-tracking-critical-moments-covid-19-n1154341</v>
      </c>
      <c r="E213" s="1"/>
      <c r="F213" s="1"/>
      <c r="G213" s="1"/>
      <c r="H213" s="1"/>
      <c r="I213" s="1"/>
    </row>
    <row r="214">
      <c r="A214" s="4">
        <f>IFERROR(__xludf.DUMMYFUNCTION("""COMPUTED_VALUE"""),43985.0)</f>
        <v>43985</v>
      </c>
      <c r="B214" s="1" t="str">
        <f>IFERROR(__xludf.DUMMYFUNCTION("""COMPUTED_VALUE"""),"Two Yomuiri Giants players tested positive for coronavirus, forcing the famed Japanese baseball team to cancel a preseason game.")</f>
        <v>Two Yomuiri Giants players tested positive for coronavirus, forcing the famed Japanese baseball team to cancel a preseason game.</v>
      </c>
      <c r="C214" s="1" t="str">
        <f>IFERROR(__xludf.DUMMYFUNCTION("""COMPUTED_VALUE"""),"NBC News")</f>
        <v>NBC News</v>
      </c>
      <c r="D214" s="3" t="str">
        <f>IFERROR(__xludf.DUMMYFUNCTION("""COMPUTED_VALUE"""),"https://www.nbcnews.com/health/health-news/coronavirus-timeline-tracking-critical-moments-covid-19-n1154341")</f>
        <v>https://www.nbcnews.com/health/health-news/coronavirus-timeline-tracking-critical-moments-covid-19-n1154341</v>
      </c>
      <c r="E214" s="1"/>
      <c r="F214" s="1"/>
      <c r="G214" s="1"/>
      <c r="H214" s="1"/>
      <c r="I214" s="1"/>
    </row>
    <row r="215">
      <c r="A215" s="4">
        <f>IFERROR(__xludf.DUMMYFUNCTION("""COMPUTED_VALUE"""),43985.0)</f>
        <v>43985</v>
      </c>
      <c r="B215" s="1" t="str">
        <f>IFERROR(__xludf.DUMMYFUNCTION("""COMPUTED_VALUE"""),"New research from the University of Minnesota Medical School found that hydroxychloroquine was no better than a placebo at preventing symptoms of COVID-19 among people exposed to the virus.")</f>
        <v>New research from the University of Minnesota Medical School found that hydroxychloroquine was no better than a placebo at preventing symptoms of COVID-19 among people exposed to the virus.</v>
      </c>
      <c r="C215" s="1" t="str">
        <f>IFERROR(__xludf.DUMMYFUNCTION("""COMPUTED_VALUE"""),"NBC News")</f>
        <v>NBC News</v>
      </c>
      <c r="D215" s="3" t="str">
        <f>IFERROR(__xludf.DUMMYFUNCTION("""COMPUTED_VALUE"""),"https://www.nbcnews.com/health/health-news/coronavirus-timeline-tracking-critical-moments-covid-19-n1154341")</f>
        <v>https://www.nbcnews.com/health/health-news/coronavirus-timeline-tracking-critical-moments-covid-19-n1154341</v>
      </c>
      <c r="E215" s="1"/>
      <c r="F215" s="1"/>
      <c r="G215" s="1"/>
      <c r="H215" s="1"/>
      <c r="I215" s="1"/>
    </row>
    <row r="216">
      <c r="A216" s="4">
        <f>IFERROR(__xludf.DUMMYFUNCTION("""COMPUTED_VALUE"""),43985.0)</f>
        <v>43985</v>
      </c>
      <c r="B216" s="1" t="str">
        <f>IFERROR(__xludf.DUMMYFUNCTION("""COMPUTED_VALUE"""),"An autopsy found that George Floyd, who died during an arrest in Minneapolis on May 25, had coronavirus.")</f>
        <v>An autopsy found that George Floyd, who died during an arrest in Minneapolis on May 25, had coronavirus.</v>
      </c>
      <c r="C216" s="1" t="str">
        <f>IFERROR(__xludf.DUMMYFUNCTION("""COMPUTED_VALUE"""),"NBC News")</f>
        <v>NBC News</v>
      </c>
      <c r="D216" s="3" t="str">
        <f>IFERROR(__xludf.DUMMYFUNCTION("""COMPUTED_VALUE"""),"https://www.nbcnews.com/health/health-news/coronavirus-timeline-tracking-critical-moments-covid-19-n1154341")</f>
        <v>https://www.nbcnews.com/health/health-news/coronavirus-timeline-tracking-critical-moments-covid-19-n1154341</v>
      </c>
      <c r="E216" s="1"/>
      <c r="F216" s="1"/>
      <c r="G216" s="1"/>
      <c r="H216" s="1"/>
      <c r="I216" s="1"/>
    </row>
    <row r="217">
      <c r="A217" s="4">
        <f>IFERROR(__xludf.DUMMYFUNCTION("""COMPUTED_VALUE"""),43985.0)</f>
        <v>43985</v>
      </c>
      <c r="B217" s="1" t="str">
        <f>IFERROR(__xludf.DUMMYFUNCTION("""COMPUTED_VALUE"""),"The GOP-controlled Senate unanimously passed a bill that seeks to fix the Paycheck Protection Program, which provides direct relief to small businesses amid the coronavirus pandemic.")</f>
        <v>The GOP-controlled Senate unanimously passed a bill that seeks to fix the Paycheck Protection Program, which provides direct relief to small businesses amid the coronavirus pandemic.</v>
      </c>
      <c r="C217" s="1" t="str">
        <f>IFERROR(__xludf.DUMMYFUNCTION("""COMPUTED_VALUE"""),"NBC News")</f>
        <v>NBC News</v>
      </c>
      <c r="D217" s="3" t="str">
        <f>IFERROR(__xludf.DUMMYFUNCTION("""COMPUTED_VALUE"""),"https://www.nbcnews.com/health/health-news/coronavirus-timeline-tracking-critical-moments-covid-19-n1154341")</f>
        <v>https://www.nbcnews.com/health/health-news/coronavirus-timeline-tracking-critical-moments-covid-19-n1154341</v>
      </c>
      <c r="E217" s="1"/>
      <c r="F217" s="1"/>
      <c r="G217" s="1"/>
      <c r="H217" s="1"/>
      <c r="I217" s="1"/>
    </row>
    <row r="218">
      <c r="A218" s="4">
        <f>IFERROR(__xludf.DUMMYFUNCTION("""COMPUTED_VALUE"""),43986.0)</f>
        <v>43986</v>
      </c>
      <c r="B218" s="1" t="str">
        <f>IFERROR(__xludf.DUMMYFUNCTION("""COMPUTED_VALUE"""),"Spain’s tourism minister Reyes Maroto announced that the country's land borders with neighbors France and Portugal will be reopened June 22.")</f>
        <v>Spain’s tourism minister Reyes Maroto announced that the country's land borders with neighbors France and Portugal will be reopened June 22.</v>
      </c>
      <c r="C218" s="1" t="str">
        <f>IFERROR(__xludf.DUMMYFUNCTION("""COMPUTED_VALUE"""),"NBC News")</f>
        <v>NBC News</v>
      </c>
      <c r="D218" s="3" t="str">
        <f>IFERROR(__xludf.DUMMYFUNCTION("""COMPUTED_VALUE"""),"https://www.nbcnews.com/health/health-news/coronavirus-timeline-tracking-critical-moments-covid-19-n1154341")</f>
        <v>https://www.nbcnews.com/health/health-news/coronavirus-timeline-tracking-critical-moments-covid-19-n1154341</v>
      </c>
      <c r="E218" s="1"/>
      <c r="F218" s="1"/>
      <c r="G218" s="1"/>
      <c r="H218" s="1"/>
      <c r="I218" s="1"/>
    </row>
    <row r="219">
      <c r="A219" s="4">
        <f>IFERROR(__xludf.DUMMYFUNCTION("""COMPUTED_VALUE"""),43986.0)</f>
        <v>43986</v>
      </c>
      <c r="B219" s="1" t="str">
        <f>IFERROR(__xludf.DUMMYFUNCTION("""COMPUTED_VALUE"""),"Israel's Parliament, the Knesset, was suspended after a lawmaker confirmed he had tested positive for the coronavirus. All 120 lawmakers and Knesset staff were told to stay at home.")</f>
        <v>Israel's Parliament, the Knesset, was suspended after a lawmaker confirmed he had tested positive for the coronavirus. All 120 lawmakers and Knesset staff were told to stay at home.</v>
      </c>
      <c r="C219" s="1" t="str">
        <f>IFERROR(__xludf.DUMMYFUNCTION("""COMPUTED_VALUE"""),"NBC News")</f>
        <v>NBC News</v>
      </c>
      <c r="D219" s="3" t="str">
        <f>IFERROR(__xludf.DUMMYFUNCTION("""COMPUTED_VALUE"""),"https://www.nbcnews.com/health/health-news/coronavirus-timeline-tracking-critical-moments-covid-19-n1154341")</f>
        <v>https://www.nbcnews.com/health/health-news/coronavirus-timeline-tracking-critical-moments-covid-19-n1154341</v>
      </c>
      <c r="E219" s="1"/>
      <c r="F219" s="1"/>
      <c r="G219" s="1"/>
      <c r="H219" s="1"/>
      <c r="I219" s="1"/>
    </row>
    <row r="220">
      <c r="A220" s="4">
        <f>IFERROR(__xludf.DUMMYFUNCTION("""COMPUTED_VALUE"""),43986.0)</f>
        <v>43986</v>
      </c>
      <c r="B220" s="1" t="str">
        <f>IFERROR(__xludf.DUMMYFUNCTION("""COMPUTED_VALUE"""),"Authorities in Norway turned down applications to hold rallies in the country’s three largest cities in support of protesters in the U.S. over the death of George Floyd, citing the coronavirus restrictions on gatherings.")</f>
        <v>Authorities in Norway turned down applications to hold rallies in the country’s three largest cities in support of protesters in the U.S. over the death of George Floyd, citing the coronavirus restrictions on gatherings.</v>
      </c>
      <c r="C220" s="1" t="str">
        <f>IFERROR(__xludf.DUMMYFUNCTION("""COMPUTED_VALUE"""),"NBC News")</f>
        <v>NBC News</v>
      </c>
      <c r="D220" s="3" t="str">
        <f>IFERROR(__xludf.DUMMYFUNCTION("""COMPUTED_VALUE"""),"https://www.nbcnews.com/health/health-news/coronavirus-timeline-tracking-critical-moments-covid-19-n1154341")</f>
        <v>https://www.nbcnews.com/health/health-news/coronavirus-timeline-tracking-critical-moments-covid-19-n1154341</v>
      </c>
      <c r="E220" s="1"/>
      <c r="F220" s="1"/>
      <c r="G220" s="1"/>
      <c r="H220" s="1"/>
      <c r="I220" s="1"/>
    </row>
    <row r="221">
      <c r="A221" s="4">
        <f>IFERROR(__xludf.DUMMYFUNCTION("""COMPUTED_VALUE"""),43986.0)</f>
        <v>43986</v>
      </c>
      <c r="B221" s="1" t="str">
        <f>IFERROR(__xludf.DUMMYFUNCTION("""COMPUTED_VALUE"""),"New figures from the Department of Labor showed that around 1.8 million Americans filed for first-time jobless benefits last week, hinting that the worst could be over for the labor market.")</f>
        <v>New figures from the Department of Labor showed that around 1.8 million Americans filed for first-time jobless benefits last week, hinting that the worst could be over for the labor market.</v>
      </c>
      <c r="C221" s="1" t="str">
        <f>IFERROR(__xludf.DUMMYFUNCTION("""COMPUTED_VALUE"""),"NBC News")</f>
        <v>NBC News</v>
      </c>
      <c r="D221" s="3" t="str">
        <f>IFERROR(__xludf.DUMMYFUNCTION("""COMPUTED_VALUE"""),"https://www.nbcnews.com/health/health-news/coronavirus-timeline-tracking-critical-moments-covid-19-n1154341")</f>
        <v>https://www.nbcnews.com/health/health-news/coronavirus-timeline-tracking-critical-moments-covid-19-n1154341</v>
      </c>
      <c r="E221" s="1"/>
      <c r="F221" s="1"/>
      <c r="G221" s="1"/>
      <c r="H221" s="1"/>
      <c r="I221" s="1"/>
    </row>
    <row r="222">
      <c r="A222" s="4">
        <f>IFERROR(__xludf.DUMMYFUNCTION("""COMPUTED_VALUE"""),43986.0)</f>
        <v>43986</v>
      </c>
      <c r="B222" s="1" t="str">
        <f>IFERROR(__xludf.DUMMYFUNCTION("""COMPUTED_VALUE"""),"Iran reported over 3,000 new cases of coronavirus in each of the past two days, raising fears about a second spike.")</f>
        <v>Iran reported over 3,000 new cases of coronavirus in each of the past two days, raising fears about a second spike.</v>
      </c>
      <c r="C222" s="1" t="str">
        <f>IFERROR(__xludf.DUMMYFUNCTION("""COMPUTED_VALUE"""),"NBC News")</f>
        <v>NBC News</v>
      </c>
      <c r="D222" s="3" t="str">
        <f>IFERROR(__xludf.DUMMYFUNCTION("""COMPUTED_VALUE"""),"https://www.nbcnews.com/health/health-news/coronavirus-timeline-tracking-critical-moments-covid-19-n1154341")</f>
        <v>https://www.nbcnews.com/health/health-news/coronavirus-timeline-tracking-critical-moments-covid-19-n1154341</v>
      </c>
      <c r="E222" s="1"/>
      <c r="F222" s="1"/>
      <c r="G222" s="1"/>
      <c r="H222" s="1"/>
      <c r="I222" s="1"/>
    </row>
    <row r="223">
      <c r="A223" s="4">
        <f>IFERROR(__xludf.DUMMYFUNCTION("""COMPUTED_VALUE"""),43986.0)</f>
        <v>43986</v>
      </c>
      <c r="B223" s="1" t="str">
        <f>IFERROR(__xludf.DUMMYFUNCTION("""COMPUTED_VALUE"""),"The Bill and Melinda Gates Foundation announced that it would contribute $1.6 billion to Gavi, the Vaccine Alliance, an organization that helps provide vaccines to developing countries.")</f>
        <v>The Bill and Melinda Gates Foundation announced that it would contribute $1.6 billion to Gavi, the Vaccine Alliance, an organization that helps provide vaccines to developing countries.</v>
      </c>
      <c r="C223" s="1" t="str">
        <f>IFERROR(__xludf.DUMMYFUNCTION("""COMPUTED_VALUE"""),"NBC News")</f>
        <v>NBC News</v>
      </c>
      <c r="D223" s="3" t="str">
        <f>IFERROR(__xludf.DUMMYFUNCTION("""COMPUTED_VALUE"""),"https://www.nbcnews.com/health/health-news/coronavirus-timeline-tracking-critical-moments-covid-19-n1154341")</f>
        <v>https://www.nbcnews.com/health/health-news/coronavirus-timeline-tracking-critical-moments-covid-19-n1154341</v>
      </c>
      <c r="E223" s="1"/>
      <c r="F223" s="1"/>
      <c r="G223" s="1"/>
      <c r="H223" s="1"/>
      <c r="I223" s="1"/>
    </row>
    <row r="224">
      <c r="A224" s="4">
        <f>IFERROR(__xludf.DUMMYFUNCTION("""COMPUTED_VALUE"""),43986.0)</f>
        <v>43986</v>
      </c>
      <c r="B224" s="1" t="str">
        <f>IFERROR(__xludf.DUMMYFUNCTION("""COMPUTED_VALUE"""),"Several U.S. states across the South appeared to be grappling with upticks in infections, as Alabama, South Carolina and Virginia saw new cases climb 35 percent or more in the week that ended May 31 compared with the previous week.")</f>
        <v>Several U.S. states across the South appeared to be grappling with upticks in infections, as Alabama, South Carolina and Virginia saw new cases climb 35 percent or more in the week that ended May 31 compared with the previous week.</v>
      </c>
      <c r="C224" s="1" t="str">
        <f>IFERROR(__xludf.DUMMYFUNCTION("""COMPUTED_VALUE"""),"NBC News")</f>
        <v>NBC News</v>
      </c>
      <c r="D224" s="3" t="str">
        <f>IFERROR(__xludf.DUMMYFUNCTION("""COMPUTED_VALUE"""),"https://www.nbcnews.com/health/health-news/coronavirus-timeline-tracking-critical-moments-covid-19-n1154341")</f>
        <v>https://www.nbcnews.com/health/health-news/coronavirus-timeline-tracking-critical-moments-covid-19-n1154341</v>
      </c>
      <c r="E224" s="1"/>
      <c r="F224" s="1"/>
      <c r="G224" s="1"/>
      <c r="H224" s="1"/>
      <c r="I224" s="1"/>
    </row>
    <row r="225">
      <c r="A225" s="4">
        <f>IFERROR(__xludf.DUMMYFUNCTION("""COMPUTED_VALUE"""),43986.0)</f>
        <v>43986</v>
      </c>
      <c r="B225" s="1" t="str">
        <f>IFERROR(__xludf.DUMMYFUNCTION("""COMPUTED_VALUE"""),"The NBA approved a plan to restart the season with abbreviated competition of just 22 teams — tentatively set to begin July 31 with all games played near Orlando, Florida.")</f>
        <v>The NBA approved a plan to restart the season with abbreviated competition of just 22 teams — tentatively set to begin July 31 with all games played near Orlando, Florida.</v>
      </c>
      <c r="C225" s="1" t="str">
        <f>IFERROR(__xludf.DUMMYFUNCTION("""COMPUTED_VALUE"""),"NBC News")</f>
        <v>NBC News</v>
      </c>
      <c r="D225" s="3" t="str">
        <f>IFERROR(__xludf.DUMMYFUNCTION("""COMPUTED_VALUE"""),"https://www.nbcnews.com/health/health-news/coronavirus-timeline-tracking-critical-moments-covid-19-n1154341")</f>
        <v>https://www.nbcnews.com/health/health-news/coronavirus-timeline-tracking-critical-moments-covid-19-n1154341</v>
      </c>
      <c r="E225" s="1"/>
      <c r="F225" s="1"/>
      <c r="G225" s="1"/>
      <c r="H225" s="1"/>
      <c r="I225" s="1"/>
    </row>
    <row r="226">
      <c r="A226" s="4">
        <f>IFERROR(__xludf.DUMMYFUNCTION("""COMPUTED_VALUE"""),43986.0)</f>
        <v>43986</v>
      </c>
      <c r="B226" s="1" t="str">
        <f>IFERROR(__xludf.DUMMYFUNCTION("""COMPUTED_VALUE"""),"The medical journal The Lancet on Thursday retracted a large study on the use of hydroxychloroquine to treat COVID-19 because of potential flaws in the research data. The study, published two weeks ago, found no benefit to the drug — and suggested its use"&amp;" may even increase the risk of death.")</f>
        <v>The medical journal The Lancet on Thursday retracted a large study on the use of hydroxychloroquine to treat COVID-19 because of potential flaws in the research data. The study, published two weeks ago, found no benefit to the drug — and suggested its use may even increase the risk of death.</v>
      </c>
      <c r="C226" s="1" t="str">
        <f>IFERROR(__xludf.DUMMYFUNCTION("""COMPUTED_VALUE"""),"NBC News")</f>
        <v>NBC News</v>
      </c>
      <c r="D226" s="3" t="str">
        <f>IFERROR(__xludf.DUMMYFUNCTION("""COMPUTED_VALUE"""),"https://www.nbcnews.com/health/health-news/coronavirus-timeline-tracking-critical-moments-covid-19-n1154341")</f>
        <v>https://www.nbcnews.com/health/health-news/coronavirus-timeline-tracking-critical-moments-covid-19-n1154341</v>
      </c>
      <c r="E226" s="1"/>
      <c r="F226" s="1"/>
      <c r="G226" s="1"/>
      <c r="H226" s="1"/>
      <c r="I226" s="1"/>
    </row>
    <row r="227">
      <c r="A227" s="4">
        <f>IFERROR(__xludf.DUMMYFUNCTION("""COMPUTED_VALUE"""),43986.0)</f>
        <v>43986</v>
      </c>
      <c r="B227" s="1" t="str">
        <f>IFERROR(__xludf.DUMMYFUNCTION("""COMPUTED_VALUE"""),"The United States Department of Agriculture Farm Service Agency (FSA) issued $545 million in its first payments to farmers through the Coronavirus Food Assistance Program.")</f>
        <v>The United States Department of Agriculture Farm Service Agency (FSA) issued $545 million in its first payments to farmers through the Coronavirus Food Assistance Program.</v>
      </c>
      <c r="C227" s="1" t="str">
        <f>IFERROR(__xludf.DUMMYFUNCTION("""COMPUTED_VALUE"""),"NBC News")</f>
        <v>NBC News</v>
      </c>
      <c r="D227" s="3" t="str">
        <f>IFERROR(__xludf.DUMMYFUNCTION("""COMPUTED_VALUE"""),"https://www.nbcnews.com/health/health-news/coronavirus-timeline-tracking-critical-moments-covid-19-n1154341")</f>
        <v>https://www.nbcnews.com/health/health-news/coronavirus-timeline-tracking-critical-moments-covid-19-n1154341</v>
      </c>
      <c r="E227" s="1"/>
      <c r="F227" s="1"/>
      <c r="G227" s="1"/>
      <c r="H227" s="1"/>
      <c r="I227" s="1"/>
    </row>
    <row r="228">
      <c r="A228" s="4">
        <f>IFERROR(__xludf.DUMMYFUNCTION("""COMPUTED_VALUE"""),43986.0)</f>
        <v>43986</v>
      </c>
      <c r="B228" s="1" t="str">
        <f>IFERROR(__xludf.DUMMYFUNCTION("""COMPUTED_VALUE"""),"New York Gov. Andrew Cuomo and Minnesota Gov. Tim Walz urged protesters to get tested for COVID-19.")</f>
        <v>New York Gov. Andrew Cuomo and Minnesota Gov. Tim Walz urged protesters to get tested for COVID-19.</v>
      </c>
      <c r="C228" s="1" t="str">
        <f>IFERROR(__xludf.DUMMYFUNCTION("""COMPUTED_VALUE"""),"NBC News")</f>
        <v>NBC News</v>
      </c>
      <c r="D228" s="3" t="str">
        <f>IFERROR(__xludf.DUMMYFUNCTION("""COMPUTED_VALUE"""),"https://www.nbcnews.com/health/health-news/coronavirus-timeline-tracking-critical-moments-covid-19-n1154341")</f>
        <v>https://www.nbcnews.com/health/health-news/coronavirus-timeline-tracking-critical-moments-covid-19-n1154341</v>
      </c>
      <c r="E228" s="1"/>
      <c r="F228" s="1"/>
      <c r="G228" s="1"/>
      <c r="H228" s="1"/>
      <c r="I228" s="1"/>
    </row>
    <row r="229">
      <c r="A229" s="4">
        <f>IFERROR(__xludf.DUMMYFUNCTION("""COMPUTED_VALUE"""),43986.0)</f>
        <v>43986</v>
      </c>
      <c r="B229" s="1" t="str">
        <f>IFERROR(__xludf.DUMMYFUNCTION("""COMPUTED_VALUE"""),"The U.K. government announced that face coverings will be mandatory for all passengers using public transit in England from June 15.")</f>
        <v>The U.K. government announced that face coverings will be mandatory for all passengers using public transit in England from June 15.</v>
      </c>
      <c r="C229" s="1" t="str">
        <f>IFERROR(__xludf.DUMMYFUNCTION("""COMPUTED_VALUE"""),"NBC News")</f>
        <v>NBC News</v>
      </c>
      <c r="D229" s="3" t="str">
        <f>IFERROR(__xludf.DUMMYFUNCTION("""COMPUTED_VALUE"""),"https://www.nbcnews.com/health/health-news/coronavirus-timeline-tracking-critical-moments-covid-19-n1154341")</f>
        <v>https://www.nbcnews.com/health/health-news/coronavirus-timeline-tracking-critical-moments-covid-19-n1154341</v>
      </c>
      <c r="E229" s="1"/>
      <c r="F229" s="1"/>
      <c r="G229" s="1"/>
      <c r="H229" s="1"/>
      <c r="I229" s="1"/>
    </row>
    <row r="230">
      <c r="A230" s="4">
        <f>IFERROR(__xludf.DUMMYFUNCTION("""COMPUTED_VALUE"""),43986.0)</f>
        <v>43986</v>
      </c>
      <c r="B230" s="1" t="str">
        <f>IFERROR(__xludf.DUMMYFUNCTION("""COMPUTED_VALUE"""),"Brazil reported 1,473 new deaths from COVID-19 — the highest daily number to date — as the country's death toll reached 34,000, surpassing Italy to become the third highest in the world.")</f>
        <v>Brazil reported 1,473 new deaths from COVID-19 — the highest daily number to date — as the country's death toll reached 34,000, surpassing Italy to become the third highest in the world.</v>
      </c>
      <c r="C230" s="1" t="str">
        <f>IFERROR(__xludf.DUMMYFUNCTION("""COMPUTED_VALUE"""),"NBC News")</f>
        <v>NBC News</v>
      </c>
      <c r="D230" s="3" t="str">
        <f>IFERROR(__xludf.DUMMYFUNCTION("""COMPUTED_VALUE"""),"https://www.nbcnews.com/health/health-news/coronavirus-timeline-tracking-critical-moments-covid-19-n1154341")</f>
        <v>https://www.nbcnews.com/health/health-news/coronavirus-timeline-tracking-critical-moments-covid-19-n1154341</v>
      </c>
      <c r="E230" s="1"/>
      <c r="F230" s="1"/>
      <c r="G230" s="1"/>
      <c r="H230" s="1"/>
      <c r="I230" s="1"/>
    </row>
    <row r="231">
      <c r="A231" s="4">
        <f>IFERROR(__xludf.DUMMYFUNCTION("""COMPUTED_VALUE"""),43986.0)</f>
        <v>43986</v>
      </c>
      <c r="B231" s="1" t="str">
        <f>IFERROR(__xludf.DUMMYFUNCTION("""COMPUTED_VALUE"""),"A Tennessee judge ruled that all eligible voters in the state could apply for a mail-in ballot because of dangers posed by the coronavirus.")</f>
        <v>A Tennessee judge ruled that all eligible voters in the state could apply for a mail-in ballot because of dangers posed by the coronavirus.</v>
      </c>
      <c r="C231" s="1" t="str">
        <f>IFERROR(__xludf.DUMMYFUNCTION("""COMPUTED_VALUE"""),"NBC News")</f>
        <v>NBC News</v>
      </c>
      <c r="D231" s="3" t="str">
        <f>IFERROR(__xludf.DUMMYFUNCTION("""COMPUTED_VALUE"""),"https://www.nbcnews.com/health/health-news/coronavirus-timeline-tracking-critical-moments-covid-19-n1154341")</f>
        <v>https://www.nbcnews.com/health/health-news/coronavirus-timeline-tracking-critical-moments-covid-19-n1154341</v>
      </c>
      <c r="E231" s="1"/>
      <c r="F231" s="1"/>
      <c r="G231" s="1"/>
      <c r="H231" s="1"/>
      <c r="I231" s="1"/>
    </row>
    <row r="232">
      <c r="A232" s="4">
        <f>IFERROR(__xludf.DUMMYFUNCTION("""COMPUTED_VALUE"""),43987.0)</f>
        <v>43987</v>
      </c>
      <c r="B232" s="1" t="str">
        <f>IFERROR(__xludf.DUMMYFUNCTION("""COMPUTED_VALUE"""),"Friday prayers at mosques in countries across the Middle East were permitted, after restrictions put in place to slow the spread of the coronavirus were lifted.")</f>
        <v>Friday prayers at mosques in countries across the Middle East were permitted, after restrictions put in place to slow the spread of the coronavirus were lifted.</v>
      </c>
      <c r="C232" s="1" t="str">
        <f>IFERROR(__xludf.DUMMYFUNCTION("""COMPUTED_VALUE"""),"NBC News")</f>
        <v>NBC News</v>
      </c>
      <c r="D232" s="3" t="str">
        <f>IFERROR(__xludf.DUMMYFUNCTION("""COMPUTED_VALUE"""),"https://www.nbcnews.com/health/health-news/coronavirus-timeline-tracking-critical-moments-covid-19-n1154341")</f>
        <v>https://www.nbcnews.com/health/health-news/coronavirus-timeline-tracking-critical-moments-covid-19-n1154341</v>
      </c>
      <c r="E232" s="1"/>
      <c r="F232" s="1"/>
      <c r="G232" s="1"/>
      <c r="H232" s="1"/>
      <c r="I232" s="1"/>
    </row>
    <row r="233">
      <c r="A233" s="4">
        <f>IFERROR(__xludf.DUMMYFUNCTION("""COMPUTED_VALUE"""),43987.0)</f>
        <v>43987</v>
      </c>
      <c r="B233" s="1" t="str">
        <f>IFERROR(__xludf.DUMMYFUNCTION("""COMPUTED_VALUE"""),"Israel was forced to close 87 schools and kindergartens, shortly after reopening, after 300 staff and students tested positive for the coronavirus.")</f>
        <v>Israel was forced to close 87 schools and kindergartens, shortly after reopening, after 300 staff and students tested positive for the coronavirus.</v>
      </c>
      <c r="C233" s="1" t="str">
        <f>IFERROR(__xludf.DUMMYFUNCTION("""COMPUTED_VALUE"""),"NBC News")</f>
        <v>NBC News</v>
      </c>
      <c r="D233" s="3" t="str">
        <f>IFERROR(__xludf.DUMMYFUNCTION("""COMPUTED_VALUE"""),"https://www.nbcnews.com/health/health-news/coronavirus-timeline-tracking-critical-moments-covid-19-n1154341")</f>
        <v>https://www.nbcnews.com/health/health-news/coronavirus-timeline-tracking-critical-moments-covid-19-n1154341</v>
      </c>
      <c r="E233" s="1"/>
      <c r="F233" s="1"/>
      <c r="G233" s="1"/>
      <c r="H233" s="1"/>
      <c r="I233" s="1"/>
    </row>
    <row r="234">
      <c r="A234" s="4">
        <f>IFERROR(__xludf.DUMMYFUNCTION("""COMPUTED_VALUE"""),43987.0)</f>
        <v>43987</v>
      </c>
      <c r="B234" s="1" t="str">
        <f>IFERROR(__xludf.DUMMYFUNCTION("""COMPUTED_VALUE"""),"The Paris police banned two rallies meant to take place over the weekend outside the U.S. Embassy, citing restrictions on large gatherings in place to stop the coronavirus pandemic.")</f>
        <v>The Paris police banned two rallies meant to take place over the weekend outside the U.S. Embassy, citing restrictions on large gatherings in place to stop the coronavirus pandemic.</v>
      </c>
      <c r="C234" s="1" t="str">
        <f>IFERROR(__xludf.DUMMYFUNCTION("""COMPUTED_VALUE"""),"NBC News")</f>
        <v>NBC News</v>
      </c>
      <c r="D234" s="3" t="str">
        <f>IFERROR(__xludf.DUMMYFUNCTION("""COMPUTED_VALUE"""),"https://www.nbcnews.com/health/health-news/coronavirus-timeline-tracking-critical-moments-covid-19-n1154341")</f>
        <v>https://www.nbcnews.com/health/health-news/coronavirus-timeline-tracking-critical-moments-covid-19-n1154341</v>
      </c>
      <c r="E234" s="1"/>
      <c r="F234" s="1"/>
      <c r="G234" s="1"/>
      <c r="H234" s="1"/>
      <c r="I234" s="1"/>
    </row>
    <row r="235">
      <c r="A235" s="4">
        <f>IFERROR(__xludf.DUMMYFUNCTION("""COMPUTED_VALUE"""),43987.0)</f>
        <v>43987</v>
      </c>
      <c r="B235" s="1" t="str">
        <f>IFERROR(__xludf.DUMMYFUNCTION("""COMPUTED_VALUE"""),"The Bureau of Labor Statistics released new figures showing that the U.S. economy gained 2.5 million jobs in May and the unemployment rate dropped to 13.3 percent, down from 14.7 percent in April. Black unemployment rose to 16.8 percent, up slightly from "&amp;"16.7 last month, white unemployment came in at 12.4 percent, down from 14.9 percent.")</f>
        <v>The Bureau of Labor Statistics released new figures showing that the U.S. economy gained 2.5 million jobs in May and the unemployment rate dropped to 13.3 percent, down from 14.7 percent in April. Black unemployment rose to 16.8 percent, up slightly from 16.7 last month, white unemployment came in at 12.4 percent, down from 14.9 percent.</v>
      </c>
      <c r="C235" s="1" t="str">
        <f>IFERROR(__xludf.DUMMYFUNCTION("""COMPUTED_VALUE"""),"NBC News")</f>
        <v>NBC News</v>
      </c>
      <c r="D235" s="3" t="str">
        <f>IFERROR(__xludf.DUMMYFUNCTION("""COMPUTED_VALUE"""),"https://www.nbcnews.com/health/health-news/coronavirus-timeline-tracking-critical-moments-covid-19-n1154341")</f>
        <v>https://www.nbcnews.com/health/health-news/coronavirus-timeline-tracking-critical-moments-covid-19-n1154341</v>
      </c>
      <c r="E235" s="1"/>
      <c r="F235" s="1"/>
      <c r="G235" s="1"/>
      <c r="H235" s="1"/>
      <c r="I235" s="1"/>
    </row>
    <row r="236">
      <c r="A236" s="4">
        <f>IFERROR(__xludf.DUMMYFUNCTION("""COMPUTED_VALUE"""),43987.0)</f>
        <v>43987</v>
      </c>
      <c r="B236" s="1" t="str">
        <f>IFERROR(__xludf.DUMMYFUNCTION("""COMPUTED_VALUE"""),"Michigan Gov. Gretchen Whitmer signed executive orders to reopen more regions of the state. The executive orders state that much of northern Michigan and all of the state's Upper Peninsula can reopen salons, movie theaters and gyms starting on June 10.")</f>
        <v>Michigan Gov. Gretchen Whitmer signed executive orders to reopen more regions of the state. The executive orders state that much of northern Michigan and all of the state's Upper Peninsula can reopen salons, movie theaters and gyms starting on June 10.</v>
      </c>
      <c r="C236" s="1" t="str">
        <f>IFERROR(__xludf.DUMMYFUNCTION("""COMPUTED_VALUE"""),"NBC News")</f>
        <v>NBC News</v>
      </c>
      <c r="D236" s="3" t="str">
        <f>IFERROR(__xludf.DUMMYFUNCTION("""COMPUTED_VALUE"""),"https://www.nbcnews.com/health/health-news/coronavirus-timeline-tracking-critical-moments-covid-19-n1154341")</f>
        <v>https://www.nbcnews.com/health/health-news/coronavirus-timeline-tracking-critical-moments-covid-19-n1154341</v>
      </c>
      <c r="E236" s="1"/>
      <c r="F236" s="1"/>
      <c r="G236" s="1"/>
      <c r="H236" s="1"/>
      <c r="I236" s="1"/>
    </row>
    <row r="237">
      <c r="A237" s="4">
        <f>IFERROR(__xludf.DUMMYFUNCTION("""COMPUTED_VALUE"""),43987.0)</f>
        <v>43987</v>
      </c>
      <c r="B237" s="1" t="str">
        <f>IFERROR(__xludf.DUMMYFUNCTION("""COMPUTED_VALUE"""),"Florida's health department announced 1,305 new COVID-19 cases, bringing the statewide total to 61,488.")</f>
        <v>Florida's health department announced 1,305 new COVID-19 cases, bringing the statewide total to 61,488.</v>
      </c>
      <c r="C237" s="1" t="str">
        <f>IFERROR(__xludf.DUMMYFUNCTION("""COMPUTED_VALUE"""),"NBC News")</f>
        <v>NBC News</v>
      </c>
      <c r="D237" s="3" t="str">
        <f>IFERROR(__xludf.DUMMYFUNCTION("""COMPUTED_VALUE"""),"https://www.nbcnews.com/health/health-news/coronavirus-timeline-tracking-critical-moments-covid-19-n1154341")</f>
        <v>https://www.nbcnews.com/health/health-news/coronavirus-timeline-tracking-critical-moments-covid-19-n1154341</v>
      </c>
      <c r="E237" s="1"/>
      <c r="F237" s="1"/>
      <c r="G237" s="1"/>
      <c r="H237" s="1"/>
      <c r="I237" s="1"/>
    </row>
    <row r="238">
      <c r="A238" s="4">
        <f>IFERROR(__xludf.DUMMYFUNCTION("""COMPUTED_VALUE"""),43987.0)</f>
        <v>43987</v>
      </c>
      <c r="B238" s="1" t="str">
        <f>IFERROR(__xludf.DUMMYFUNCTION("""COMPUTED_VALUE"""),"A report published by the Centers for Disease Control and Prevention found that people are engaging in extremely dangerous behaviors — including gargling with bleach — in an effort to prevent COVID-19.")</f>
        <v>A report published by the Centers for Disease Control and Prevention found that people are engaging in extremely dangerous behaviors — including gargling with bleach — in an effort to prevent COVID-19.</v>
      </c>
      <c r="C238" s="1" t="str">
        <f>IFERROR(__xludf.DUMMYFUNCTION("""COMPUTED_VALUE"""),"NBC News")</f>
        <v>NBC News</v>
      </c>
      <c r="D238" s="3" t="str">
        <f>IFERROR(__xludf.DUMMYFUNCTION("""COMPUTED_VALUE"""),"https://www.nbcnews.com/health/health-news/coronavirus-timeline-tracking-critical-moments-covid-19-n1154341")</f>
        <v>https://www.nbcnews.com/health/health-news/coronavirus-timeline-tracking-critical-moments-covid-19-n1154341</v>
      </c>
      <c r="E238" s="1"/>
      <c r="F238" s="1"/>
      <c r="G238" s="1"/>
      <c r="H238" s="1"/>
      <c r="I238" s="1"/>
    </row>
    <row r="239">
      <c r="A239" s="4">
        <f>IFERROR(__xludf.DUMMYFUNCTION("""COMPUTED_VALUE"""),43987.0)</f>
        <v>43987</v>
      </c>
      <c r="B239" s="1" t="str">
        <f>IFERROR(__xludf.DUMMYFUNCTION("""COMPUTED_VALUE"""),"The World Health Organization broadened its recommendations for the use of masks during the coronavirus pandemic and said it is now advising that in areas where the virus is spreading, people should wear fabric masks when social distancing is not possible"&amp;", such as on public transportation and in shops.")</f>
        <v>The World Health Organization broadened its recommendations for the use of masks during the coronavirus pandemic and said it is now advising that in areas where the virus is spreading, people should wear fabric masks when social distancing is not possible, such as on public transportation and in shops.</v>
      </c>
      <c r="C239" s="1" t="str">
        <f>IFERROR(__xludf.DUMMYFUNCTION("""COMPUTED_VALUE"""),"NBC News")</f>
        <v>NBC News</v>
      </c>
      <c r="D239" s="3" t="str">
        <f>IFERROR(__xludf.DUMMYFUNCTION("""COMPUTED_VALUE"""),"https://www.nbcnews.com/health/health-news/coronavirus-timeline-tracking-critical-moments-covid-19-n1154341")</f>
        <v>https://www.nbcnews.com/health/health-news/coronavirus-timeline-tracking-critical-moments-covid-19-n1154341</v>
      </c>
      <c r="E239" s="1"/>
      <c r="F239" s="1"/>
      <c r="G239" s="1"/>
      <c r="H239" s="1"/>
      <c r="I239" s="1"/>
    </row>
    <row r="240">
      <c r="A240" s="4">
        <f>IFERROR(__xludf.DUMMYFUNCTION("""COMPUTED_VALUE"""),43987.0)</f>
        <v>43987</v>
      </c>
      <c r="B240" s="1" t="str">
        <f>IFERROR(__xludf.DUMMYFUNCTION("""COMPUTED_VALUE"""),"Ohio Gov. Mike DeWine announced that a PGA Tour event, the Memorial Tournament, is slated to be held next month in Ohio with fans in attendance. The golf tournament is scheduled for July 16 to 19 at Muirfield Village Golf Club in Dublin.")</f>
        <v>Ohio Gov. Mike DeWine announced that a PGA Tour event, the Memorial Tournament, is slated to be held next month in Ohio with fans in attendance. The golf tournament is scheduled for July 16 to 19 at Muirfield Village Golf Club in Dublin.</v>
      </c>
      <c r="C240" s="1" t="str">
        <f>IFERROR(__xludf.DUMMYFUNCTION("""COMPUTED_VALUE"""),"NBC News")</f>
        <v>NBC News</v>
      </c>
      <c r="D240" s="3" t="str">
        <f>IFERROR(__xludf.DUMMYFUNCTION("""COMPUTED_VALUE"""),"https://www.nbcnews.com/health/health-news/coronavirus-timeline-tracking-critical-moments-covid-19-n1154341")</f>
        <v>https://www.nbcnews.com/health/health-news/coronavirus-timeline-tracking-critical-moments-covid-19-n1154341</v>
      </c>
      <c r="E240" s="1"/>
      <c r="F240" s="1"/>
      <c r="G240" s="1"/>
      <c r="H240" s="1"/>
      <c r="I240" s="1"/>
    </row>
    <row r="241">
      <c r="A241" s="4">
        <f>IFERROR(__xludf.DUMMYFUNCTION("""COMPUTED_VALUE"""),43987.0)</f>
        <v>43987</v>
      </c>
      <c r="B241" s="1" t="str">
        <f>IFERROR(__xludf.DUMMYFUNCTION("""COMPUTED_VALUE"""),"Vietnam’s top domestic soccer league returned with spectators. More than 1,000 fans attended the V-League game at Hai Phong.")</f>
        <v>Vietnam’s top domestic soccer league returned with spectators. More than 1,000 fans attended the V-League game at Hai Phong.</v>
      </c>
      <c r="C241" s="1" t="str">
        <f>IFERROR(__xludf.DUMMYFUNCTION("""COMPUTED_VALUE"""),"NBC News")</f>
        <v>NBC News</v>
      </c>
      <c r="D241" s="3" t="str">
        <f>IFERROR(__xludf.DUMMYFUNCTION("""COMPUTED_VALUE"""),"https://www.nbcnews.com/health/health-news/coronavirus-timeline-tracking-critical-moments-covid-19-n1154341")</f>
        <v>https://www.nbcnews.com/health/health-news/coronavirus-timeline-tracking-critical-moments-covid-19-n1154341</v>
      </c>
      <c r="E241" s="1"/>
      <c r="F241" s="1"/>
      <c r="G241" s="1"/>
      <c r="H241" s="1"/>
      <c r="I241" s="1"/>
    </row>
    <row r="242">
      <c r="A242" s="4">
        <f>IFERROR(__xludf.DUMMYFUNCTION("""COMPUTED_VALUE"""),43988.0)</f>
        <v>43988</v>
      </c>
      <c r="B242" s="1" t="str">
        <f>IFERROR(__xludf.DUMMYFUNCTION("""COMPUTED_VALUE"""),"South Korea’s Vice Health Minister Kim Gang-lip said a new cluster of cases in the country were linked to door-to-door sellers. South Korea’s Centers for Disease Control and Prevention reported 51 new cases of COVID-19, as authorities worked to stem trans"&amp;"missions among low-income workers who can’t afford to stay home.")</f>
        <v>South Korea’s Vice Health Minister Kim Gang-lip said a new cluster of cases in the country were linked to door-to-door sellers. South Korea’s Centers for Disease Control and Prevention reported 51 new cases of COVID-19, as authorities worked to stem transmissions among low-income workers who can’t afford to stay home.</v>
      </c>
      <c r="C242" s="1" t="str">
        <f>IFERROR(__xludf.DUMMYFUNCTION("""COMPUTED_VALUE"""),"NBC News")</f>
        <v>NBC News</v>
      </c>
      <c r="D242" s="3" t="str">
        <f>IFERROR(__xludf.DUMMYFUNCTION("""COMPUTED_VALUE"""),"https://www.nbcnews.com/health/health-news/coronavirus-timeline-tracking-critical-moments-covid-19-n1154341")</f>
        <v>https://www.nbcnews.com/health/health-news/coronavirus-timeline-tracking-critical-moments-covid-19-n1154341</v>
      </c>
      <c r="E242" s="1"/>
      <c r="F242" s="1"/>
      <c r="G242" s="1"/>
      <c r="H242" s="1"/>
      <c r="I242" s="1"/>
    </row>
    <row r="243">
      <c r="A243" s="4">
        <f>IFERROR(__xludf.DUMMYFUNCTION("""COMPUTED_VALUE"""),43988.0)</f>
        <v>43988</v>
      </c>
      <c r="B243" s="1" t="str">
        <f>IFERROR(__xludf.DUMMYFUNCTION("""COMPUTED_VALUE"""),"India surpassed Italy as the sixth worst-hit country by the pandemic after another record-breaking daily spike in confirmed infections. The Indian Health Ministry reported 9,887 new cases, bringing the total to 236,657.")</f>
        <v>India surpassed Italy as the sixth worst-hit country by the pandemic after another record-breaking daily spike in confirmed infections. The Indian Health Ministry reported 9,887 new cases, bringing the total to 236,657.</v>
      </c>
      <c r="C243" s="1" t="str">
        <f>IFERROR(__xludf.DUMMYFUNCTION("""COMPUTED_VALUE"""),"NBC News")</f>
        <v>NBC News</v>
      </c>
      <c r="D243" s="3" t="str">
        <f>IFERROR(__xludf.DUMMYFUNCTION("""COMPUTED_VALUE"""),"https://www.nbcnews.com/health/health-news/coronavirus-timeline-tracking-critical-moments-covid-19-n1154341")</f>
        <v>https://www.nbcnews.com/health/health-news/coronavirus-timeline-tracking-critical-moments-covid-19-n1154341</v>
      </c>
      <c r="E243" s="1"/>
      <c r="F243" s="1"/>
      <c r="G243" s="1"/>
      <c r="H243" s="1"/>
      <c r="I243" s="1"/>
    </row>
    <row r="244">
      <c r="A244" s="4">
        <f>IFERROR(__xludf.DUMMYFUNCTION("""COMPUTED_VALUE"""),43988.0)</f>
        <v>43988</v>
      </c>
      <c r="B244" s="1" t="str">
        <f>IFERROR(__xludf.DUMMYFUNCTION("""COMPUTED_VALUE"""),"Organizers of a black lives matter solidarity protest in Hong Kong, planned for June 7, cancelled the event amid fears that other groups may use it to ""push their own agenda"" and worries over breaching social distancing rules in place due to the coronav"&amp;"irus pandemic.")</f>
        <v>Organizers of a black lives matter solidarity protest in Hong Kong, planned for June 7, cancelled the event amid fears that other groups may use it to "push their own agenda" and worries over breaching social distancing rules in place due to the coronavirus pandemic.</v>
      </c>
      <c r="C244" s="1" t="str">
        <f>IFERROR(__xludf.DUMMYFUNCTION("""COMPUTED_VALUE"""),"NBC News")</f>
        <v>NBC News</v>
      </c>
      <c r="D244" s="3" t="str">
        <f>IFERROR(__xludf.DUMMYFUNCTION("""COMPUTED_VALUE"""),"https://www.nbcnews.com/health/health-news/coronavirus-timeline-tracking-critical-moments-covid-19-n1154341")</f>
        <v>https://www.nbcnews.com/health/health-news/coronavirus-timeline-tracking-critical-moments-covid-19-n1154341</v>
      </c>
      <c r="E244" s="1"/>
      <c r="F244" s="1"/>
      <c r="G244" s="1"/>
      <c r="H244" s="1"/>
      <c r="I244" s="1"/>
    </row>
    <row r="245">
      <c r="A245" s="4">
        <f>IFERROR(__xludf.DUMMYFUNCTION("""COMPUTED_VALUE"""),43988.0)</f>
        <v>43988</v>
      </c>
      <c r="B245" s="1" t="str">
        <f>IFERROR(__xludf.DUMMYFUNCTION("""COMPUTED_VALUE"""),"Iranian President Hassan Rouhani said a wedding party contributed to a new surge in coronavirus infections, but he insisted the country had no option but to keep its economy open despite warnings of a second wave of the epidemic.")</f>
        <v>Iranian President Hassan Rouhani said a wedding party contributed to a new surge in coronavirus infections, but he insisted the country had no option but to keep its economy open despite warnings of a second wave of the epidemic.</v>
      </c>
      <c r="C245" s="1" t="str">
        <f>IFERROR(__xludf.DUMMYFUNCTION("""COMPUTED_VALUE"""),"NBC News")</f>
        <v>NBC News</v>
      </c>
      <c r="D245" s="3" t="str">
        <f>IFERROR(__xludf.DUMMYFUNCTION("""COMPUTED_VALUE"""),"https://www.nbcnews.com/health/health-news/coronavirus-timeline-tracking-critical-moments-covid-19-n1154341")</f>
        <v>https://www.nbcnews.com/health/health-news/coronavirus-timeline-tracking-critical-moments-covid-19-n1154341</v>
      </c>
      <c r="E245" s="1"/>
      <c r="F245" s="1"/>
      <c r="G245" s="1"/>
      <c r="H245" s="1"/>
      <c r="I245" s="1"/>
    </row>
    <row r="246">
      <c r="A246" s="4">
        <f>IFERROR(__xludf.DUMMYFUNCTION("""COMPUTED_VALUE"""),43988.0)</f>
        <v>43988</v>
      </c>
      <c r="B246" s="1" t="str">
        <f>IFERROR(__xludf.DUMMYFUNCTION("""COMPUTED_VALUE"""),"Greta Thunberg helped to launch a crowdfunding campaign to buy medical supplies and provide telemedicine services to residents in Brazil’s Amazon rainforest, where a lack of robust health services has made the coronavirus outbreak particularly devastating"&amp;".")</f>
        <v>Greta Thunberg helped to launch a crowdfunding campaign to buy medical supplies and provide telemedicine services to residents in Brazil’s Amazon rainforest, where a lack of robust health services has made the coronavirus outbreak particularly devastating.</v>
      </c>
      <c r="C246" s="1" t="str">
        <f>IFERROR(__xludf.DUMMYFUNCTION("""COMPUTED_VALUE"""),"NBC News")</f>
        <v>NBC News</v>
      </c>
      <c r="D246" s="3" t="str">
        <f>IFERROR(__xludf.DUMMYFUNCTION("""COMPUTED_VALUE"""),"https://www.nbcnews.com/health/health-news/coronavirus-timeline-tracking-critical-moments-covid-19-n1154341")</f>
        <v>https://www.nbcnews.com/health/health-news/coronavirus-timeline-tracking-critical-moments-covid-19-n1154341</v>
      </c>
      <c r="E246" s="1"/>
      <c r="F246" s="1"/>
      <c r="G246" s="1"/>
      <c r="H246" s="1"/>
      <c r="I246" s="1"/>
    </row>
    <row r="247">
      <c r="A247" s="4">
        <f>IFERROR(__xludf.DUMMYFUNCTION("""COMPUTED_VALUE"""),43988.0)</f>
        <v>43988</v>
      </c>
      <c r="B247" s="1" t="str">
        <f>IFERROR(__xludf.DUMMYFUNCTION("""COMPUTED_VALUE"""),"Beijing's municipal government lowered its emergency response level to the second-lowest as it relates to the coronavirus pandemic. Beijing reported no new cases of local transmission in at least 50 days, and as many as 90 days in some districts.")</f>
        <v>Beijing's municipal government lowered its emergency response level to the second-lowest as it relates to the coronavirus pandemic. Beijing reported no new cases of local transmission in at least 50 days, and as many as 90 days in some districts.</v>
      </c>
      <c r="C247" s="1" t="str">
        <f>IFERROR(__xludf.DUMMYFUNCTION("""COMPUTED_VALUE"""),"NBC News")</f>
        <v>NBC News</v>
      </c>
      <c r="D247" s="3" t="str">
        <f>IFERROR(__xludf.DUMMYFUNCTION("""COMPUTED_VALUE"""),"https://www.nbcnews.com/health/health-news/coronavirus-timeline-tracking-critical-moments-covid-19-n1154341")</f>
        <v>https://www.nbcnews.com/health/health-news/coronavirus-timeline-tracking-critical-moments-covid-19-n1154341</v>
      </c>
      <c r="E247" s="1"/>
      <c r="F247" s="1"/>
      <c r="G247" s="1"/>
      <c r="H247" s="1"/>
      <c r="I247" s="1"/>
    </row>
    <row r="248">
      <c r="A248" s="4">
        <f>IFERROR(__xludf.DUMMYFUNCTION("""COMPUTED_VALUE"""),43988.0)</f>
        <v>43988</v>
      </c>
      <c r="B248" s="1" t="str">
        <f>IFERROR(__xludf.DUMMYFUNCTION("""COMPUTED_VALUE"""),"Iraq recorded 1,252 new cases of COVID-19, its highest daily total yet, according to the country’s Ministry of Health.")</f>
        <v>Iraq recorded 1,252 new cases of COVID-19, its highest daily total yet, according to the country’s Ministry of Health.</v>
      </c>
      <c r="C248" s="1" t="str">
        <f>IFERROR(__xludf.DUMMYFUNCTION("""COMPUTED_VALUE"""),"NBC News")</f>
        <v>NBC News</v>
      </c>
      <c r="D248" s="3" t="str">
        <f>IFERROR(__xludf.DUMMYFUNCTION("""COMPUTED_VALUE"""),"https://www.nbcnews.com/health/health-news/coronavirus-timeline-tracking-critical-moments-covid-19-n1154341")</f>
        <v>https://www.nbcnews.com/health/health-news/coronavirus-timeline-tracking-critical-moments-covid-19-n1154341</v>
      </c>
      <c r="E248" s="1"/>
      <c r="F248" s="1"/>
      <c r="G248" s="1"/>
      <c r="H248" s="1"/>
      <c r="I248" s="1"/>
    </row>
    <row r="249">
      <c r="A249" s="4">
        <f>IFERROR(__xludf.DUMMYFUNCTION("""COMPUTED_VALUE"""),43988.0)</f>
        <v>43988</v>
      </c>
      <c r="B249" s="1" t="str">
        <f>IFERROR(__xludf.DUMMYFUNCTION("""COMPUTED_VALUE"""),"North Carolina reported 1,370 new cases of coronavirus — the third straight day the state has set a record for new cases.")</f>
        <v>North Carolina reported 1,370 new cases of coronavirus — the third straight day the state has set a record for new cases.</v>
      </c>
      <c r="C249" s="1" t="str">
        <f>IFERROR(__xludf.DUMMYFUNCTION("""COMPUTED_VALUE"""),"NBC News")</f>
        <v>NBC News</v>
      </c>
      <c r="D249" s="3" t="str">
        <f>IFERROR(__xludf.DUMMYFUNCTION("""COMPUTED_VALUE"""),"https://www.nbcnews.com/health/health-news/coronavirus-timeline-tracking-critical-moments-covid-19-n1154341")</f>
        <v>https://www.nbcnews.com/health/health-news/coronavirus-timeline-tracking-critical-moments-covid-19-n1154341</v>
      </c>
      <c r="E249" s="1"/>
      <c r="F249" s="1"/>
      <c r="G249" s="1"/>
      <c r="H249" s="1"/>
      <c r="I249" s="1"/>
    </row>
    <row r="250">
      <c r="A250" s="4">
        <f>IFERROR(__xludf.DUMMYFUNCTION("""COMPUTED_VALUE"""),43988.0)</f>
        <v>43988</v>
      </c>
      <c r="B250" s="1" t="str">
        <f>IFERROR(__xludf.DUMMYFUNCTION("""COMPUTED_VALUE"""),"Coronavirus deaths in the United States surpassed 110,000.")</f>
        <v>Coronavirus deaths in the United States surpassed 110,000.</v>
      </c>
      <c r="C250" s="1" t="str">
        <f>IFERROR(__xludf.DUMMYFUNCTION("""COMPUTED_VALUE"""),"NBC News")</f>
        <v>NBC News</v>
      </c>
      <c r="D250" s="3" t="str">
        <f>IFERROR(__xludf.DUMMYFUNCTION("""COMPUTED_VALUE"""),"https://www.nbcnews.com/health/health-news/coronavirus-timeline-tracking-critical-moments-covid-19-n1154341")</f>
        <v>https://www.nbcnews.com/health/health-news/coronavirus-timeline-tracking-critical-moments-covid-19-n1154341</v>
      </c>
      <c r="E250" s="1"/>
      <c r="F250" s="1"/>
      <c r="G250" s="1"/>
      <c r="H250" s="1"/>
      <c r="I250" s="1"/>
    </row>
    <row r="251">
      <c r="A251" s="4">
        <f>IFERROR(__xludf.DUMMYFUNCTION("""COMPUTED_VALUE"""),43988.0)</f>
        <v>43988</v>
      </c>
      <c r="B251" s="1" t="str">
        <f>IFERROR(__xludf.DUMMYFUNCTION("""COMPUTED_VALUE"""),"Brazil removed months of data on its COVID-19 epidemic from public view, as President Jair Bolsonaro defended delays and changes to official record-keeping of the world's second-largest outbreak. Brazil’s Health Ministry also stopped giving a total count "&amp;"of confirmed cases, which shot past 672,000 — more than anywhere outside the U.S. — or a total death toll, which passed Italy and was nearing 36,000.")</f>
        <v>Brazil removed months of data on its COVID-19 epidemic from public view, as President Jair Bolsonaro defended delays and changes to official record-keeping of the world's second-largest outbreak. Brazil’s Health Ministry also stopped giving a total count of confirmed cases, which shot past 672,000 — more than anywhere outside the U.S. — or a total death toll, which passed Italy and was nearing 36,000.</v>
      </c>
      <c r="C251" s="1" t="str">
        <f>IFERROR(__xludf.DUMMYFUNCTION("""COMPUTED_VALUE"""),"NBC News")</f>
        <v>NBC News</v>
      </c>
      <c r="D251" s="3" t="str">
        <f>IFERROR(__xludf.DUMMYFUNCTION("""COMPUTED_VALUE"""),"https://www.nbcnews.com/health/health-news/coronavirus-timeline-tracking-critical-moments-covid-19-n1154341")</f>
        <v>https://www.nbcnews.com/health/health-news/coronavirus-timeline-tracking-critical-moments-covid-19-n1154341</v>
      </c>
      <c r="E251" s="1"/>
      <c r="F251" s="1"/>
      <c r="G251" s="1"/>
      <c r="H251" s="1"/>
      <c r="I251" s="1"/>
    </row>
    <row r="252">
      <c r="A252" s="4">
        <f>IFERROR(__xludf.DUMMYFUNCTION("""COMPUTED_VALUE"""),43988.0)</f>
        <v>43988</v>
      </c>
      <c r="B252" s="1" t="str">
        <f>IFERROR(__xludf.DUMMYFUNCTION("""COMPUTED_VALUE"""),"Florida reported more than 1,000 confirmed cases, the fourth straight day of cases hitting that threshold as the state continues with its reopening plan.")</f>
        <v>Florida reported more than 1,000 confirmed cases, the fourth straight day of cases hitting that threshold as the state continues with its reopening plan.</v>
      </c>
      <c r="C252" s="1" t="str">
        <f>IFERROR(__xludf.DUMMYFUNCTION("""COMPUTED_VALUE"""),"NBC News")</f>
        <v>NBC News</v>
      </c>
      <c r="D252" s="3" t="str">
        <f>IFERROR(__xludf.DUMMYFUNCTION("""COMPUTED_VALUE"""),"https://www.nbcnews.com/health/health-news/coronavirus-timeline-tracking-critical-moments-covid-19-n1154341")</f>
        <v>https://www.nbcnews.com/health/health-news/coronavirus-timeline-tracking-critical-moments-covid-19-n1154341</v>
      </c>
      <c r="E252" s="1"/>
      <c r="F252" s="1"/>
      <c r="G252" s="1"/>
      <c r="H252" s="1"/>
      <c r="I252" s="1"/>
    </row>
    <row r="253">
      <c r="A253" s="4">
        <f>IFERROR(__xludf.DUMMYFUNCTION("""COMPUTED_VALUE"""),43989.0)</f>
        <v>43989</v>
      </c>
      <c r="B253" s="1" t="str">
        <f>IFERROR(__xludf.DUMMYFUNCTION("""COMPUTED_VALUE"""),"Chinese officials released a lengthy report on the nation’s response to the pandemic, which defended the government’s actions and said that the country had provided information in a timely and transparent manner.")</f>
        <v>Chinese officials released a lengthy report on the nation’s response to the pandemic, which defended the government’s actions and said that the country had provided information in a timely and transparent manner.</v>
      </c>
      <c r="C253" s="1" t="str">
        <f>IFERROR(__xludf.DUMMYFUNCTION("""COMPUTED_VALUE"""),"NBC News")</f>
        <v>NBC News</v>
      </c>
      <c r="D253" s="3" t="str">
        <f>IFERROR(__xludf.DUMMYFUNCTION("""COMPUTED_VALUE"""),"https://www.nbcnews.com/health/health-news/coronavirus-timeline-tracking-critical-moments-covid-19-n1154341")</f>
        <v>https://www.nbcnews.com/health/health-news/coronavirus-timeline-tracking-critical-moments-covid-19-n1154341</v>
      </c>
      <c r="E253" s="1"/>
      <c r="F253" s="1"/>
      <c r="G253" s="1"/>
      <c r="H253" s="1"/>
      <c r="I253" s="1"/>
    </row>
    <row r="254">
      <c r="A254" s="4">
        <f>IFERROR(__xludf.DUMMYFUNCTION("""COMPUTED_VALUE"""),43989.0)</f>
        <v>43989</v>
      </c>
      <c r="B254" s="1" t="str">
        <f>IFERROR(__xludf.DUMMYFUNCTION("""COMPUTED_VALUE"""),"South Korea recorded more than 50 new coronavirus cases for the second day in a row, as authorities continued to work to suppress a spike in fresh infections in the Seoul metropolitan area.")</f>
        <v>South Korea recorded more than 50 new coronavirus cases for the second day in a row, as authorities continued to work to suppress a spike in fresh infections in the Seoul metropolitan area.</v>
      </c>
      <c r="C254" s="1" t="str">
        <f>IFERROR(__xludf.DUMMYFUNCTION("""COMPUTED_VALUE"""),"NBC News")</f>
        <v>NBC News</v>
      </c>
      <c r="D254" s="3" t="str">
        <f>IFERROR(__xludf.DUMMYFUNCTION("""COMPUTED_VALUE"""),"https://www.nbcnews.com/health/health-news/coronavirus-timeline-tracking-critical-moments-covid-19-n1154341")</f>
        <v>https://www.nbcnews.com/health/health-news/coronavirus-timeline-tracking-critical-moments-covid-19-n1154341</v>
      </c>
      <c r="E254" s="1"/>
      <c r="F254" s="1"/>
      <c r="G254" s="1"/>
      <c r="H254" s="1"/>
      <c r="I254" s="1"/>
    </row>
    <row r="255">
      <c r="A255" s="4">
        <f>IFERROR(__xludf.DUMMYFUNCTION("""COMPUTED_VALUE"""),43989.0)</f>
        <v>43989</v>
      </c>
      <c r="B255" s="1" t="str">
        <f>IFERROR(__xludf.DUMMYFUNCTION("""COMPUTED_VALUE"""),"India’s Ministry of Health reported 9,971 new virus cases in another biggest single-day spike, a day before it prepares to reopen shopping malls, hotels and religious places after a 10-week lockdown.")</f>
        <v>India’s Ministry of Health reported 9,971 new virus cases in another biggest single-day spike, a day before it prepares to reopen shopping malls, hotels and religious places after a 10-week lockdown.</v>
      </c>
      <c r="C255" s="1" t="str">
        <f>IFERROR(__xludf.DUMMYFUNCTION("""COMPUTED_VALUE"""),"NBC News")</f>
        <v>NBC News</v>
      </c>
      <c r="D255" s="3" t="str">
        <f>IFERROR(__xludf.DUMMYFUNCTION("""COMPUTED_VALUE"""),"https://www.nbcnews.com/health/health-news/coronavirus-timeline-tracking-critical-moments-covid-19-n1154341")</f>
        <v>https://www.nbcnews.com/health/health-news/coronavirus-timeline-tracking-critical-moments-covid-19-n1154341</v>
      </c>
      <c r="E255" s="1"/>
      <c r="F255" s="1"/>
      <c r="G255" s="1"/>
      <c r="H255" s="1"/>
      <c r="I255" s="1"/>
    </row>
    <row r="256">
      <c r="A256" s="4">
        <f>IFERROR(__xludf.DUMMYFUNCTION("""COMPUTED_VALUE"""),43989.0)</f>
        <v>43989</v>
      </c>
      <c r="B256" s="1" t="str">
        <f>IFERROR(__xludf.DUMMYFUNCTION("""COMPUTED_VALUE"""),"The 2022 soccer World Cup will go on as planned despite the coronavirus pandemic, officials from the host country Qatar announced.")</f>
        <v>The 2022 soccer World Cup will go on as planned despite the coronavirus pandemic, officials from the host country Qatar announced.</v>
      </c>
      <c r="C256" s="1" t="str">
        <f>IFERROR(__xludf.DUMMYFUNCTION("""COMPUTED_VALUE"""),"NBC News")</f>
        <v>NBC News</v>
      </c>
      <c r="D256" s="3" t="str">
        <f>IFERROR(__xludf.DUMMYFUNCTION("""COMPUTED_VALUE"""),"https://www.nbcnews.com/health/health-news/coronavirus-timeline-tracking-critical-moments-covid-19-n1154341")</f>
        <v>https://www.nbcnews.com/health/health-news/coronavirus-timeline-tracking-critical-moments-covid-19-n1154341</v>
      </c>
      <c r="E256" s="1"/>
      <c r="F256" s="1"/>
      <c r="G256" s="1"/>
      <c r="H256" s="1"/>
      <c r="I256" s="1"/>
    </row>
    <row r="257">
      <c r="A257" s="4">
        <f>IFERROR(__xludf.DUMMYFUNCTION("""COMPUTED_VALUE"""),43989.0)</f>
        <v>43989</v>
      </c>
      <c r="B257" s="1" t="str">
        <f>IFERROR(__xludf.DUMMYFUNCTION("""COMPUTED_VALUE"""),"The global coronavirus death toll surpassed 400,000, according to data from Johns Hopkins University. More than a quarter of these were in the U.S.")</f>
        <v>The global coronavirus death toll surpassed 400,000, according to data from Johns Hopkins University. More than a quarter of these were in the U.S.</v>
      </c>
      <c r="C257" s="1" t="str">
        <f>IFERROR(__xludf.DUMMYFUNCTION("""COMPUTED_VALUE"""),"NBC News")</f>
        <v>NBC News</v>
      </c>
      <c r="D257" s="3" t="str">
        <f>IFERROR(__xludf.DUMMYFUNCTION("""COMPUTED_VALUE"""),"https://www.nbcnews.com/health/health-news/coronavirus-timeline-tracking-critical-moments-covid-19-n1154341")</f>
        <v>https://www.nbcnews.com/health/health-news/coronavirus-timeline-tracking-critical-moments-covid-19-n1154341</v>
      </c>
      <c r="E257" s="1"/>
      <c r="F257" s="1"/>
      <c r="G257" s="1"/>
      <c r="H257" s="1"/>
      <c r="I257" s="1"/>
    </row>
    <row r="258">
      <c r="A258" s="4">
        <f>IFERROR(__xludf.DUMMYFUNCTION("""COMPUTED_VALUE"""),43990.0)</f>
        <v>43990</v>
      </c>
      <c r="B258" s="1" t="str">
        <f>IFERROR(__xludf.DUMMYFUNCTION("""COMPUTED_VALUE"""),"New Zealand declared itself free of the coronavirus, with the last remaining patient being ""symptom free for 48 hours."" The country last reported a new case 17 days ago, and had only 1,154 confirmed cases to date.")</f>
        <v>New Zealand declared itself free of the coronavirus, with the last remaining patient being "symptom free for 48 hours." The country last reported a new case 17 days ago, and had only 1,154 confirmed cases to date.</v>
      </c>
      <c r="C258" s="1" t="str">
        <f>IFERROR(__xludf.DUMMYFUNCTION("""COMPUTED_VALUE"""),"NBC News")</f>
        <v>NBC News</v>
      </c>
      <c r="D258" s="3" t="str">
        <f>IFERROR(__xludf.DUMMYFUNCTION("""COMPUTED_VALUE"""),"https://www.nbcnews.com/health/health-news/coronavirus-timeline-tracking-critical-moments-covid-19-n1154341")</f>
        <v>https://www.nbcnews.com/health/health-news/coronavirus-timeline-tracking-critical-moments-covid-19-n1154341</v>
      </c>
      <c r="E258" s="1"/>
      <c r="F258" s="1"/>
      <c r="G258" s="1"/>
      <c r="H258" s="1"/>
      <c r="I258" s="1"/>
    </row>
    <row r="259">
      <c r="A259" s="4">
        <f>IFERROR(__xludf.DUMMYFUNCTION("""COMPUTED_VALUE"""),43990.0)</f>
        <v>43990</v>
      </c>
      <c r="B259" s="1" t="str">
        <f>IFERROR(__xludf.DUMMYFUNCTION("""COMPUTED_VALUE"""),"New York City began the first phase of reopening after nearly three months of coronavirus lockdown restrictions.")</f>
        <v>New York City began the first phase of reopening after nearly three months of coronavirus lockdown restrictions.</v>
      </c>
      <c r="C259" s="1" t="str">
        <f>IFERROR(__xludf.DUMMYFUNCTION("""COMPUTED_VALUE"""),"NBC News")</f>
        <v>NBC News</v>
      </c>
      <c r="D259" s="3" t="str">
        <f>IFERROR(__xludf.DUMMYFUNCTION("""COMPUTED_VALUE"""),"https://www.nbcnews.com/health/health-news/coronavirus-timeline-tracking-critical-moments-covid-19-n1154341")</f>
        <v>https://www.nbcnews.com/health/health-news/coronavirus-timeline-tracking-critical-moments-covid-19-n1154341</v>
      </c>
      <c r="E259" s="1"/>
      <c r="F259" s="1"/>
      <c r="G259" s="1"/>
      <c r="H259" s="1"/>
      <c r="I259" s="1"/>
    </row>
    <row r="260">
      <c r="A260" s="4">
        <f>IFERROR(__xludf.DUMMYFUNCTION("""COMPUTED_VALUE"""),43990.0)</f>
        <v>43990</v>
      </c>
      <c r="B260" s="1" t="str">
        <f>IFERROR(__xludf.DUMMYFUNCTION("""COMPUTED_VALUE"""),"Countries across Europe continued to ease their coronavirus lockdowns, with Ireland, Belgium, Denmark and Spain all relaxing their rules.")</f>
        <v>Countries across Europe continued to ease their coronavirus lockdowns, with Ireland, Belgium, Denmark and Spain all relaxing their rules.</v>
      </c>
      <c r="C260" s="1" t="str">
        <f>IFERROR(__xludf.DUMMYFUNCTION("""COMPUTED_VALUE"""),"NBC News")</f>
        <v>NBC News</v>
      </c>
      <c r="D260" s="3" t="str">
        <f>IFERROR(__xludf.DUMMYFUNCTION("""COMPUTED_VALUE"""),"https://www.nbcnews.com/health/health-news/coronavirus-timeline-tracking-critical-moments-covid-19-n1154341")</f>
        <v>https://www.nbcnews.com/health/health-news/coronavirus-timeline-tracking-critical-moments-covid-19-n1154341</v>
      </c>
      <c r="E260" s="1"/>
      <c r="F260" s="1"/>
      <c r="G260" s="1"/>
      <c r="H260" s="1"/>
      <c r="I260" s="1"/>
    </row>
    <row r="261">
      <c r="A261" s="4">
        <f>IFERROR(__xludf.DUMMYFUNCTION("""COMPUTED_VALUE"""),43990.0)</f>
        <v>43990</v>
      </c>
      <c r="B261" s="1" t="str">
        <f>IFERROR(__xludf.DUMMYFUNCTION("""COMPUTED_VALUE"""),"A new modelling study of lockdown impacts in 11 nations by researchers at Imperial College London found that wide-scale lockdowns, including shop and school closures, reduced COVID-19 transmission rates in Europe enough to control its spread and may have "&amp;"averted more than three million deaths.")</f>
        <v>A new modelling study of lockdown impacts in 11 nations by researchers at Imperial College London found that wide-scale lockdowns, including shop and school closures, reduced COVID-19 transmission rates in Europe enough to control its spread and may have averted more than three million deaths.</v>
      </c>
      <c r="C261" s="1" t="str">
        <f>IFERROR(__xludf.DUMMYFUNCTION("""COMPUTED_VALUE"""),"NBC News")</f>
        <v>NBC News</v>
      </c>
      <c r="D261" s="3" t="str">
        <f>IFERROR(__xludf.DUMMYFUNCTION("""COMPUTED_VALUE"""),"https://www.nbcnews.com/health/health-news/coronavirus-timeline-tracking-critical-moments-covid-19-n1154341")</f>
        <v>https://www.nbcnews.com/health/health-news/coronavirus-timeline-tracking-critical-moments-covid-19-n1154341</v>
      </c>
      <c r="E261" s="1"/>
      <c r="F261" s="1"/>
      <c r="G261" s="1"/>
      <c r="H261" s="1"/>
      <c r="I261" s="1"/>
    </row>
    <row r="262">
      <c r="A262" s="4">
        <f>IFERROR(__xludf.DUMMYFUNCTION("""COMPUTED_VALUE"""),43990.0)</f>
        <v>43990</v>
      </c>
      <c r="B262" s="1" t="str">
        <f>IFERROR(__xludf.DUMMYFUNCTION("""COMPUTED_VALUE"""),"The National Bureau of Economic Research found that the U.S. was officially in a recession in February, bringing an end to a historic 128 months of economic growth.")</f>
        <v>The National Bureau of Economic Research found that the U.S. was officially in a recession in February, bringing an end to a historic 128 months of economic growth.</v>
      </c>
      <c r="C262" s="1" t="str">
        <f>IFERROR(__xludf.DUMMYFUNCTION("""COMPUTED_VALUE"""),"NBC News")</f>
        <v>NBC News</v>
      </c>
      <c r="D262" s="3" t="str">
        <f>IFERROR(__xludf.DUMMYFUNCTION("""COMPUTED_VALUE"""),"https://www.nbcnews.com/health/health-news/coronavirus-timeline-tracking-critical-moments-covid-19-n1154341")</f>
        <v>https://www.nbcnews.com/health/health-news/coronavirus-timeline-tracking-critical-moments-covid-19-n1154341</v>
      </c>
      <c r="E262" s="1"/>
      <c r="F262" s="1"/>
      <c r="G262" s="1"/>
      <c r="H262" s="1"/>
      <c r="I262" s="1"/>
    </row>
    <row r="263">
      <c r="A263" s="4">
        <f>IFERROR(__xludf.DUMMYFUNCTION("""COMPUTED_VALUE"""),43990.0)</f>
        <v>43990</v>
      </c>
      <c r="B263" s="1" t="str">
        <f>IFERROR(__xludf.DUMMYFUNCTION("""COMPUTED_VALUE"""),"The WHO said new coronavirus cases had their biggest daily increase ever on June 7, as more than 136,000 new cases were reported worldwide. The agency said the pandemic had yet to peak in central America and urged countries to press on with efforts to con"&amp;"tain the virus.")</f>
        <v>The WHO said new coronavirus cases had their biggest daily increase ever on June 7, as more than 136,000 new cases were reported worldwide. The agency said the pandemic had yet to peak in central America and urged countries to press on with efforts to contain the virus.</v>
      </c>
      <c r="C263" s="1" t="str">
        <f>IFERROR(__xludf.DUMMYFUNCTION("""COMPUTED_VALUE"""),"NBC News")</f>
        <v>NBC News</v>
      </c>
      <c r="D263" s="3" t="str">
        <f>IFERROR(__xludf.DUMMYFUNCTION("""COMPUTED_VALUE"""),"https://www.nbcnews.com/health/health-news/coronavirus-timeline-tracking-critical-moments-covid-19-n1154341")</f>
        <v>https://www.nbcnews.com/health/health-news/coronavirus-timeline-tracking-critical-moments-covid-19-n1154341</v>
      </c>
      <c r="E263" s="1"/>
      <c r="F263" s="1"/>
      <c r="G263" s="1"/>
      <c r="H263" s="1"/>
      <c r="I263" s="1"/>
    </row>
    <row r="264">
      <c r="A264" s="4">
        <f>IFERROR(__xludf.DUMMYFUNCTION("""COMPUTED_VALUE"""),43990.0)</f>
        <v>43990</v>
      </c>
      <c r="B264" s="1" t="str">
        <f>IFERROR(__xludf.DUMMYFUNCTION("""COMPUTED_VALUE"""),"Moscow’s Mayor Sergey Sobyanin announced that various lockdown measures would be cancelled, despite Moscow’s daily new case count remaining consistent at around 2,000 a day for the past month.")</f>
        <v>Moscow’s Mayor Sergey Sobyanin announced that various lockdown measures would be cancelled, despite Moscow’s daily new case count remaining consistent at around 2,000 a day for the past month.</v>
      </c>
      <c r="C264" s="1" t="str">
        <f>IFERROR(__xludf.DUMMYFUNCTION("""COMPUTED_VALUE"""),"NBC News")</f>
        <v>NBC News</v>
      </c>
      <c r="D264" s="3" t="str">
        <f>IFERROR(__xludf.DUMMYFUNCTION("""COMPUTED_VALUE"""),"https://www.nbcnews.com/health/health-news/coronavirus-timeline-tracking-critical-moments-covid-19-n1154341")</f>
        <v>https://www.nbcnews.com/health/health-news/coronavirus-timeline-tracking-critical-moments-covid-19-n1154341</v>
      </c>
      <c r="E264" s="1"/>
      <c r="F264" s="1"/>
      <c r="G264" s="1"/>
      <c r="H264" s="1"/>
      <c r="I264" s="1"/>
    </row>
    <row r="265">
      <c r="A265" s="4">
        <f>IFERROR(__xludf.DUMMYFUNCTION("""COMPUTED_VALUE"""),43991.0)</f>
        <v>43991</v>
      </c>
      <c r="B265" s="1" t="str">
        <f>IFERROR(__xludf.DUMMYFUNCTION("""COMPUTED_VALUE"""),"The Paris prosecutor's office said it would open an official preliminary investigation into the management of the coronavirus pandemic in France.")</f>
        <v>The Paris prosecutor's office said it would open an official preliminary investigation into the management of the coronavirus pandemic in France.</v>
      </c>
      <c r="C265" s="1" t="str">
        <f>IFERROR(__xludf.DUMMYFUNCTION("""COMPUTED_VALUE"""),"NBC News")</f>
        <v>NBC News</v>
      </c>
      <c r="D265" s="3" t="str">
        <f>IFERROR(__xludf.DUMMYFUNCTION("""COMPUTED_VALUE"""),"https://www.nbcnews.com/health/health-news/coronavirus-timeline-tracking-critical-moments-covid-19-n1154341")</f>
        <v>https://www.nbcnews.com/health/health-news/coronavirus-timeline-tracking-critical-moments-covid-19-n1154341</v>
      </c>
      <c r="E265" s="1"/>
      <c r="F265" s="1"/>
      <c r="G265" s="1"/>
      <c r="H265" s="1"/>
      <c r="I265" s="1"/>
    </row>
    <row r="266">
      <c r="A266" s="4">
        <f>IFERROR(__xludf.DUMMYFUNCTION("""COMPUTED_VALUE"""),43991.0)</f>
        <v>43991</v>
      </c>
      <c r="B266" s="1" t="str">
        <f>IFERROR(__xludf.DUMMYFUNCTION("""COMPUTED_VALUE"""),"Officials announced that Paris's Eiffel Tower will reopen to the public on June 25.")</f>
        <v>Officials announced that Paris's Eiffel Tower will reopen to the public on June 25.</v>
      </c>
      <c r="C266" s="1" t="str">
        <f>IFERROR(__xludf.DUMMYFUNCTION("""COMPUTED_VALUE"""),"NBC News")</f>
        <v>NBC News</v>
      </c>
      <c r="D266" s="3" t="str">
        <f>IFERROR(__xludf.DUMMYFUNCTION("""COMPUTED_VALUE"""),"https://www.nbcnews.com/health/health-news/coronavirus-timeline-tracking-critical-moments-covid-19-n1154341")</f>
        <v>https://www.nbcnews.com/health/health-news/coronavirus-timeline-tracking-critical-moments-covid-19-n1154341</v>
      </c>
      <c r="E266" s="1"/>
      <c r="F266" s="1"/>
      <c r="G266" s="1"/>
      <c r="H266" s="1"/>
      <c r="I266" s="1"/>
    </row>
    <row r="267">
      <c r="A267" s="4">
        <f>IFERROR(__xludf.DUMMYFUNCTION("""COMPUTED_VALUE"""),43991.0)</f>
        <v>43991</v>
      </c>
      <c r="B267" s="1" t="str">
        <f>IFERROR(__xludf.DUMMYFUNCTION("""COMPUTED_VALUE"""),"A WHO expert clarified that the coronavirus can be spread by people who show no symptoms, a day after sparking widespread confusion by saying that such asymptomatic spread of COVID-19 was ""very rare.""")</f>
        <v>A WHO expert clarified that the coronavirus can be spread by people who show no symptoms, a day after sparking widespread confusion by saying that such asymptomatic spread of COVID-19 was "very rare."</v>
      </c>
      <c r="C267" s="1" t="str">
        <f>IFERROR(__xludf.DUMMYFUNCTION("""COMPUTED_VALUE"""),"NBC News")</f>
        <v>NBC News</v>
      </c>
      <c r="D267" s="3" t="str">
        <f>IFERROR(__xludf.DUMMYFUNCTION("""COMPUTED_VALUE"""),"https://www.nbcnews.com/health/health-news/coronavirus-timeline-tracking-critical-moments-covid-19-n1154341")</f>
        <v>https://www.nbcnews.com/health/health-news/coronavirus-timeline-tracking-critical-moments-covid-19-n1154341</v>
      </c>
      <c r="E267" s="1"/>
      <c r="F267" s="1"/>
      <c r="G267" s="1"/>
      <c r="H267" s="1"/>
      <c r="I267" s="1"/>
    </row>
    <row r="268">
      <c r="A268" s="4">
        <f>IFERROR(__xludf.DUMMYFUNCTION("""COMPUTED_VALUE"""),43991.0)</f>
        <v>43991</v>
      </c>
      <c r="B268" s="1" t="str">
        <f>IFERROR(__xludf.DUMMYFUNCTION("""COMPUTED_VALUE"""),"New Jersey Gov. Phil Murphy lifted his stay-at-home order as the state continued to make progress in its fight against the coronavirus.")</f>
        <v>New Jersey Gov. Phil Murphy lifted his stay-at-home order as the state continued to make progress in its fight against the coronavirus.</v>
      </c>
      <c r="C268" s="1" t="str">
        <f>IFERROR(__xludf.DUMMYFUNCTION("""COMPUTED_VALUE"""),"NBC News")</f>
        <v>NBC News</v>
      </c>
      <c r="D268" s="3" t="str">
        <f>IFERROR(__xludf.DUMMYFUNCTION("""COMPUTED_VALUE"""),"https://www.nbcnews.com/health/health-news/coronavirus-timeline-tracking-critical-moments-covid-19-n1154341")</f>
        <v>https://www.nbcnews.com/health/health-news/coronavirus-timeline-tracking-critical-moments-covid-19-n1154341</v>
      </c>
      <c r="E268" s="1"/>
      <c r="F268" s="1"/>
      <c r="G268" s="1"/>
      <c r="H268" s="1"/>
      <c r="I268" s="1"/>
    </row>
    <row r="269">
      <c r="A269" s="4">
        <f>IFERROR(__xludf.DUMMYFUNCTION("""COMPUTED_VALUE"""),43991.0)</f>
        <v>43991</v>
      </c>
      <c r="B269" s="1" t="str">
        <f>IFERROR(__xludf.DUMMYFUNCTION("""COMPUTED_VALUE"""),"Best Buy announced that more than 800 store locations will reopen to shoppers beginning June 15 under strict social distancing guidelines that will limit the number of people in stores.")</f>
        <v>Best Buy announced that more than 800 store locations will reopen to shoppers beginning June 15 under strict social distancing guidelines that will limit the number of people in stores.</v>
      </c>
      <c r="C269" s="1" t="str">
        <f>IFERROR(__xludf.DUMMYFUNCTION("""COMPUTED_VALUE"""),"NBC News")</f>
        <v>NBC News</v>
      </c>
      <c r="D269" s="3" t="str">
        <f>IFERROR(__xludf.DUMMYFUNCTION("""COMPUTED_VALUE"""),"https://www.nbcnews.com/health/health-news/coronavirus-timeline-tracking-critical-moments-covid-19-n1154341")</f>
        <v>https://www.nbcnews.com/health/health-news/coronavirus-timeline-tracking-critical-moments-covid-19-n1154341</v>
      </c>
      <c r="E269" s="1"/>
      <c r="F269" s="1"/>
      <c r="G269" s="1"/>
      <c r="H269" s="1"/>
      <c r="I269" s="1"/>
    </row>
    <row r="270">
      <c r="A270" s="4">
        <f>IFERROR(__xludf.DUMMYFUNCTION("""COMPUTED_VALUE"""),43991.0)</f>
        <v>43991</v>
      </c>
      <c r="B270" s="1" t="str">
        <f>IFERROR(__xludf.DUMMYFUNCTION("""COMPUTED_VALUE"""),"AMC Theaters, the largest theater chain in the U.S., said it planned to reopen all its locations in July.")</f>
        <v>AMC Theaters, the largest theater chain in the U.S., said it planned to reopen all its locations in July.</v>
      </c>
      <c r="C270" s="1" t="str">
        <f>IFERROR(__xludf.DUMMYFUNCTION("""COMPUTED_VALUE"""),"NBC News")</f>
        <v>NBC News</v>
      </c>
      <c r="D270" s="3" t="str">
        <f>IFERROR(__xludf.DUMMYFUNCTION("""COMPUTED_VALUE"""),"https://www.nbcnews.com/health/health-news/coronavirus-timeline-tracking-critical-moments-covid-19-n1154341")</f>
        <v>https://www.nbcnews.com/health/health-news/coronavirus-timeline-tracking-critical-moments-covid-19-n1154341</v>
      </c>
      <c r="E270" s="1"/>
      <c r="F270" s="1"/>
      <c r="G270" s="1"/>
      <c r="H270" s="1"/>
      <c r="I270" s="1"/>
    </row>
    <row r="271">
      <c r="A271" s="4">
        <f>IFERROR(__xludf.DUMMYFUNCTION("""COMPUTED_VALUE"""),43992.0)</f>
        <v>43992</v>
      </c>
      <c r="B271" s="1" t="str">
        <f>IFERROR(__xludf.DUMMYFUNCTION("""COMPUTED_VALUE"""),"A number of families of victims of the COVID-19 outbreak in the Italian region of Bergamo, one of the hardest hit during the epidemic, filed complaints with the local prosecutor. The complaints concern issues including the lack of information provided aro"&amp;"und infection risk in the early stages of the pandemic, the lack of PPE available in healthcare facilities and the lack of medicine for managing COVID-19 symptoms at home.")</f>
        <v>A number of families of victims of the COVID-19 outbreak in the Italian region of Bergamo, one of the hardest hit during the epidemic, filed complaints with the local prosecutor. The complaints concern issues including the lack of information provided around infection risk in the early stages of the pandemic, the lack of PPE available in healthcare facilities and the lack of medicine for managing COVID-19 symptoms at home.</v>
      </c>
      <c r="C271" s="1" t="str">
        <f>IFERROR(__xludf.DUMMYFUNCTION("""COMPUTED_VALUE"""),"NBC News")</f>
        <v>NBC News</v>
      </c>
      <c r="D271" s="3" t="str">
        <f>IFERROR(__xludf.DUMMYFUNCTION("""COMPUTED_VALUE"""),"https://www.nbcnews.com/health/health-news/coronavirus-timeline-tracking-critical-moments-covid-19-n1154341")</f>
        <v>https://www.nbcnews.com/health/health-news/coronavirus-timeline-tracking-critical-moments-covid-19-n1154341</v>
      </c>
      <c r="E271" s="1"/>
      <c r="F271" s="1"/>
      <c r="G271" s="1"/>
      <c r="H271" s="1"/>
      <c r="I271" s="1"/>
    </row>
    <row r="272">
      <c r="A272" s="4">
        <f>IFERROR(__xludf.DUMMYFUNCTION("""COMPUTED_VALUE"""),43992.0)</f>
        <v>43992</v>
      </c>
      <c r="B272" s="1" t="str">
        <f>IFERROR(__xludf.DUMMYFUNCTION("""COMPUTED_VALUE"""),"Brazil restored detailed COVID-19 data to its official national website following controversy over the removal of cumulative totals and a ruling by a Supreme Court justice that the full set of information be reinstated.")</f>
        <v>Brazil restored detailed COVID-19 data to its official national website following controversy over the removal of cumulative totals and a ruling by a Supreme Court justice that the full set of information be reinstated.</v>
      </c>
      <c r="C272" s="1" t="str">
        <f>IFERROR(__xludf.DUMMYFUNCTION("""COMPUTED_VALUE"""),"NBC News")</f>
        <v>NBC News</v>
      </c>
      <c r="D272" s="3" t="str">
        <f>IFERROR(__xludf.DUMMYFUNCTION("""COMPUTED_VALUE"""),"https://www.nbcnews.com/health/health-news/coronavirus-timeline-tracking-critical-moments-covid-19-n1154341")</f>
        <v>https://www.nbcnews.com/health/health-news/coronavirus-timeline-tracking-critical-moments-covid-19-n1154341</v>
      </c>
      <c r="E272" s="1"/>
      <c r="F272" s="1"/>
      <c r="G272" s="1"/>
      <c r="H272" s="1"/>
      <c r="I272" s="1"/>
    </row>
    <row r="273">
      <c r="A273" s="4">
        <f>IFERROR(__xludf.DUMMYFUNCTION("""COMPUTED_VALUE"""),43992.0)</f>
        <v>43992</v>
      </c>
      <c r="B273" s="1" t="str">
        <f>IFERROR(__xludf.DUMMYFUNCTION("""COMPUTED_VALUE"""),"Germany extended its travel warning for non-European countries until the end of August but ministers said they intend to lift border controls to all its neighbours by mid-June.")</f>
        <v>Germany extended its travel warning for non-European countries until the end of August but ministers said they intend to lift border controls to all its neighbours by mid-June.</v>
      </c>
      <c r="C273" s="1" t="str">
        <f>IFERROR(__xludf.DUMMYFUNCTION("""COMPUTED_VALUE"""),"NBC News")</f>
        <v>NBC News</v>
      </c>
      <c r="D273" s="3" t="str">
        <f>IFERROR(__xludf.DUMMYFUNCTION("""COMPUTED_VALUE"""),"https://www.nbcnews.com/health/health-news/coronavirus-timeline-tracking-critical-moments-covid-19-n1154341")</f>
        <v>https://www.nbcnews.com/health/health-news/coronavirus-timeline-tracking-critical-moments-covid-19-n1154341</v>
      </c>
      <c r="E273" s="1"/>
      <c r="F273" s="1"/>
      <c r="G273" s="1"/>
      <c r="H273" s="1"/>
      <c r="I273" s="1"/>
    </row>
    <row r="274">
      <c r="A274" s="4">
        <f>IFERROR(__xludf.DUMMYFUNCTION("""COMPUTED_VALUE"""),43992.0)</f>
        <v>43992</v>
      </c>
      <c r="B274" s="1" t="str">
        <f>IFERROR(__xludf.DUMMYFUNCTION("""COMPUTED_VALUE"""),"The virus crisis triggered the most severe recession in nearly a century, and is causing enormous damage to people’s health, jobs and well-being, according to an analysis of global economic data by the Organization for Economic Cooperation and Development"&amp;".")</f>
        <v>The virus crisis triggered the most severe recession in nearly a century, and is causing enormous damage to people’s health, jobs and well-being, according to an analysis of global economic data by the Organization for Economic Cooperation and Development.</v>
      </c>
      <c r="C274" s="1" t="str">
        <f>IFERROR(__xludf.DUMMYFUNCTION("""COMPUTED_VALUE"""),"NBC News")</f>
        <v>NBC News</v>
      </c>
      <c r="D274" s="3" t="str">
        <f>IFERROR(__xludf.DUMMYFUNCTION("""COMPUTED_VALUE"""),"https://www.nbcnews.com/health/health-news/coronavirus-timeline-tracking-critical-moments-covid-19-n1154341")</f>
        <v>https://www.nbcnews.com/health/health-news/coronavirus-timeline-tracking-critical-moments-covid-19-n1154341</v>
      </c>
      <c r="E274" s="1"/>
      <c r="F274" s="1"/>
      <c r="G274" s="1"/>
      <c r="H274" s="1"/>
      <c r="I274" s="1"/>
    </row>
    <row r="275">
      <c r="A275" s="4">
        <f>IFERROR(__xludf.DUMMYFUNCTION("""COMPUTED_VALUE"""),43992.0)</f>
        <v>43992</v>
      </c>
      <c r="B275" s="1" t="str">
        <f>IFERROR(__xludf.DUMMYFUNCTION("""COMPUTED_VALUE"""),"Public beaches reopened in Miami Beach, Florida, after a 12-week closure due to the coronavirus outbreak.")</f>
        <v>Public beaches reopened in Miami Beach, Florida, after a 12-week closure due to the coronavirus outbreak.</v>
      </c>
      <c r="C275" s="1" t="str">
        <f>IFERROR(__xludf.DUMMYFUNCTION("""COMPUTED_VALUE"""),"NBC News")</f>
        <v>NBC News</v>
      </c>
      <c r="D275" s="3" t="str">
        <f>IFERROR(__xludf.DUMMYFUNCTION("""COMPUTED_VALUE"""),"https://www.nbcnews.com/health/health-news/coronavirus-timeline-tracking-critical-moments-covid-19-n1154341")</f>
        <v>https://www.nbcnews.com/health/health-news/coronavirus-timeline-tracking-critical-moments-covid-19-n1154341</v>
      </c>
      <c r="E275" s="1"/>
      <c r="F275" s="1"/>
      <c r="G275" s="1"/>
      <c r="H275" s="1"/>
      <c r="I275" s="1"/>
    </row>
    <row r="276">
      <c r="A276" s="4">
        <f>IFERROR(__xludf.DUMMYFUNCTION("""COMPUTED_VALUE"""),43992.0)</f>
        <v>43992</v>
      </c>
      <c r="B276" s="1" t="str">
        <f>IFERROR(__xludf.DUMMYFUNCTION("""COMPUTED_VALUE"""),"Starbucks announced that it lost as much as $3.2 billion in revenue because of the coronavirus pandemic.")</f>
        <v>Starbucks announced that it lost as much as $3.2 billion in revenue because of the coronavirus pandemic.</v>
      </c>
      <c r="C276" s="1" t="str">
        <f>IFERROR(__xludf.DUMMYFUNCTION("""COMPUTED_VALUE"""),"NBC News")</f>
        <v>NBC News</v>
      </c>
      <c r="D276" s="3" t="str">
        <f>IFERROR(__xludf.DUMMYFUNCTION("""COMPUTED_VALUE"""),"https://www.nbcnews.com/health/health-news/coronavirus-timeline-tracking-critical-moments-covid-19-n1154341")</f>
        <v>https://www.nbcnews.com/health/health-news/coronavirus-timeline-tracking-critical-moments-covid-19-n1154341</v>
      </c>
      <c r="E276" s="1"/>
      <c r="F276" s="1"/>
      <c r="G276" s="1"/>
      <c r="H276" s="1"/>
      <c r="I276" s="1"/>
    </row>
    <row r="277">
      <c r="A277" s="4">
        <f>IFERROR(__xludf.DUMMYFUNCTION("""COMPUTED_VALUE"""),43992.0)</f>
        <v>43992</v>
      </c>
      <c r="B277" s="1" t="str">
        <f>IFERROR(__xludf.DUMMYFUNCTION("""COMPUTED_VALUE"""),"Texas experienced a spike in COVID-19 hospitalizations, setting a new record for three consecutive days. The state reported 2,153 COVID-19 hospitalizations on Wednesday, 2,056 on Tuesday and 1,935 on Monday. All of those totals topped the earlier record o"&amp;"f 1,888 hospitalizations set on May 5.")</f>
        <v>Texas experienced a spike in COVID-19 hospitalizations, setting a new record for three consecutive days. The state reported 2,153 COVID-19 hospitalizations on Wednesday, 2,056 on Tuesday and 1,935 on Monday. All of those totals topped the earlier record of 1,888 hospitalizations set on May 5.</v>
      </c>
      <c r="C277" s="1" t="str">
        <f>IFERROR(__xludf.DUMMYFUNCTION("""COMPUTED_VALUE"""),"NBC News")</f>
        <v>NBC News</v>
      </c>
      <c r="D277" s="3" t="str">
        <f>IFERROR(__xludf.DUMMYFUNCTION("""COMPUTED_VALUE"""),"https://www.nbcnews.com/health/health-news/coronavirus-timeline-tracking-critical-moments-covid-19-n1154341")</f>
        <v>https://www.nbcnews.com/health/health-news/coronavirus-timeline-tracking-critical-moments-covid-19-n1154341</v>
      </c>
      <c r="E277" s="1"/>
      <c r="F277" s="1"/>
      <c r="G277" s="1"/>
      <c r="H277" s="1"/>
      <c r="I277" s="1"/>
    </row>
    <row r="278">
      <c r="A278" s="4">
        <f>IFERROR(__xludf.DUMMYFUNCTION("""COMPUTED_VALUE"""),43992.0)</f>
        <v>43992</v>
      </c>
      <c r="B278" s="1" t="str">
        <f>IFERROR(__xludf.DUMMYFUNCTION("""COMPUTED_VALUE"""),"Utah gubernatorial candidate Jon Huntsman said he tested positive for COVID-19.")</f>
        <v>Utah gubernatorial candidate Jon Huntsman said he tested positive for COVID-19.</v>
      </c>
      <c r="C278" s="1" t="str">
        <f>IFERROR(__xludf.DUMMYFUNCTION("""COMPUTED_VALUE"""),"NBC News")</f>
        <v>NBC News</v>
      </c>
      <c r="D278" s="3" t="str">
        <f>IFERROR(__xludf.DUMMYFUNCTION("""COMPUTED_VALUE"""),"https://www.nbcnews.com/health/health-news/coronavirus-timeline-tracking-critical-moments-covid-19-n1154341")</f>
        <v>https://www.nbcnews.com/health/health-news/coronavirus-timeline-tracking-critical-moments-covid-19-n1154341</v>
      </c>
      <c r="E278" s="1"/>
      <c r="F278" s="1"/>
      <c r="G278" s="1"/>
      <c r="H278" s="1"/>
      <c r="I278" s="1"/>
    </row>
    <row r="279">
      <c r="A279" s="4">
        <f>IFERROR(__xludf.DUMMYFUNCTION("""COMPUTED_VALUE"""),43992.0)</f>
        <v>43992</v>
      </c>
      <c r="B279" s="1" t="str">
        <f>IFERROR(__xludf.DUMMYFUNCTION("""COMPUTED_VALUE"""),"Disney announced a phased reopening plan for its California parks and resorts. Downtown Disney District will begin reopening on July 9, Disneyland and Disney California Adventure will reopen by July 17 and Disney’s Grand Californian Hotel &amp; Spa and Disney"&amp;"’s Paradise Pier Hotel plan to reopen on July 23.")</f>
        <v>Disney announced a phased reopening plan for its California parks and resorts. Downtown Disney District will begin reopening on July 9, Disneyland and Disney California Adventure will reopen by July 17 and Disney’s Grand Californian Hotel &amp; Spa and Disney’s Paradise Pier Hotel plan to reopen on July 23.</v>
      </c>
      <c r="C279" s="1" t="str">
        <f>IFERROR(__xludf.DUMMYFUNCTION("""COMPUTED_VALUE"""),"NBC News")</f>
        <v>NBC News</v>
      </c>
      <c r="D279" s="3" t="str">
        <f>IFERROR(__xludf.DUMMYFUNCTION("""COMPUTED_VALUE"""),"https://www.nbcnews.com/health/health-news/coronavirus-timeline-tracking-critical-moments-covid-19-n1154341")</f>
        <v>https://www.nbcnews.com/health/health-news/coronavirus-timeline-tracking-critical-moments-covid-19-n1154341</v>
      </c>
      <c r="E279" s="1"/>
      <c r="F279" s="1"/>
      <c r="G279" s="1"/>
      <c r="H279" s="1"/>
      <c r="I279" s="1"/>
    </row>
    <row r="280">
      <c r="A280" s="4">
        <f>IFERROR(__xludf.DUMMYFUNCTION("""COMPUTED_VALUE"""),43992.0)</f>
        <v>43992</v>
      </c>
      <c r="B280" s="1" t="str">
        <f>IFERROR(__xludf.DUMMYFUNCTION("""COMPUTED_VALUE"""),"California music festival Coachella and its smaller sibling Stagecoach were officially canceled.")</f>
        <v>California music festival Coachella and its smaller sibling Stagecoach were officially canceled.</v>
      </c>
      <c r="C280" s="1" t="str">
        <f>IFERROR(__xludf.DUMMYFUNCTION("""COMPUTED_VALUE"""),"NBC News")</f>
        <v>NBC News</v>
      </c>
      <c r="D280" s="3" t="str">
        <f>IFERROR(__xludf.DUMMYFUNCTION("""COMPUTED_VALUE"""),"https://www.nbcnews.com/health/health-news/coronavirus-timeline-tracking-critical-moments-covid-19-n1154341")</f>
        <v>https://www.nbcnews.com/health/health-news/coronavirus-timeline-tracking-critical-moments-covid-19-n1154341</v>
      </c>
      <c r="E280" s="1"/>
      <c r="F280" s="1"/>
      <c r="G280" s="1"/>
      <c r="H280" s="1"/>
      <c r="I280" s="1"/>
    </row>
    <row r="281">
      <c r="A281" s="4">
        <f>IFERROR(__xludf.DUMMYFUNCTION("""COMPUTED_VALUE"""),43992.0)</f>
        <v>43992</v>
      </c>
      <c r="B281" s="1" t="str">
        <f>IFERROR(__xludf.DUMMYFUNCTION("""COMPUTED_VALUE"""),"The Iowa State Fair, an annual slice of Americana summer since before the Civil War, was canceled because of ongoing concerns about the coronavirus pandemic.")</f>
        <v>The Iowa State Fair, an annual slice of Americana summer since before the Civil War, was canceled because of ongoing concerns about the coronavirus pandemic.</v>
      </c>
      <c r="C281" s="1" t="str">
        <f>IFERROR(__xludf.DUMMYFUNCTION("""COMPUTED_VALUE"""),"NBC News")</f>
        <v>NBC News</v>
      </c>
      <c r="D281" s="3" t="str">
        <f>IFERROR(__xludf.DUMMYFUNCTION("""COMPUTED_VALUE"""),"https://www.nbcnews.com/health/health-news/coronavirus-timeline-tracking-critical-moments-covid-19-n1154341")</f>
        <v>https://www.nbcnews.com/health/health-news/coronavirus-timeline-tracking-critical-moments-covid-19-n1154341</v>
      </c>
      <c r="E281" s="1"/>
      <c r="F281" s="1"/>
      <c r="G281" s="1"/>
      <c r="H281" s="1"/>
      <c r="I281" s="1"/>
    </row>
    <row r="282">
      <c r="A282" s="4">
        <f>IFERROR(__xludf.DUMMYFUNCTION("""COMPUTED_VALUE"""),43992.0)</f>
        <v>43992</v>
      </c>
      <c r="B282" s="1" t="str">
        <f>IFERROR(__xludf.DUMMYFUNCTION("""COMPUTED_VALUE"""),"Hawaii Gov. David Ige extended the state's 14-day quarantine for travelers arriving from out of state through the end of July.")</f>
        <v>Hawaii Gov. David Ige extended the state's 14-day quarantine for travelers arriving from out of state through the end of July.</v>
      </c>
      <c r="C282" s="1" t="str">
        <f>IFERROR(__xludf.DUMMYFUNCTION("""COMPUTED_VALUE"""),"NBC News")</f>
        <v>NBC News</v>
      </c>
      <c r="D282" s="3" t="str">
        <f>IFERROR(__xludf.DUMMYFUNCTION("""COMPUTED_VALUE"""),"https://www.nbcnews.com/health/health-news/coronavirus-timeline-tracking-critical-moments-covid-19-n1154341")</f>
        <v>https://www.nbcnews.com/health/health-news/coronavirus-timeline-tracking-critical-moments-covid-19-n1154341</v>
      </c>
      <c r="E282" s="1"/>
      <c r="F282" s="1"/>
      <c r="G282" s="1"/>
      <c r="H282" s="1"/>
      <c r="I282" s="1"/>
    </row>
    <row r="283">
      <c r="A283" s="4">
        <f>IFERROR(__xludf.DUMMYFUNCTION("""COMPUTED_VALUE"""),43992.0)</f>
        <v>43992</v>
      </c>
      <c r="B283" s="1" t="str">
        <f>IFERROR(__xludf.DUMMYFUNCTION("""COMPUTED_VALUE"""),"Confirmed cases of coronavirus in the U.S. surpassed 2 million.")</f>
        <v>Confirmed cases of coronavirus in the U.S. surpassed 2 million.</v>
      </c>
      <c r="C283" s="1" t="str">
        <f>IFERROR(__xludf.DUMMYFUNCTION("""COMPUTED_VALUE"""),"NBC News")</f>
        <v>NBC News</v>
      </c>
      <c r="D283" s="3" t="str">
        <f>IFERROR(__xludf.DUMMYFUNCTION("""COMPUTED_VALUE"""),"https://www.nbcnews.com/health/health-news/coronavirus-timeline-tracking-critical-moments-covid-19-n1154341")</f>
        <v>https://www.nbcnews.com/health/health-news/coronavirus-timeline-tracking-critical-moments-covid-19-n1154341</v>
      </c>
      <c r="E283" s="1"/>
      <c r="F283" s="1"/>
      <c r="G283" s="1"/>
      <c r="H283" s="1"/>
      <c r="I283" s="1"/>
    </row>
    <row r="284">
      <c r="A284" s="4">
        <f>IFERROR(__xludf.DUMMYFUNCTION("""COMPUTED_VALUE"""),43992.0)</f>
        <v>43992</v>
      </c>
      <c r="B284" s="1" t="str">
        <f>IFERROR(__xludf.DUMMYFUNCTION("""COMPUTED_VALUE"""),"A former member of the U.K. government's scientific advisory group said Britain's death toll from COVID-19 could have been halved if lockdown had been introduced a week earlier.")</f>
        <v>A former member of the U.K. government's scientific advisory group said Britain's death toll from COVID-19 could have been halved if lockdown had been introduced a week earlier.</v>
      </c>
      <c r="C284" s="1" t="str">
        <f>IFERROR(__xludf.DUMMYFUNCTION("""COMPUTED_VALUE"""),"NBC News")</f>
        <v>NBC News</v>
      </c>
      <c r="D284" s="3" t="str">
        <f>IFERROR(__xludf.DUMMYFUNCTION("""COMPUTED_VALUE"""),"https://www.nbcnews.com/health/health-news/coronavirus-timeline-tracking-critical-moments-covid-19-n1154341")</f>
        <v>https://www.nbcnews.com/health/health-news/coronavirus-timeline-tracking-critical-moments-covid-19-n1154341</v>
      </c>
      <c r="E284" s="1"/>
      <c r="F284" s="1"/>
      <c r="G284" s="1"/>
      <c r="H284" s="1"/>
      <c r="I284" s="1"/>
    </row>
    <row r="285">
      <c r="A285" s="4">
        <f>IFERROR(__xludf.DUMMYFUNCTION("""COMPUTED_VALUE"""),43992.0)</f>
        <v>43992</v>
      </c>
      <c r="B285" s="1" t="str">
        <f>IFERROR(__xludf.DUMMYFUNCTION("""COMPUTED_VALUE"""),"Australian football resumed play in an empty stadium after the season was put on hold in mid-March amid the coronavirus pandemic.")</f>
        <v>Australian football resumed play in an empty stadium after the season was put on hold in mid-March amid the coronavirus pandemic.</v>
      </c>
      <c r="C285" s="1" t="str">
        <f>IFERROR(__xludf.DUMMYFUNCTION("""COMPUTED_VALUE"""),"NBC News")</f>
        <v>NBC News</v>
      </c>
      <c r="D285" s="3" t="str">
        <f>IFERROR(__xludf.DUMMYFUNCTION("""COMPUTED_VALUE"""),"https://www.nbcnews.com/health/health-news/coronavirus-timeline-tracking-critical-moments-covid-19-n1154341")</f>
        <v>https://www.nbcnews.com/health/health-news/coronavirus-timeline-tracking-critical-moments-covid-19-n1154341</v>
      </c>
      <c r="E285" s="1"/>
      <c r="F285" s="1"/>
      <c r="G285" s="1"/>
      <c r="H285" s="1"/>
      <c r="I285" s="1"/>
    </row>
    <row r="286">
      <c r="A286" s="4">
        <f>IFERROR(__xludf.DUMMYFUNCTION("""COMPUTED_VALUE"""),43992.0)</f>
        <v>43992</v>
      </c>
      <c r="B286" s="1" t="str">
        <f>IFERROR(__xludf.DUMMYFUNCTION("""COMPUTED_VALUE"""),"Coronavirus deaths in Latin America surpassed 70,000.")</f>
        <v>Coronavirus deaths in Latin America surpassed 70,000.</v>
      </c>
      <c r="C286" s="1" t="str">
        <f>IFERROR(__xludf.DUMMYFUNCTION("""COMPUTED_VALUE"""),"NBC News")</f>
        <v>NBC News</v>
      </c>
      <c r="D286" s="3" t="str">
        <f>IFERROR(__xludf.DUMMYFUNCTION("""COMPUTED_VALUE"""),"https://www.nbcnews.com/health/health-news/coronavirus-timeline-tracking-critical-moments-covid-19-n1154341")</f>
        <v>https://www.nbcnews.com/health/health-news/coronavirus-timeline-tracking-critical-moments-covid-19-n1154341</v>
      </c>
      <c r="E286" s="1"/>
      <c r="F286" s="1"/>
      <c r="G286" s="1"/>
      <c r="H286" s="1"/>
      <c r="I286" s="1"/>
    </row>
    <row r="287">
      <c r="A287" s="4">
        <f>IFERROR(__xludf.DUMMYFUNCTION("""COMPUTED_VALUE"""),43993.0)</f>
        <v>43993</v>
      </c>
      <c r="B287" s="1" t="str">
        <f>IFERROR(__xludf.DUMMYFUNCTION("""COMPUTED_VALUE"""),"New information released by Moscow officials added more than 5,000 deaths from COVID-19 in May, despite official nation-wide statistics showing just over 6,000 have died since the start of the outbreak in mid-March.")</f>
        <v>New information released by Moscow officials added more than 5,000 deaths from COVID-19 in May, despite official nation-wide statistics showing just over 6,000 have died since the start of the outbreak in mid-March.</v>
      </c>
      <c r="C287" s="1" t="str">
        <f>IFERROR(__xludf.DUMMYFUNCTION("""COMPUTED_VALUE"""),"NBC News")</f>
        <v>NBC News</v>
      </c>
      <c r="D287" s="3" t="str">
        <f>IFERROR(__xludf.DUMMYFUNCTION("""COMPUTED_VALUE"""),"https://www.nbcnews.com/health/health-news/coronavirus-timeline-tracking-critical-moments-covid-19-n1154341")</f>
        <v>https://www.nbcnews.com/health/health-news/coronavirus-timeline-tracking-critical-moments-covid-19-n1154341</v>
      </c>
      <c r="E287" s="1"/>
      <c r="F287" s="1"/>
      <c r="G287" s="1"/>
      <c r="H287" s="1"/>
      <c r="I287" s="1"/>
    </row>
    <row r="288">
      <c r="A288" s="4">
        <f>IFERROR(__xludf.DUMMYFUNCTION("""COMPUTED_VALUE"""),43993.0)</f>
        <v>43993</v>
      </c>
      <c r="B288" s="1" t="str">
        <f>IFERROR(__xludf.DUMMYFUNCTION("""COMPUTED_VALUE"""),"Moderna confirmed that it plans to start a trial of 30,000 volunteers of its much-anticipated coronavirus vaccine in July as the company enters the final stage of testing.")</f>
        <v>Moderna confirmed that it plans to start a trial of 30,000 volunteers of its much-anticipated coronavirus vaccine in July as the company enters the final stage of testing.</v>
      </c>
      <c r="C288" s="1" t="str">
        <f>IFERROR(__xludf.DUMMYFUNCTION("""COMPUTED_VALUE"""),"NBC News")</f>
        <v>NBC News</v>
      </c>
      <c r="D288" s="3" t="str">
        <f>IFERROR(__xludf.DUMMYFUNCTION("""COMPUTED_VALUE"""),"https://www.nbcnews.com/health/health-news/coronavirus-timeline-tracking-critical-moments-covid-19-n1154341")</f>
        <v>https://www.nbcnews.com/health/health-news/coronavirus-timeline-tracking-critical-moments-covid-19-n1154341</v>
      </c>
      <c r="E288" s="1"/>
      <c r="F288" s="1"/>
      <c r="G288" s="1"/>
      <c r="H288" s="1"/>
      <c r="I288" s="1"/>
    </row>
    <row r="289">
      <c r="A289" s="4">
        <f>IFERROR(__xludf.DUMMYFUNCTION("""COMPUTED_VALUE"""),43993.0)</f>
        <v>43993</v>
      </c>
      <c r="B289" s="1" t="str">
        <f>IFERROR(__xludf.DUMMYFUNCTION("""COMPUTED_VALUE"""),"The Defense Department's largest biomedical lab, the Walter Reed Army Institute of Research in Maryland, selected a lead COVID-19 vaccine candidate for additional research as well as two backup vaccine candidates.")</f>
        <v>The Defense Department's largest biomedical lab, the Walter Reed Army Institute of Research in Maryland, selected a lead COVID-19 vaccine candidate for additional research as well as two backup vaccine candidates.</v>
      </c>
      <c r="C289" s="1" t="str">
        <f>IFERROR(__xludf.DUMMYFUNCTION("""COMPUTED_VALUE"""),"NBC News")</f>
        <v>NBC News</v>
      </c>
      <c r="D289" s="3" t="str">
        <f>IFERROR(__xludf.DUMMYFUNCTION("""COMPUTED_VALUE"""),"https://www.nbcnews.com/health/health-news/coronavirus-timeline-tracking-critical-moments-covid-19-n1154341")</f>
        <v>https://www.nbcnews.com/health/health-news/coronavirus-timeline-tracking-critical-moments-covid-19-n1154341</v>
      </c>
      <c r="E289" s="1"/>
      <c r="F289" s="1"/>
      <c r="G289" s="1"/>
      <c r="H289" s="1"/>
      <c r="I289" s="1"/>
    </row>
    <row r="290">
      <c r="A290" s="4">
        <f>IFERROR(__xludf.DUMMYFUNCTION("""COMPUTED_VALUE"""),43993.0)</f>
        <v>43993</v>
      </c>
      <c r="B290" s="1" t="str">
        <f>IFERROR(__xludf.DUMMYFUNCTION("""COMPUTED_VALUE"""),"Data released Thursday by the Department of Labor showed that more than 1.5 million people filed for unemployment for the first time last week. The claims came slightly below economists' expectations of 1.6 million first-time jobless claims and was a thir"&amp;"d of the peak of claims from early April.")</f>
        <v>Data released Thursday by the Department of Labor showed that more than 1.5 million people filed for unemployment for the first time last week. The claims came slightly below economists' expectations of 1.6 million first-time jobless claims and was a third of the peak of claims from early April.</v>
      </c>
      <c r="C290" s="1" t="str">
        <f>IFERROR(__xludf.DUMMYFUNCTION("""COMPUTED_VALUE"""),"NBC News")</f>
        <v>NBC News</v>
      </c>
      <c r="D290" s="3" t="str">
        <f>IFERROR(__xludf.DUMMYFUNCTION("""COMPUTED_VALUE"""),"https://www.nbcnews.com/health/health-news/coronavirus-timeline-tracking-critical-moments-covid-19-n1154341")</f>
        <v>https://www.nbcnews.com/health/health-news/coronavirus-timeline-tracking-critical-moments-covid-19-n1154341</v>
      </c>
      <c r="E290" s="1"/>
      <c r="F290" s="1"/>
      <c r="G290" s="1"/>
      <c r="H290" s="1"/>
      <c r="I290" s="1"/>
    </row>
    <row r="291">
      <c r="A291" s="4">
        <f>IFERROR(__xludf.DUMMYFUNCTION("""COMPUTED_VALUE"""),43993.0)</f>
        <v>43993</v>
      </c>
      <c r="B291" s="1" t="str">
        <f>IFERROR(__xludf.DUMMYFUNCTION("""COMPUTED_VALUE"""),"Nashville delayed its next reopening phase as the city saw a slight increase in new COVID-19 cases over the past two weeks, Mayor John Cooper said.")</f>
        <v>Nashville delayed its next reopening phase as the city saw a slight increase in new COVID-19 cases over the past two weeks, Mayor John Cooper said.</v>
      </c>
      <c r="C291" s="1" t="str">
        <f>IFERROR(__xludf.DUMMYFUNCTION("""COMPUTED_VALUE"""),"NBC News")</f>
        <v>NBC News</v>
      </c>
      <c r="D291" s="3" t="str">
        <f>IFERROR(__xludf.DUMMYFUNCTION("""COMPUTED_VALUE"""),"https://www.nbcnews.com/health/health-news/coronavirus-timeline-tracking-critical-moments-covid-19-n1154341")</f>
        <v>https://www.nbcnews.com/health/health-news/coronavirus-timeline-tracking-critical-moments-covid-19-n1154341</v>
      </c>
      <c r="E291" s="1"/>
      <c r="F291" s="1"/>
      <c r="G291" s="1"/>
      <c r="H291" s="1"/>
      <c r="I291" s="1"/>
    </row>
    <row r="292">
      <c r="A292" s="4">
        <f>IFERROR(__xludf.DUMMYFUNCTION("""COMPUTED_VALUE"""),43993.0)</f>
        <v>43993</v>
      </c>
      <c r="B292" s="1" t="str">
        <f>IFERROR(__xludf.DUMMYFUNCTION("""COMPUTED_VALUE"""),"Reports showed that coronavirus cases are rising in nearly half the states, as many places roll back lockdowns.")</f>
        <v>Reports showed that coronavirus cases are rising in nearly half the states, as many places roll back lockdowns.</v>
      </c>
      <c r="C292" s="1" t="str">
        <f>IFERROR(__xludf.DUMMYFUNCTION("""COMPUTED_VALUE"""),"NBC News")</f>
        <v>NBC News</v>
      </c>
      <c r="D292" s="3" t="str">
        <f>IFERROR(__xludf.DUMMYFUNCTION("""COMPUTED_VALUE"""),"https://www.nbcnews.com/health/health-news/coronavirus-timeline-tracking-critical-moments-covid-19-n1154341")</f>
        <v>https://www.nbcnews.com/health/health-news/coronavirus-timeline-tracking-critical-moments-covid-19-n1154341</v>
      </c>
      <c r="E292" s="1"/>
      <c r="F292" s="1"/>
      <c r="G292" s="1"/>
      <c r="H292" s="1"/>
      <c r="I292" s="1"/>
    </row>
    <row r="293">
      <c r="A293" s="4">
        <f>IFERROR(__xludf.DUMMYFUNCTION("""COMPUTED_VALUE"""),43993.0)</f>
        <v>43993</v>
      </c>
      <c r="B293" s="1" t="str">
        <f>IFERROR(__xludf.DUMMYFUNCTION("""COMPUTED_VALUE"""),"U.S. stocks dropped sharply as investors weighed sobering economic forecasts and new data, along with indications that the COVID-19 pandemic is far from subsiding.")</f>
        <v>U.S. stocks dropped sharply as investors weighed sobering economic forecasts and new data, along with indications that the COVID-19 pandemic is far from subsiding.</v>
      </c>
      <c r="C293" s="1" t="str">
        <f>IFERROR(__xludf.DUMMYFUNCTION("""COMPUTED_VALUE"""),"NBC News")</f>
        <v>NBC News</v>
      </c>
      <c r="D293" s="3" t="str">
        <f>IFERROR(__xludf.DUMMYFUNCTION("""COMPUTED_VALUE"""),"https://www.nbcnews.com/health/health-news/coronavirus-timeline-tracking-critical-moments-covid-19-n1154341")</f>
        <v>https://www.nbcnews.com/health/health-news/coronavirus-timeline-tracking-critical-moments-covid-19-n1154341</v>
      </c>
      <c r="E293" s="1"/>
      <c r="F293" s="1"/>
      <c r="G293" s="1"/>
      <c r="H293" s="1"/>
      <c r="I293" s="1"/>
    </row>
    <row r="294">
      <c r="A294" s="4">
        <f>IFERROR(__xludf.DUMMYFUNCTION("""COMPUTED_VALUE"""),43993.0)</f>
        <v>43993</v>
      </c>
      <c r="B294" s="1" t="str">
        <f>IFERROR(__xludf.DUMMYFUNCTION("""COMPUTED_VALUE"""),"Gov. Brian Kemp signed an executive order that removed many restrictions in Georgia starting June 16, including allowing restaurants and movie theaters to no longer enforce maximums on the number of people who can sit together.")</f>
        <v>Gov. Brian Kemp signed an executive order that removed many restrictions in Georgia starting June 16, including allowing restaurants and movie theaters to no longer enforce maximums on the number of people who can sit together.</v>
      </c>
      <c r="C294" s="1" t="str">
        <f>IFERROR(__xludf.DUMMYFUNCTION("""COMPUTED_VALUE"""),"NBC News")</f>
        <v>NBC News</v>
      </c>
      <c r="D294" s="3" t="str">
        <f>IFERROR(__xludf.DUMMYFUNCTION("""COMPUTED_VALUE"""),"https://www.nbcnews.com/health/health-news/coronavirus-timeline-tracking-critical-moments-covid-19-n1154341")</f>
        <v>https://www.nbcnews.com/health/health-news/coronavirus-timeline-tracking-critical-moments-covid-19-n1154341</v>
      </c>
      <c r="E294" s="1"/>
      <c r="F294" s="1"/>
      <c r="G294" s="1"/>
      <c r="H294" s="1"/>
      <c r="I294" s="1"/>
    </row>
    <row r="295">
      <c r="A295" s="4">
        <f>IFERROR(__xludf.DUMMYFUNCTION("""COMPUTED_VALUE"""),43998.0)</f>
        <v>43998</v>
      </c>
      <c r="B295" s="1" t="str">
        <f>IFERROR(__xludf.DUMMYFUNCTION("""COMPUTED_VALUE"""),"A common steroid drug called dexamethasone that has been used for decades to treat conditions from altitude sickness to eye inflammation was shown to reduce deaths by a third in the sickest patients in the hospital with COVID-19, researchers at the Univer"&amp;"sity of Oxford found. This was the first time, the researchers said, that a drug was shown to have an effect on death rates of the virus.")</f>
        <v>A common steroid drug called dexamethasone that has been used for decades to treat conditions from altitude sickness to eye inflammation was shown to reduce deaths by a third in the sickest patients in the hospital with COVID-19, researchers at the University of Oxford found. This was the first time, the researchers said, that a drug was shown to have an effect on death rates of the virus.</v>
      </c>
      <c r="C295" s="1" t="str">
        <f>IFERROR(__xludf.DUMMYFUNCTION("""COMPUTED_VALUE"""),"NBC News")</f>
        <v>NBC News</v>
      </c>
      <c r="D295" s="3" t="str">
        <f>IFERROR(__xludf.DUMMYFUNCTION("""COMPUTED_VALUE"""),"https://www.nbcnews.com/health/health-news/coronavirus-timeline-tracking-critical-moments-covid-19-n1154341")</f>
        <v>https://www.nbcnews.com/health/health-news/coronavirus-timeline-tracking-critical-moments-covid-19-n1154341</v>
      </c>
      <c r="E295" s="1"/>
      <c r="F295" s="1"/>
      <c r="G295" s="1"/>
      <c r="H295" s="1"/>
      <c r="I295" s="1"/>
    </row>
    <row r="296">
      <c r="A296" s="4">
        <f>IFERROR(__xludf.DUMMYFUNCTION("""COMPUTED_VALUE"""),43999.0)</f>
        <v>43999</v>
      </c>
      <c r="B296" s="1" t="str">
        <f>IFERROR(__xludf.DUMMYFUNCTION("""COMPUTED_VALUE"""),"The World Health Organization announced that it will update its clinical guidance for COVID-19 following the University of Oxford's announcement of results from a trial on the steroid dexamethasone. WHO officials stressed, however, that the drug should on"&amp;"ly be used in severe cases under close clinical supervision.")</f>
        <v>The World Health Organization announced that it will update its clinical guidance for COVID-19 following the University of Oxford's announcement of results from a trial on the steroid dexamethasone. WHO officials stressed, however, that the drug should only be used in severe cases under close clinical supervision.</v>
      </c>
      <c r="C296" s="1" t="str">
        <f>IFERROR(__xludf.DUMMYFUNCTION("""COMPUTED_VALUE"""),"NBC News")</f>
        <v>NBC News</v>
      </c>
      <c r="D296" s="3" t="str">
        <f>IFERROR(__xludf.DUMMYFUNCTION("""COMPUTED_VALUE"""),"https://www.nbcnews.com/health/health-news/coronavirus-timeline-tracking-critical-moments-covid-19-n1154341")</f>
        <v>https://www.nbcnews.com/health/health-news/coronavirus-timeline-tracking-critical-moments-covid-19-n1154341</v>
      </c>
      <c r="E296" s="1"/>
      <c r="F296" s="1"/>
      <c r="G296" s="1"/>
      <c r="H296" s="1"/>
      <c r="I296" s="1"/>
    </row>
    <row r="297">
      <c r="A297" s="4">
        <f>IFERROR(__xludf.DUMMYFUNCTION("""COMPUTED_VALUE"""),43999.0)</f>
        <v>43999</v>
      </c>
      <c r="B297" s="1" t="str">
        <f>IFERROR(__xludf.DUMMYFUNCTION("""COMPUTED_VALUE"""),"The president of Honduras, Juan Orlando Hernández, was hospitalized for pneumonia after revealing the previous day that he and his wife had tested positive for COVID-19.")</f>
        <v>The president of Honduras, Juan Orlando Hernández, was hospitalized for pneumonia after revealing the previous day that he and his wife had tested positive for COVID-19.</v>
      </c>
      <c r="C297" s="1" t="str">
        <f>IFERROR(__xludf.DUMMYFUNCTION("""COMPUTED_VALUE"""),"NBC News")</f>
        <v>NBC News</v>
      </c>
      <c r="D297" s="3" t="str">
        <f>IFERROR(__xludf.DUMMYFUNCTION("""COMPUTED_VALUE"""),"https://www.nbcnews.com/health/health-news/coronavirus-timeline-tracking-critical-moments-covid-19-n1154341")</f>
        <v>https://www.nbcnews.com/health/health-news/coronavirus-timeline-tracking-critical-moments-covid-19-n1154341</v>
      </c>
      <c r="E297" s="1"/>
      <c r="F297" s="1"/>
      <c r="G297" s="1"/>
      <c r="H297" s="1"/>
      <c r="I297" s="1"/>
    </row>
    <row r="298">
      <c r="A298" s="4">
        <f>IFERROR(__xludf.DUMMYFUNCTION("""COMPUTED_VALUE"""),43999.0)</f>
        <v>43999</v>
      </c>
      <c r="B298" s="1" t="str">
        <f>IFERROR(__xludf.DUMMYFUNCTION("""COMPUTED_VALUE"""),"The World Health Organization halted research on whether hydroxychloroquine could be an effective treatment for COVID-19. Multiple studies had shown that the drug, an anti-malarial medicine also used to treat lupus and rheumatoid arthritis, had no impact "&amp;"on the coronavirus.")</f>
        <v>The World Health Organization halted research on whether hydroxychloroquine could be an effective treatment for COVID-19. Multiple studies had shown that the drug, an anti-malarial medicine also used to treat lupus and rheumatoid arthritis, had no impact on the coronavirus.</v>
      </c>
      <c r="C298" s="1" t="str">
        <f>IFERROR(__xludf.DUMMYFUNCTION("""COMPUTED_VALUE"""),"NBC News")</f>
        <v>NBC News</v>
      </c>
      <c r="D298" s="3" t="str">
        <f>IFERROR(__xludf.DUMMYFUNCTION("""COMPUTED_VALUE"""),"https://www.nbcnews.com/health/health-news/coronavirus-timeline-tracking-critical-moments-covid-19-n1154341")</f>
        <v>https://www.nbcnews.com/health/health-news/coronavirus-timeline-tracking-critical-moments-covid-19-n1154341</v>
      </c>
      <c r="E298" s="1"/>
      <c r="F298" s="1"/>
      <c r="G298" s="1"/>
      <c r="H298" s="1"/>
      <c r="I298" s="1"/>
    </row>
    <row r="299">
      <c r="A299" s="4">
        <f>IFERROR(__xludf.DUMMYFUNCTION("""COMPUTED_VALUE"""),44007.0)</f>
        <v>44007</v>
      </c>
      <c r="B299" s="1" t="str">
        <f>IFERROR(__xludf.DUMMYFUNCTION("""COMPUTED_VALUE"""),"Texas Gov. Greg Abbott paused reopening the state after Texas recorded the most daily deaths since May 20 and hospitals were inundated with “an explosion” of COVID-19 cases.")</f>
        <v>Texas Gov. Greg Abbott paused reopening the state after Texas recorded the most daily deaths since May 20 and hospitals were inundated with “an explosion” of COVID-19 cases.</v>
      </c>
      <c r="C299" s="1" t="str">
        <f>IFERROR(__xludf.DUMMYFUNCTION("""COMPUTED_VALUE"""),"NBC News")</f>
        <v>NBC News</v>
      </c>
      <c r="D299" s="3" t="str">
        <f>IFERROR(__xludf.DUMMYFUNCTION("""COMPUTED_VALUE"""),"https://www.nbcnews.com/health/health-news/coronavirus-timeline-tracking-critical-moments-covid-19-n1154341")</f>
        <v>https://www.nbcnews.com/health/health-news/coronavirus-timeline-tracking-critical-moments-covid-19-n1154341</v>
      </c>
      <c r="E299" s="1"/>
      <c r="F299" s="1"/>
      <c r="G299" s="1"/>
      <c r="H299" s="1"/>
      <c r="I299" s="1"/>
    </row>
    <row r="300">
      <c r="A300" s="4">
        <f>IFERROR(__xludf.DUMMYFUNCTION("""COMPUTED_VALUE"""),44008.0)</f>
        <v>44008</v>
      </c>
      <c r="B300" s="1" t="str">
        <f>IFERROR(__xludf.DUMMYFUNCTION("""COMPUTED_VALUE"""),"The governors of Florida and Texas closed down bars to slow down the spread of the coronavirus that was rampaging at record levels through their states.")</f>
        <v>The governors of Florida and Texas closed down bars to slow down the spread of the coronavirus that was rampaging at record levels through their states.</v>
      </c>
      <c r="C300" s="1" t="str">
        <f>IFERROR(__xludf.DUMMYFUNCTION("""COMPUTED_VALUE"""),"NBC News")</f>
        <v>NBC News</v>
      </c>
      <c r="D300" s="3" t="str">
        <f>IFERROR(__xludf.DUMMYFUNCTION("""COMPUTED_VALUE"""),"https://www.nbcnews.com/health/health-news/coronavirus-timeline-tracking-critical-moments-covid-19-n1154341")</f>
        <v>https://www.nbcnews.com/health/health-news/coronavirus-timeline-tracking-critical-moments-covid-19-n1154341</v>
      </c>
      <c r="E300" s="1"/>
      <c r="F300" s="1"/>
      <c r="G300" s="1"/>
      <c r="H300" s="1"/>
      <c r="I300" s="1"/>
    </row>
    <row r="301">
      <c r="A301" s="2">
        <f>IFERROR(__xludf.DUMMYFUNCTION("""COMPUTED_VALUE"""),44010.0)</f>
        <v>44010</v>
      </c>
      <c r="B301" s="1" t="str">
        <f>IFERROR(__xludf.DUMMYFUNCTION("""COMPUTED_VALUE"""),"The number of global COVID-19 cases surpass 10 million, and global deaths surpass 500,000.")</f>
        <v>The number of global COVID-19 cases surpass 10 million, and global deaths surpass 500,000.</v>
      </c>
      <c r="C301" s="1" t="str">
        <f>IFERROR(__xludf.DUMMYFUNCTION("""COMPUTED_VALUE"""),"Business Insider")</f>
        <v>Business Insider</v>
      </c>
      <c r="D301" s="3" t="str">
        <f>IFERROR(__xludf.DUMMYFUNCTION("""COMPUTED_VALUE"""),"https://www.businessinsider.com/coronavirus-pandemic-timeline-history-major-events-2020-3")</f>
        <v>https://www.businessinsider.com/coronavirus-pandemic-timeline-history-major-events-2020-3</v>
      </c>
      <c r="E301" s="1"/>
      <c r="F301" s="1"/>
      <c r="G301" s="1"/>
      <c r="H301" s="1"/>
      <c r="I301" s="1"/>
    </row>
    <row r="302">
      <c r="A302" s="4">
        <f>IFERROR(__xludf.DUMMYFUNCTION("""COMPUTED_VALUE"""),44010.0)</f>
        <v>44010</v>
      </c>
      <c r="B302" s="1" t="str">
        <f>IFERROR(__xludf.DUMMYFUNCTION("""COMPUTED_VALUE"""),"Global death toll from COVID-19 surpassed 500,000 and the number of confirmed cases worldwide topped 10 million.")</f>
        <v>Global death toll from COVID-19 surpassed 500,000 and the number of confirmed cases worldwide topped 10 million.</v>
      </c>
      <c r="C302" s="1" t="str">
        <f>IFERROR(__xludf.DUMMYFUNCTION("""COMPUTED_VALUE"""),"NBC News")</f>
        <v>NBC News</v>
      </c>
      <c r="D302" s="3" t="str">
        <f>IFERROR(__xludf.DUMMYFUNCTION("""COMPUTED_VALUE"""),"https://www.nbcnews.com/health/health-news/coronavirus-timeline-tracking-critical-moments-covid-19-n1154341")</f>
        <v>https://www.nbcnews.com/health/health-news/coronavirus-timeline-tracking-critical-moments-covid-19-n1154341</v>
      </c>
      <c r="E302" s="1"/>
      <c r="F302" s="1"/>
      <c r="G302" s="1"/>
      <c r="H302" s="1"/>
      <c r="I302" s="1"/>
    </row>
    <row r="303">
      <c r="A303" s="4">
        <f>IFERROR(__xludf.DUMMYFUNCTION("""COMPUTED_VALUE"""),44010.0)</f>
        <v>44010</v>
      </c>
      <c r="B303" s="1" t="str">
        <f>IFERROR(__xludf.DUMMYFUNCTION("""COMPUTED_VALUE"""),"California Gov. Gavin Newsom ordered seven counties, including Los Angeles, to shutter bars as coronavirus cases surged in the state.")</f>
        <v>California Gov. Gavin Newsom ordered seven counties, including Los Angeles, to shutter bars as coronavirus cases surged in the state.</v>
      </c>
      <c r="C303" s="1" t="str">
        <f>IFERROR(__xludf.DUMMYFUNCTION("""COMPUTED_VALUE"""),"NBC News")</f>
        <v>NBC News</v>
      </c>
      <c r="D303" s="3" t="str">
        <f>IFERROR(__xludf.DUMMYFUNCTION("""COMPUTED_VALUE"""),"https://www.nbcnews.com/health/health-news/coronavirus-timeline-tracking-critical-moments-covid-19-n1154341")</f>
        <v>https://www.nbcnews.com/health/health-news/coronavirus-timeline-tracking-critical-moments-covid-19-n1154341</v>
      </c>
      <c r="E303" s="1"/>
      <c r="F303" s="1"/>
      <c r="G303" s="1"/>
      <c r="H303" s="1"/>
      <c r="I303" s="1"/>
    </row>
    <row r="304">
      <c r="A304" s="4">
        <f>IFERROR(__xludf.DUMMYFUNCTION("""COMPUTED_VALUE"""),44011.0)</f>
        <v>44011</v>
      </c>
      <c r="B304" s="1" t="str">
        <f>IFERROR(__xludf.DUMMYFUNCTION("""COMPUTED_VALUE"""),"Gilead Sciences, the maker of a drug shown to shorten recovery time for severely ill COVID-19 patients said it will charge $2,340 for a typical treatment course for people covered by government health programs in the United States and other developed coun"&amp;"tries.The price for remdesivir would be $3,120 for patients with private insurance.")</f>
        <v>Gilead Sciences, the maker of a drug shown to shorten recovery time for severely ill COVID-19 patients said it will charge $2,340 for a typical treatment course for people covered by government health programs in the United States and other developed countries.The price for remdesivir would be $3,120 for patients with private insurance.</v>
      </c>
      <c r="C304" s="1" t="str">
        <f>IFERROR(__xludf.DUMMYFUNCTION("""COMPUTED_VALUE"""),"NBC News")</f>
        <v>NBC News</v>
      </c>
      <c r="D304" s="3" t="str">
        <f>IFERROR(__xludf.DUMMYFUNCTION("""COMPUTED_VALUE"""),"https://www.nbcnews.com/health/health-news/coronavirus-timeline-tracking-critical-moments-covid-19-n1154341")</f>
        <v>https://www.nbcnews.com/health/health-news/coronavirus-timeline-tracking-critical-moments-covid-19-n1154341</v>
      </c>
      <c r="E304" s="1"/>
      <c r="F304" s="1"/>
      <c r="G304" s="1"/>
      <c r="H304" s="1"/>
      <c r="I304" s="1"/>
    </row>
    <row r="305">
      <c r="A305" s="4">
        <f>IFERROR(__xludf.DUMMYFUNCTION("""COMPUTED_VALUE"""),44012.0)</f>
        <v>44012</v>
      </c>
      <c r="B305" s="1" t="str">
        <f>IFERROR(__xludf.DUMMYFUNCTION("""COMPUTED_VALUE"""),"The European Union barred most travelers from the United States because the coronavirus is still too prevalent in the country. The E.U.’s 27 members drew up a list of countries whose virus levels are deemed low enough to allow people from those places to "&amp;"travel into the bloc, which has been mostly sealed off since March.")</f>
        <v>The European Union barred most travelers from the United States because the coronavirus is still too prevalent in the country. The E.U.’s 27 members drew up a list of countries whose virus levels are deemed low enough to allow people from those places to travel into the bloc, which has been mostly sealed off since March.</v>
      </c>
      <c r="C305" s="1" t="str">
        <f>IFERROR(__xludf.DUMMYFUNCTION("""COMPUTED_VALUE"""),"NBC News")</f>
        <v>NBC News</v>
      </c>
      <c r="D305" s="3" t="str">
        <f>IFERROR(__xludf.DUMMYFUNCTION("""COMPUTED_VALUE"""),"https://www.nbcnews.com/health/health-news/coronavirus-timeline-tracking-critical-moments-covid-19-n1154341")</f>
        <v>https://www.nbcnews.com/health/health-news/coronavirus-timeline-tracking-critical-moments-covid-19-n1154341</v>
      </c>
      <c r="E305" s="1"/>
      <c r="F305" s="1"/>
      <c r="G305" s="1"/>
      <c r="H305" s="1"/>
      <c r="I305" s="1"/>
    </row>
    <row r="306">
      <c r="A306" s="4">
        <f>IFERROR(__xludf.DUMMYFUNCTION("""COMPUTED_VALUE"""),44015.0)</f>
        <v>44015</v>
      </c>
      <c r="B306" s="1" t="str">
        <f>IFERROR(__xludf.DUMMYFUNCTION("""COMPUTED_VALUE"""),"The number of confirmed coronavirus cases worldwide surpassed 11 million.")</f>
        <v>The number of confirmed coronavirus cases worldwide surpassed 11 million.</v>
      </c>
      <c r="C306" s="1" t="str">
        <f>IFERROR(__xludf.DUMMYFUNCTION("""COMPUTED_VALUE"""),"NBC News")</f>
        <v>NBC News</v>
      </c>
      <c r="D306" s="3" t="str">
        <f>IFERROR(__xludf.DUMMYFUNCTION("""COMPUTED_VALUE"""),"https://www.nbcnews.com/health/health-news/coronavirus-timeline-tracking-critical-moments-covid-19-n1154341")</f>
        <v>https://www.nbcnews.com/health/health-news/coronavirus-timeline-tracking-critical-moments-covid-19-n1154341</v>
      </c>
      <c r="E306" s="1"/>
      <c r="F306" s="1"/>
      <c r="G306" s="1"/>
      <c r="H306" s="1"/>
      <c r="I306" s="1"/>
    </row>
    <row r="307">
      <c r="A307" s="4">
        <f>IFERROR(__xludf.DUMMYFUNCTION("""COMPUTED_VALUE"""),44017.0)</f>
        <v>44017</v>
      </c>
      <c r="B307" s="1" t="str">
        <f>IFERROR(__xludf.DUMMYFUNCTION("""COMPUTED_VALUE"""),"Florida surpassed 200,000 confirmed coronavirus cases as the state reported more than 10,000 new positives for four straight days.")</f>
        <v>Florida surpassed 200,000 confirmed coronavirus cases as the state reported more than 10,000 new positives for four straight days.</v>
      </c>
      <c r="C307" s="1" t="str">
        <f>IFERROR(__xludf.DUMMYFUNCTION("""COMPUTED_VALUE"""),"NBC News")</f>
        <v>NBC News</v>
      </c>
      <c r="D307" s="3" t="str">
        <f>IFERROR(__xludf.DUMMYFUNCTION("""COMPUTED_VALUE"""),"https://www.nbcnews.com/health/health-news/coronavirus-timeline-tracking-critical-moments-covid-19-n1154341")</f>
        <v>https://www.nbcnews.com/health/health-news/coronavirus-timeline-tracking-critical-moments-covid-19-n1154341</v>
      </c>
      <c r="E307" s="1"/>
      <c r="F307" s="1"/>
      <c r="G307" s="1"/>
      <c r="H307" s="1"/>
      <c r="I307" s="1"/>
    </row>
    <row r="308">
      <c r="A308" s="4">
        <f>IFERROR(__xludf.DUMMYFUNCTION("""COMPUTED_VALUE"""),44019.0)</f>
        <v>44019</v>
      </c>
      <c r="B308" s="1" t="str">
        <f>IFERROR(__xludf.DUMMYFUNCTION("""COMPUTED_VALUE"""),"The WHO acknowledged ""emerging evidence"" of the airborne spread of the coronavirus, after a group of scientists wrote a letter urging the global body to update its guidance on how the respiratory disease is spread.")</f>
        <v>The WHO acknowledged "emerging evidence" of the airborne spread of the coronavirus, after a group of scientists wrote a letter urging the global body to update its guidance on how the respiratory disease is spread.</v>
      </c>
      <c r="C308" s="1" t="str">
        <f>IFERROR(__xludf.DUMMYFUNCTION("""COMPUTED_VALUE"""),"NBC News")</f>
        <v>NBC News</v>
      </c>
      <c r="D308" s="3" t="str">
        <f>IFERROR(__xludf.DUMMYFUNCTION("""COMPUTED_VALUE"""),"https://www.nbcnews.com/health/health-news/coronavirus-timeline-tracking-critical-moments-covid-19-n1154341")</f>
        <v>https://www.nbcnews.com/health/health-news/coronavirus-timeline-tracking-critical-moments-covid-19-n1154341</v>
      </c>
      <c r="E308" s="1"/>
      <c r="F308" s="1"/>
      <c r="G308" s="1"/>
      <c r="H308" s="1"/>
      <c r="I308" s="1"/>
    </row>
    <row r="309">
      <c r="A309" s="4">
        <f>IFERROR(__xludf.DUMMYFUNCTION("""COMPUTED_VALUE"""),44019.0)</f>
        <v>44019</v>
      </c>
      <c r="B309" s="1" t="str">
        <f>IFERROR(__xludf.DUMMYFUNCTION("""COMPUTED_VALUE"""),"Brazil President Jair Bolsonaro announced that he tested positive for the coronavirus. Bolsonaro spent months downplaying the severity of the disease, even as Brazil recorded more than 1.6 million confirmed cases of the coronavirus, second only to the Uni"&amp;"ted States, and more than 65,000 deaths.")</f>
        <v>Brazil President Jair Bolsonaro announced that he tested positive for the coronavirus. Bolsonaro spent months downplaying the severity of the disease, even as Brazil recorded more than 1.6 million confirmed cases of the coronavirus, second only to the United States, and more than 65,000 deaths.</v>
      </c>
      <c r="C309" s="1" t="str">
        <f>IFERROR(__xludf.DUMMYFUNCTION("""COMPUTED_VALUE"""),"NBC News")</f>
        <v>NBC News</v>
      </c>
      <c r="D309" s="3" t="str">
        <f>IFERROR(__xludf.DUMMYFUNCTION("""COMPUTED_VALUE"""),"https://www.nbcnews.com/health/health-news/coronavirus-timeline-tracking-critical-moments-covid-19-n1154341")</f>
        <v>https://www.nbcnews.com/health/health-news/coronavirus-timeline-tracking-critical-moments-covid-19-n1154341</v>
      </c>
      <c r="E309" s="1"/>
      <c r="F309" s="1"/>
      <c r="G309" s="1"/>
      <c r="H309" s="1"/>
      <c r="I309" s="1"/>
    </row>
    <row r="310">
      <c r="A310" s="4">
        <f>IFERROR(__xludf.DUMMYFUNCTION("""COMPUTED_VALUE"""),44019.0)</f>
        <v>44019</v>
      </c>
      <c r="B310" s="1" t="str">
        <f>IFERROR(__xludf.DUMMYFUNCTION("""COMPUTED_VALUE"""),"The United States officially notified the United Nations of its withdrawal from the World Health Organization. The withdrawal is expected to take effect July 6, 2021.")</f>
        <v>The United States officially notified the United Nations of its withdrawal from the World Health Organization. The withdrawal is expected to take effect July 6, 2021.</v>
      </c>
      <c r="C310" s="1" t="str">
        <f>IFERROR(__xludf.DUMMYFUNCTION("""COMPUTED_VALUE"""),"NBC News")</f>
        <v>NBC News</v>
      </c>
      <c r="D310" s="3" t="str">
        <f>IFERROR(__xludf.DUMMYFUNCTION("""COMPUTED_VALUE"""),"https://www.nbcnews.com/health/health-news/coronavirus-timeline-tracking-critical-moments-covid-19-n1154341")</f>
        <v>https://www.nbcnews.com/health/health-news/coronavirus-timeline-tracking-critical-moments-covid-19-n1154341</v>
      </c>
      <c r="E310" s="1"/>
      <c r="F310" s="1"/>
      <c r="G310" s="1"/>
      <c r="H310" s="1"/>
      <c r="I310" s="1"/>
    </row>
    <row r="311">
      <c r="A311" s="4">
        <f>IFERROR(__xludf.DUMMYFUNCTION("""COMPUTED_VALUE"""),44019.0)</f>
        <v>44019</v>
      </c>
      <c r="B311" s="1" t="str">
        <f>IFERROR(__xludf.DUMMYFUNCTION("""COMPUTED_VALUE"""),"The number of coronavirus cases in the U.S. surpassed three million.")</f>
        <v>The number of coronavirus cases in the U.S. surpassed three million.</v>
      </c>
      <c r="C311" s="1" t="str">
        <f>IFERROR(__xludf.DUMMYFUNCTION("""COMPUTED_VALUE"""),"NBC News")</f>
        <v>NBC News</v>
      </c>
      <c r="D311" s="3" t="str">
        <f>IFERROR(__xludf.DUMMYFUNCTION("""COMPUTED_VALUE"""),"https://www.nbcnews.com/health/health-news/coronavirus-timeline-tracking-critical-moments-covid-19-n1154341")</f>
        <v>https://www.nbcnews.com/health/health-news/coronavirus-timeline-tracking-critical-moments-covid-19-n1154341</v>
      </c>
      <c r="E311" s="1"/>
      <c r="F311" s="1"/>
      <c r="G311" s="1"/>
      <c r="H311" s="1"/>
      <c r="I311" s="1"/>
    </row>
    <row r="312">
      <c r="A312" s="2">
        <f>IFERROR(__xludf.DUMMYFUNCTION("""COMPUTED_VALUE"""),44022.0)</f>
        <v>44022</v>
      </c>
      <c r="B312" s="1" t="str">
        <f>IFERROR(__xludf.DUMMYFUNCTION("""COMPUTED_VALUE"""),"192 countries, territories and areas have implemented additional health measures that significantly interfere with international traffic.")</f>
        <v>192 countries, territories and areas have implemented additional health measures that significantly interfere with international traffic.</v>
      </c>
      <c r="C312" s="1" t="str">
        <f>IFERROR(__xludf.DUMMYFUNCTION("""COMPUTED_VALUE"""),"World Health Organization")</f>
        <v>World Health Organization</v>
      </c>
      <c r="D312" s="3" t="str">
        <f>IFERROR(__xludf.DUMMYFUNCTION("""COMPUTED_VALUE"""),"https://www.who.int/docs/default-source/coronaviruse/situation-reports/20200717-covid-19-sitrep-179.pdf?sfvrsn=2f1599fa_2")</f>
        <v>https://www.who.int/docs/default-source/coronaviruse/situation-reports/20200717-covid-19-sitrep-179.pdf?sfvrsn=2f1599fa_2</v>
      </c>
      <c r="E312" s="1"/>
      <c r="F312" s="1"/>
      <c r="G312" s="1"/>
      <c r="H312" s="1"/>
      <c r="I312" s="1"/>
    </row>
    <row r="313">
      <c r="A313" s="2">
        <f>IFERROR(__xludf.DUMMYFUNCTION("""COMPUTED_VALUE"""),44022.0)</f>
        <v>44022</v>
      </c>
      <c r="B313" s="1" t="str">
        <f>IFERROR(__xludf.DUMMYFUNCTION("""COMPUTED_VALUE"""),"Hong Kong shut down schools amid a third wave.")</f>
        <v>Hong Kong shut down schools amid a third wave.</v>
      </c>
      <c r="C313" s="1" t="str">
        <f>IFERROR(__xludf.DUMMYFUNCTION("""COMPUTED_VALUE"""),"New York Times")</f>
        <v>New York Times</v>
      </c>
      <c r="D313" s="3" t="str">
        <f>IFERROR(__xludf.DUMMYFUNCTION("""COMPUTED_VALUE"""),"https://www.nytimes.com/2020/03/31/world/asia/coronavirus-china-hong-kong-singapore-south-korea.html")</f>
        <v>https://www.nytimes.com/2020/03/31/world/asia/coronavirus-china-hong-kong-singapore-south-korea.html</v>
      </c>
      <c r="E313" s="1"/>
      <c r="F313" s="1"/>
      <c r="G313" s="1"/>
      <c r="H313" s="1"/>
      <c r="I313" s="1"/>
    </row>
    <row r="314">
      <c r="A314" s="2">
        <f>IFERROR(__xludf.DUMMYFUNCTION("""COMPUTED_VALUE"""),44023.0)</f>
        <v>44023</v>
      </c>
      <c r="B314" s="1" t="str">
        <f>IFERROR(__xludf.DUMMYFUNCTION("""COMPUTED_VALUE"""),"President Trump publicly wore a mask for the first time.")</f>
        <v>President Trump publicly wore a mask for the first time.</v>
      </c>
      <c r="C314" s="1" t="str">
        <f>IFERROR(__xludf.DUMMYFUNCTION("""COMPUTED_VALUE"""),"CNN")</f>
        <v>CNN</v>
      </c>
      <c r="D314" s="3" t="str">
        <f>IFERROR(__xludf.DUMMYFUNCTION("""COMPUTED_VALUE"""),"https://www.cnn.com/2020/07/11/politics/trump-walter-reed-visit-mask/index.html")</f>
        <v>https://www.cnn.com/2020/07/11/politics/trump-walter-reed-visit-mask/index.html</v>
      </c>
      <c r="E314" s="1"/>
      <c r="F314" s="1"/>
      <c r="G314" s="1"/>
      <c r="H314" s="1"/>
      <c r="I314" s="1"/>
    </row>
    <row r="315">
      <c r="A315" s="2">
        <f>IFERROR(__xludf.DUMMYFUNCTION("""COMPUTED_VALUE"""),44025.0)</f>
        <v>44025</v>
      </c>
      <c r="B315" s="1" t="str">
        <f>IFERROR(__xludf.DUMMYFUNCTION("""COMPUTED_VALUE"""),"Study shows more than five million Americans lost health insurance.")</f>
        <v>Study shows more than five million Americans lost health insurance.</v>
      </c>
      <c r="C315" s="1" t="str">
        <f>IFERROR(__xludf.DUMMYFUNCTION("""COMPUTED_VALUE"""),"New York Times")</f>
        <v>New York Times</v>
      </c>
      <c r="D315" s="3" t="str">
        <f>IFERROR(__xludf.DUMMYFUNCTION("""COMPUTED_VALUE"""),"https://www.nytimes.com/2020/07/13/us/politics/coronavirus-health-insurance-trump.html")</f>
        <v>https://www.nytimes.com/2020/07/13/us/politics/coronavirus-health-insurance-trump.html</v>
      </c>
      <c r="E315" s="1"/>
      <c r="F315" s="1"/>
      <c r="G315" s="1"/>
      <c r="H315" s="1"/>
      <c r="I315" s="1"/>
    </row>
    <row r="316">
      <c r="A316" s="2">
        <f>IFERROR(__xludf.DUMMYFUNCTION("""COMPUTED_VALUE"""),44026.0)</f>
        <v>44026</v>
      </c>
      <c r="B316" s="1" t="str">
        <f>IFERROR(__xludf.DUMMYFUNCTION("""COMPUTED_VALUE"""),"The latest edition of the State of Food Security and Nutrition in the World, published yesterday, estimates that almost 690 million people went hungry in 2019 – up by 10 million from 2018, and by nearly 60 million in the past five years. The report foreca"&amp;"sts the COVID-19 pandemic could tip over 130 million more people into chronic hunger by the end of 2020.")</f>
        <v>The latest edition of the State of Food Security and Nutrition in the World, published yesterday, estimates that almost 690 million people went hungry in 2019 – up by 10 million from 2018, and by nearly 60 million in the past five years. The report forecasts the COVID-19 pandemic could tip over 130 million more people into chronic hunger by the end of 2020.</v>
      </c>
      <c r="C316" s="1" t="str">
        <f>IFERROR(__xludf.DUMMYFUNCTION("""COMPUTED_VALUE"""),"World Health Organization")</f>
        <v>World Health Organization</v>
      </c>
      <c r="D316" s="3" t="str">
        <f>IFERROR(__xludf.DUMMYFUNCTION("""COMPUTED_VALUE"""),"https://www.who.int/news-room/detail/13-07-2020-as-more-go-hungry-and-malnutrition-persists-achieving-zero-hunger-by-2030-in-doubt-un-report-warns")</f>
        <v>https://www.who.int/news-room/detail/13-07-2020-as-more-go-hungry-and-malnutrition-persists-achieving-zero-hunger-by-2030-in-doubt-un-report-warns</v>
      </c>
      <c r="E316" s="1"/>
      <c r="F316" s="1"/>
      <c r="G316" s="1"/>
      <c r="H316" s="1"/>
      <c r="I316" s="1"/>
    </row>
    <row r="317">
      <c r="A317" s="2">
        <f>IFERROR(__xludf.DUMMYFUNCTION("""COMPUTED_VALUE"""),44026.0)</f>
        <v>44026</v>
      </c>
      <c r="B317" s="1" t="str">
        <f>IFERROR(__xludf.DUMMYFUNCTION("""COMPUTED_VALUE"""),"Tokyo raised its pandemic alert level.")</f>
        <v>Tokyo raised its pandemic alert level.</v>
      </c>
      <c r="C317" s="1" t="str">
        <f>IFERROR(__xludf.DUMMYFUNCTION("""COMPUTED_VALUE"""),"US News")</f>
        <v>US News</v>
      </c>
      <c r="D317" s="3" t="str">
        <f>IFERROR(__xludf.DUMMYFUNCTION("""COMPUTED_VALUE"""),"https://www.usnews.com/news/world/articles/2020-07-14/tokyo-to-lift-coronavirus-alert-to-highest-level-asahi")</f>
        <v>https://www.usnews.com/news/world/articles/2020-07-14/tokyo-to-lift-coronavirus-alert-to-highest-level-asahi</v>
      </c>
      <c r="E317" s="1"/>
      <c r="F317" s="1"/>
      <c r="G317" s="1"/>
      <c r="H317" s="1"/>
      <c r="I317" s="1"/>
    </row>
    <row r="318">
      <c r="A318" s="2">
        <f>IFERROR(__xludf.DUMMYFUNCTION("""COMPUTED_VALUE"""),44027.0)</f>
        <v>44027</v>
      </c>
      <c r="B318" s="1" t="str">
        <f>IFERROR(__xludf.DUMMYFUNCTION("""COMPUTED_VALUE"""),"75 countries have submitted expressions of interest to protect their populations and those of other nations through joining the COVAX Facility, a mechanism designed to guarantee rapid, fair and equitable access to COVID-19 vaccines worldwide. The goal of "&amp;"COVAX is to deliver two billion doses of safe, effective vaccines that have passed regulatory approval and/or WHO prequalification.")</f>
        <v>75 countries have submitted expressions of interest to protect their populations and those of other nations through joining the COVAX Facility, a mechanism designed to guarantee rapid, fair and equitable access to COVID-19 vaccines worldwide. The goal of COVAX is to deliver two billion doses of safe, effective vaccines that have passed regulatory approval and/or WHO prequalification.</v>
      </c>
      <c r="C318" s="1" t="str">
        <f>IFERROR(__xludf.DUMMYFUNCTION("""COMPUTED_VALUE"""),"World Health Organization")</f>
        <v>World Health Organization</v>
      </c>
      <c r="D318" s="3" t="str">
        <f>IFERROR(__xludf.DUMMYFUNCTION("""COMPUTED_VALUE"""),"https://www.who.int/news-room/detail/15-07-2020-more-than-150-countries-engaged-in-covid-19-vaccine-global-access-facility")</f>
        <v>https://www.who.int/news-room/detail/15-07-2020-more-than-150-countries-engaged-in-covid-19-vaccine-global-access-facility</v>
      </c>
      <c r="E318" s="1"/>
      <c r="F318" s="1"/>
      <c r="G318" s="1"/>
      <c r="H318" s="1"/>
      <c r="I318" s="1"/>
    </row>
    <row r="319">
      <c r="A319" s="2">
        <f>IFERROR(__xludf.DUMMYFUNCTION("""COMPUTED_VALUE"""),44028.0)</f>
        <v>44028</v>
      </c>
      <c r="B319" s="1" t="str">
        <f>IFERROR(__xludf.DUMMYFUNCTION("""COMPUTED_VALUE"""),"A South Korean study found that older children spread the virus comparably to adults.")</f>
        <v>A South Korean study found that older children spread the virus comparably to adults.</v>
      </c>
      <c r="C319" s="1" t="str">
        <f>IFERROR(__xludf.DUMMYFUNCTION("""COMPUTED_VALUE"""),"New York Times")</f>
        <v>New York Times</v>
      </c>
      <c r="D319" s="3" t="str">
        <f>IFERROR(__xludf.DUMMYFUNCTION("""COMPUTED_VALUE"""),"https://wwwnc.cdc.gov/eid/article/26/10/20-1315_article")</f>
        <v>https://wwwnc.cdc.gov/eid/article/26/10/20-1315_article</v>
      </c>
      <c r="E319" s="1"/>
      <c r="F319" s="1"/>
      <c r="G319" s="1"/>
      <c r="H319" s="1"/>
      <c r="I319" s="1"/>
    </row>
    <row r="320">
      <c r="A320" s="2">
        <f>IFERROR(__xludf.DUMMYFUNCTION("""COMPUTED_VALUE"""),44029.0)</f>
        <v>44029</v>
      </c>
      <c r="B320" s="1" t="str">
        <f>IFERROR(__xludf.DUMMYFUNCTION("""COMPUTED_VALUE"""),"India reached a million coronavirus cases, and lockdowns were reimposed.")</f>
        <v>India reached a million coronavirus cases, and lockdowns were reimposed.</v>
      </c>
      <c r="C320" s="1" t="str">
        <f>IFERROR(__xludf.DUMMYFUNCTION("""COMPUTED_VALUE"""),"New York Times")</f>
        <v>New York Times</v>
      </c>
      <c r="D320" s="3" t="str">
        <f>IFERROR(__xludf.DUMMYFUNCTION("""COMPUTED_VALUE"""),"https://www.nytimes.com/2020/07/16/world/asia/coronavirus-india-million-cases.html")</f>
        <v>https://www.nytimes.com/2020/07/16/world/asia/coronavirus-india-million-cases.html</v>
      </c>
      <c r="E320" s="1"/>
      <c r="F320" s="1"/>
      <c r="G320" s="1"/>
      <c r="H320" s="1"/>
      <c r="I320" s="1"/>
    </row>
    <row r="321">
      <c r="A321" s="2">
        <f>IFERROR(__xludf.DUMMYFUNCTION("""COMPUTED_VALUE"""),44031.0)</f>
        <v>44031</v>
      </c>
      <c r="B321" s="1" t="str">
        <f>IFERROR(__xludf.DUMMYFUNCTION("""COMPUTED_VALUE"""),"One million patients reported as recovered from COVID-19 in WHO’s Eastern Mediterranean Region")</f>
        <v>One million patients reported as recovered from COVID-19 in WHO’s Eastern Mediterranean Region</v>
      </c>
      <c r="C321" s="1" t="str">
        <f>IFERROR(__xludf.DUMMYFUNCTION("""COMPUTED_VALUE"""),"World Health Organization")</f>
        <v>World Health Organization</v>
      </c>
      <c r="D321" s="3" t="str">
        <f>IFERROR(__xludf.DUMMYFUNCTION("""COMPUTED_VALUE"""),"http://www.emro.who.int/media/news/one-million-patients-reported-as-recovered-from-covid-19-in-whos-eastern-mediterranean-region.html")</f>
        <v>http://www.emro.who.int/media/news/one-million-patients-reported-as-recovered-from-covid-19-in-whos-eastern-mediterranean-region.html</v>
      </c>
      <c r="E321" s="1"/>
      <c r="F321" s="1"/>
      <c r="G321" s="1"/>
      <c r="H321" s="1"/>
      <c r="I321" s="1"/>
    </row>
    <row r="322">
      <c r="A322" s="2">
        <f>IFERROR(__xludf.DUMMYFUNCTION("""COMPUTED_VALUE"""),44033.0)</f>
        <v>44033</v>
      </c>
      <c r="B322" s="1" t="str">
        <f>IFERROR(__xludf.DUMMYFUNCTION("""COMPUTED_VALUE"""),"European leaders agreed on a $857 billion stimulus package.")</f>
        <v>European leaders agreed on a $857 billion stimulus package.</v>
      </c>
      <c r="C322" s="1" t="str">
        <f>IFERROR(__xludf.DUMMYFUNCTION("""COMPUTED_VALUE"""),"New York Times")</f>
        <v>New York Times</v>
      </c>
      <c r="D322" s="3" t="str">
        <f>IFERROR(__xludf.DUMMYFUNCTION("""COMPUTED_VALUE"""),"https://www.nytimes.com/2020/07/20/world/europe/eu-stimulus-coronavirus.html")</f>
        <v>https://www.nytimes.com/2020/07/20/world/europe/eu-stimulus-coronavirus.html</v>
      </c>
      <c r="E322" s="1"/>
      <c r="F322" s="1"/>
      <c r="G322" s="1"/>
      <c r="H322" s="1"/>
      <c r="I322" s="1"/>
    </row>
    <row r="323">
      <c r="A323" s="2">
        <f>IFERROR(__xludf.DUMMYFUNCTION("""COMPUTED_VALUE"""),44035.0)</f>
        <v>44035</v>
      </c>
      <c r="B323" s="1" t="str">
        <f>IFERROR(__xludf.DUMMYFUNCTION("""COMPUTED_VALUE"""),"WHO has released a set of practical steps for implementing the prescriptions of the WHO Manifesto for a healthy recovery from COVID-19. ")</f>
        <v>WHO has released a set of practical steps for implementing the prescriptions of the WHO Manifesto for a healthy recovery from COVID-19. </v>
      </c>
      <c r="C323" s="1" t="str">
        <f>IFERROR(__xludf.DUMMYFUNCTION("""COMPUTED_VALUE"""),"World Health Organization")</f>
        <v>World Health Organization</v>
      </c>
      <c r="D323" s="3" t="str">
        <f>IFERROR(__xludf.DUMMYFUNCTION("""COMPUTED_VALUE"""),"https://www.who.int/news-room/feature-stories/detail/actionables-for-a-healthy-recovery-from-covid-19")</f>
        <v>https://www.who.int/news-room/feature-stories/detail/actionables-for-a-healthy-recovery-from-covid-19</v>
      </c>
      <c r="E323" s="1"/>
      <c r="F323" s="1"/>
      <c r="G323" s="1"/>
      <c r="H323" s="1"/>
      <c r="I323" s="1"/>
    </row>
    <row r="324">
      <c r="A324" s="2">
        <f>IFERROR(__xludf.DUMMYFUNCTION("""COMPUTED_VALUE"""),44040.0)</f>
        <v>44040</v>
      </c>
      <c r="B324" s="1" t="str">
        <f>IFERROR(__xludf.DUMMYFUNCTION("""COMPUTED_VALUE"""),"WHO has published a draft landscape of COVID-19 candidate vaccines. As of 24 July, twenty-five candidate vaccines are under clinical evaluation.")</f>
        <v>WHO has published a draft landscape of COVID-19 candidate vaccines. As of 24 July, twenty-five candidate vaccines are under clinical evaluation.</v>
      </c>
      <c r="C324" s="1" t="str">
        <f>IFERROR(__xludf.DUMMYFUNCTION("""COMPUTED_VALUE"""),"World Health Organization")</f>
        <v>World Health Organization</v>
      </c>
      <c r="D324" s="3" t="str">
        <f>IFERROR(__xludf.DUMMYFUNCTION("""COMPUTED_VALUE"""),"https://www.who.int/publications/m/item/draft-landscape-of-covid-19-candidate-vaccines")</f>
        <v>https://www.who.int/publications/m/item/draft-landscape-of-covid-19-candidate-vaccines</v>
      </c>
      <c r="E324" s="1"/>
      <c r="F324" s="1"/>
      <c r="G324" s="1"/>
      <c r="H324" s="1"/>
      <c r="I324" s="1"/>
    </row>
    <row r="325">
      <c r="A325" s="2">
        <f>IFERROR(__xludf.DUMMYFUNCTION("""COMPUTED_VALUE"""),44040.0)</f>
        <v>44040</v>
      </c>
      <c r="B325" s="1" t="str">
        <f>IFERROR(__xludf.DUMMYFUNCTION("""COMPUTED_VALUE"""),"The U.S. counted its 150,000th reported Covid-19 death.")</f>
        <v>The U.S. counted its 150,000th reported Covid-19 death.</v>
      </c>
      <c r="C325" s="1" t="str">
        <f>IFERROR(__xludf.DUMMYFUNCTION("""COMPUTED_VALUE"""),"NBC News")</f>
        <v>NBC News</v>
      </c>
      <c r="D325" s="3" t="str">
        <f>IFERROR(__xludf.DUMMYFUNCTION("""COMPUTED_VALUE"""),"https://www.nbcnews.com/health/health-news/coronavirus-timeline-tracking-critical-moments-covid-19-n1154341")</f>
        <v>https://www.nbcnews.com/health/health-news/coronavirus-timeline-tracking-critical-moments-covid-19-n1154341</v>
      </c>
      <c r="E325" s="1"/>
      <c r="F325" s="1"/>
      <c r="G325" s="1"/>
      <c r="H325" s="1"/>
      <c r="I325" s="1"/>
    </row>
    <row r="326">
      <c r="A326" s="2">
        <f>IFERROR(__xludf.DUMMYFUNCTION("""COMPUTED_VALUE"""),44042.0)</f>
        <v>44042</v>
      </c>
      <c r="B326" s="1" t="str">
        <f>IFERROR(__xludf.DUMMYFUNCTION("""COMPUTED_VALUE"""),"It has been six months since WHO declared COVID-19 a Public Health Emergency of International Concern.")</f>
        <v>It has been six months since WHO declared COVID-19 a Public Health Emergency of International Concern.</v>
      </c>
      <c r="C326" s="1" t="str">
        <f>IFERROR(__xludf.DUMMYFUNCTION("""COMPUTED_VALUE"""),"World Health Organization")</f>
        <v>World Health Organization</v>
      </c>
      <c r="D326" s="3" t="str">
        <f>IFERROR(__xludf.DUMMYFUNCTION("""COMPUTED_VALUE"""),"https://www.who.int/docs/default-source/coronaviruse/situation-reports/20200727-covid-19-sitrep-189.pdf?sfvrsn=b93a6913_2")</f>
        <v>https://www.who.int/docs/default-source/coronaviruse/situation-reports/20200727-covid-19-sitrep-189.pdf?sfvrsn=b93a6913_2</v>
      </c>
      <c r="E326" s="1"/>
      <c r="F326" s="1"/>
      <c r="G326" s="1"/>
      <c r="H326" s="1"/>
      <c r="I326" s="1"/>
    </row>
    <row r="327">
      <c r="A327" s="2">
        <f>IFERROR(__xludf.DUMMYFUNCTION("""COMPUTED_VALUE"""),44046.0)</f>
        <v>44046</v>
      </c>
      <c r="B327" s="1" t="str">
        <f>IFERROR(__xludf.DUMMYFUNCTION("""COMPUTED_VALUE"""),"Dr. Anthony Fauci said the U.S. needs to get daily cases down to 10,000 before fall.")</f>
        <v>Dr. Anthony Fauci said the U.S. needs to get daily cases down to 10,000 before fall.</v>
      </c>
      <c r="C327" s="1" t="str">
        <f>IFERROR(__xludf.DUMMYFUNCTION("""COMPUTED_VALUE"""),"NBC News")</f>
        <v>NBC News</v>
      </c>
      <c r="D327" s="3" t="str">
        <f>IFERROR(__xludf.DUMMYFUNCTION("""COMPUTED_VALUE"""),"https://www.nbcnews.com/health/health-news/coronavirus-timeline-tracking-critical-moments-covid-19-n1154341")</f>
        <v>https://www.nbcnews.com/health/health-news/coronavirus-timeline-tracking-critical-moments-covid-19-n1154341</v>
      </c>
      <c r="E327" s="1"/>
      <c r="F327" s="1"/>
      <c r="G327" s="1"/>
      <c r="H327" s="1"/>
      <c r="I327" s="1"/>
    </row>
    <row r="328">
      <c r="A328" s="2">
        <f>IFERROR(__xludf.DUMMYFUNCTION("""COMPUTED_VALUE"""),44046.0)</f>
        <v>44046</v>
      </c>
      <c r="B328" s="1" t="str">
        <f>IFERROR(__xludf.DUMMYFUNCTION("""COMPUTED_VALUE"""),"The WHO warned there may never be a 'silver bullet' for Covid-19.")</f>
        <v>The WHO warned there may never be a 'silver bullet' for Covid-19.</v>
      </c>
      <c r="C328" s="1" t="str">
        <f>IFERROR(__xludf.DUMMYFUNCTION("""COMPUTED_VALUE"""),"NBC News")</f>
        <v>NBC News</v>
      </c>
      <c r="D328" s="3" t="str">
        <f>IFERROR(__xludf.DUMMYFUNCTION("""COMPUTED_VALUE"""),"https://www.nbcnews.com/health/health-news/coronavirus-timeline-tracking-critical-moments-covid-19-n1154342")</f>
        <v>https://www.nbcnews.com/health/health-news/coronavirus-timeline-tracking-critical-moments-covid-19-n1154342</v>
      </c>
      <c r="E328" s="1"/>
      <c r="F328" s="1"/>
      <c r="G328" s="1"/>
      <c r="H328" s="1"/>
      <c r="I328" s="1"/>
    </row>
    <row r="329">
      <c r="A329" s="2">
        <f>IFERROR(__xludf.DUMMYFUNCTION("""COMPUTED_VALUE"""),44051.0)</f>
        <v>44051</v>
      </c>
      <c r="B329" s="1" t="str">
        <f>IFERROR(__xludf.DUMMYFUNCTION("""COMPUTED_VALUE"""),"The U.S. reached five million Covid-19 cases.")</f>
        <v>The U.S. reached five million Covid-19 cases.</v>
      </c>
      <c r="C329" s="1" t="str">
        <f>IFERROR(__xludf.DUMMYFUNCTION("""COMPUTED_VALUE"""),"NBC News")</f>
        <v>NBC News</v>
      </c>
      <c r="D329" s="3" t="str">
        <f>IFERROR(__xludf.DUMMYFUNCTION("""COMPUTED_VALUE"""),"https://www.nbcnews.com/health/health-news/coronavirus-timeline-tracking-critical-moments-covid-19-n1154343")</f>
        <v>https://www.nbcnews.com/health/health-news/coronavirus-timeline-tracking-critical-moments-covid-19-n1154343</v>
      </c>
      <c r="E329" s="1"/>
      <c r="F329" s="1"/>
      <c r="G329" s="1"/>
      <c r="H329" s="1"/>
      <c r="I329" s="1"/>
    </row>
    <row r="330">
      <c r="A330" s="2">
        <f>IFERROR(__xludf.DUMMYFUNCTION("""COMPUTED_VALUE"""),44054.0)</f>
        <v>44054</v>
      </c>
      <c r="B330" s="1" t="str">
        <f>IFERROR(__xludf.DUMMYFUNCTION("""COMPUTED_VALUE"""),"The world crossed the 20 million case mark.")</f>
        <v>The world crossed the 20 million case mark.</v>
      </c>
      <c r="C330" s="1" t="str">
        <f>IFERROR(__xludf.DUMMYFUNCTION("""COMPUTED_VALUE"""),"NBC News")</f>
        <v>NBC News</v>
      </c>
      <c r="D330" s="3" t="str">
        <f>IFERROR(__xludf.DUMMYFUNCTION("""COMPUTED_VALUE"""),"https://www.nbcnews.com/health/health-news/coronavirus-timeline-tracking-critical-moments-covid-19-n1154344")</f>
        <v>https://www.nbcnews.com/health/health-news/coronavirus-timeline-tracking-critical-moments-covid-19-n1154344</v>
      </c>
      <c r="E330" s="1"/>
      <c r="F330" s="1"/>
      <c r="G330" s="1"/>
      <c r="H330" s="1"/>
      <c r="I330" s="1"/>
    </row>
    <row r="331">
      <c r="A331" s="2">
        <f>IFERROR(__xludf.DUMMYFUNCTION("""COMPUTED_VALUE"""),44057.0)</f>
        <v>44057</v>
      </c>
      <c r="B331" s="1" t="str">
        <f>IFERROR(__xludf.DUMMYFUNCTION("""COMPUTED_VALUE"""),"The CDC suggested recovered COVID-19 patients have protection for 3 months.")</f>
        <v>The CDC suggested recovered COVID-19 patients have protection for 3 months.</v>
      </c>
      <c r="C331" s="1" t="str">
        <f>IFERROR(__xludf.DUMMYFUNCTION("""COMPUTED_VALUE"""),"NBC News")</f>
        <v>NBC News</v>
      </c>
      <c r="D331" s="3" t="str">
        <f>IFERROR(__xludf.DUMMYFUNCTION("""COMPUTED_VALUE"""),"https://www.nbcnews.com/health/health-news/coronavirus-timeline-tracking-critical-moments-covid-19-n1154345")</f>
        <v>https://www.nbcnews.com/health/health-news/coronavirus-timeline-tracking-critical-moments-covid-19-n1154345</v>
      </c>
      <c r="E331" s="1"/>
      <c r="F331" s="1"/>
      <c r="G331" s="1"/>
      <c r="H331" s="1"/>
      <c r="I331" s="1"/>
    </row>
    <row r="332">
      <c r="A332" s="2">
        <f>IFERROR(__xludf.DUMMYFUNCTION("""COMPUTED_VALUE"""),44071.0)</f>
        <v>44071</v>
      </c>
      <c r="B332" s="1" t="str">
        <f>IFERROR(__xludf.DUMMYFUNCTION("""COMPUTED_VALUE"""),"COVID-19 reinfection reported in Nevada patient, researchers said.")</f>
        <v>COVID-19 reinfection reported in Nevada patient, researchers said.</v>
      </c>
      <c r="C332" s="1" t="str">
        <f>IFERROR(__xludf.DUMMYFUNCTION("""COMPUTED_VALUE"""),"NBC News")</f>
        <v>NBC News</v>
      </c>
      <c r="D332" s="3" t="str">
        <f>IFERROR(__xludf.DUMMYFUNCTION("""COMPUTED_VALUE"""),"https://www.nbcnews.com/health/health-news/coronavirus-timeline-tracking-critical-moments-covid-19-n1154346")</f>
        <v>https://www.nbcnews.com/health/health-news/coronavirus-timeline-tracking-critical-moments-covid-19-n1154346</v>
      </c>
      <c r="E332" s="1"/>
      <c r="F332" s="1"/>
      <c r="G332" s="1"/>
      <c r="H332" s="1"/>
      <c r="I332" s="1"/>
    </row>
    <row r="333">
      <c r="A333" s="2">
        <f>IFERROR(__xludf.DUMMYFUNCTION("""COMPUTED_VALUE"""),44073.0)</f>
        <v>44073</v>
      </c>
      <c r="B333" s="1" t="str">
        <f>IFERROR(__xludf.DUMMYFUNCTION("""COMPUTED_VALUE"""),"The U.S. recorded its six millionth Covid-19 case.")</f>
        <v>The U.S. recorded its six millionth Covid-19 case.</v>
      </c>
      <c r="C333" s="1" t="str">
        <f>IFERROR(__xludf.DUMMYFUNCTION("""COMPUTED_VALUE"""),"NBC News")</f>
        <v>NBC News</v>
      </c>
      <c r="D333" s="3" t="str">
        <f>IFERROR(__xludf.DUMMYFUNCTION("""COMPUTED_VALUE"""),"https://www.nbcnews.com/health/health-news/coronavirus-timeline-tracking-critical-moments-covid-19-n1154347")</f>
        <v>https://www.nbcnews.com/health/health-news/coronavirus-timeline-tracking-critical-moments-covid-19-n1154347</v>
      </c>
      <c r="E333" s="1"/>
      <c r="F333" s="1"/>
      <c r="G333" s="1"/>
      <c r="H333" s="1"/>
      <c r="I333" s="1"/>
    </row>
    <row r="334">
      <c r="A334" s="2">
        <f>IFERROR(__xludf.DUMMYFUNCTION("""COMPUTED_VALUE"""),44076.0)</f>
        <v>44076</v>
      </c>
      <c r="B334" s="1" t="str">
        <f>IFERROR(__xludf.DUMMYFUNCTION("""COMPUTED_VALUE"""),"The WHO strongly recommends steroids for seriously ill COVID-19 patients.")</f>
        <v>The WHO strongly recommends steroids for seriously ill COVID-19 patients.</v>
      </c>
      <c r="C334" s="1" t="str">
        <f>IFERROR(__xludf.DUMMYFUNCTION("""COMPUTED_VALUE"""),"Business Insider")</f>
        <v>Business Insider</v>
      </c>
      <c r="D334" s="3" t="str">
        <f>IFERROR(__xludf.DUMMYFUNCTION("""COMPUTED_VALUE"""),"https://www.nbcnews.com/health/health-news/coronavirus-timeline-tracking-critical-moments-covid-19-n1154348")</f>
        <v>https://www.nbcnews.com/health/health-news/coronavirus-timeline-tracking-critical-moments-covid-19-n1154348</v>
      </c>
      <c r="E334" s="1"/>
      <c r="F334" s="1"/>
      <c r="G334" s="1"/>
      <c r="H334" s="1"/>
      <c r="I334" s="1"/>
    </row>
    <row r="335">
      <c r="A335" s="2">
        <f>IFERROR(__xludf.DUMMYFUNCTION("""COMPUTED_VALUE"""),44084.0)</f>
        <v>44084</v>
      </c>
      <c r="B335" s="1" t="str">
        <f>IFERROR(__xludf.DUMMYFUNCTION("""COMPUTED_VALUE"""),"The CDC released a report linking dining out to increased COVID-19 risk.")</f>
        <v>The CDC released a report linking dining out to increased COVID-19 risk.</v>
      </c>
      <c r="C335" s="1" t="str">
        <f>IFERROR(__xludf.DUMMYFUNCTION("""COMPUTED_VALUE"""),"NBC News")</f>
        <v>NBC News</v>
      </c>
      <c r="D335" s="3" t="str">
        <f>IFERROR(__xludf.DUMMYFUNCTION("""COMPUTED_VALUE"""),"https://www.nbcnews.com/health/health-news/coronavirus-timeline-tracking-critical-moments-covid-19-n1154349")</f>
        <v>https://www.nbcnews.com/health/health-news/coronavirus-timeline-tracking-critical-moments-covid-19-n1154349</v>
      </c>
      <c r="E335" s="1"/>
      <c r="F335" s="1"/>
      <c r="G335" s="1"/>
      <c r="H335" s="1"/>
      <c r="I335" s="1"/>
    </row>
    <row r="336">
      <c r="A336" s="2">
        <f>IFERROR(__xludf.DUMMYFUNCTION("""COMPUTED_VALUE"""),44092.0)</f>
        <v>44092</v>
      </c>
      <c r="B336" s="1" t="str">
        <f>IFERROR(__xludf.DUMMYFUNCTION("""COMPUTED_VALUE"""),"The world crosses the 30 million Covid-19 case mark.")</f>
        <v>The world crosses the 30 million Covid-19 case mark.</v>
      </c>
      <c r="C336" s="1" t="str">
        <f>IFERROR(__xludf.DUMMYFUNCTION("""COMPUTED_VALUE"""),"NBC News")</f>
        <v>NBC News</v>
      </c>
      <c r="D336" s="3" t="str">
        <f>IFERROR(__xludf.DUMMYFUNCTION("""COMPUTED_VALUE"""),"https://www.nbcnews.com/health/health-news/coronavirus-timeline-tracking-critical-moments-covid-19-n1154350")</f>
        <v>https://www.nbcnews.com/health/health-news/coronavirus-timeline-tracking-critical-moments-covid-19-n1154350</v>
      </c>
      <c r="E336" s="1"/>
      <c r="F336" s="1"/>
      <c r="G336" s="1"/>
      <c r="H336" s="1"/>
      <c r="I336" s="1"/>
    </row>
    <row r="337">
      <c r="A337" s="2">
        <f>IFERROR(__xludf.DUMMYFUNCTION("""COMPUTED_VALUE"""),44093.0)</f>
        <v>44093</v>
      </c>
      <c r="B337" s="1" t="str">
        <f>IFERROR(__xludf.DUMMYFUNCTION("""COMPUTED_VALUE"""),"The U.S. counted its 200,000th Covid-19 death.")</f>
        <v>The U.S. counted its 200,000th Covid-19 death.</v>
      </c>
      <c r="C337" s="1" t="str">
        <f>IFERROR(__xludf.DUMMYFUNCTION("""COMPUTED_VALUE"""),"NBC News")</f>
        <v>NBC News</v>
      </c>
      <c r="D337" s="3" t="str">
        <f>IFERROR(__xludf.DUMMYFUNCTION("""COMPUTED_VALUE"""),"https://www.nbcnews.com/health/health-news/coronavirus-timeline-tracking-critical-moments-covid-19-n1154351")</f>
        <v>https://www.nbcnews.com/health/health-news/coronavirus-timeline-tracking-critical-moments-covid-19-n1154351</v>
      </c>
      <c r="E337" s="1"/>
      <c r="F337" s="1"/>
      <c r="G337" s="1"/>
      <c r="H337" s="1"/>
      <c r="I337" s="1"/>
    </row>
    <row r="338">
      <c r="A338" s="2">
        <f>IFERROR(__xludf.DUMMYFUNCTION("""COMPUTED_VALUE"""),44098.0)</f>
        <v>44098</v>
      </c>
      <c r="B338" s="1" t="str">
        <f>IFERROR(__xludf.DUMMYFUNCTION("""COMPUTED_VALUE"""),"The U.S. crosses the seven million case mark.")</f>
        <v>The U.S. crosses the seven million case mark.</v>
      </c>
      <c r="C338" s="1" t="str">
        <f>IFERROR(__xludf.DUMMYFUNCTION("""COMPUTED_VALUE"""),"NBC News")</f>
        <v>NBC News</v>
      </c>
      <c r="D338" s="3" t="str">
        <f>IFERROR(__xludf.DUMMYFUNCTION("""COMPUTED_VALUE"""),"https://www.nbcnews.com/health/health-news/coronavirus-timeline-tracking-critical-moments-covid-19-n1154352")</f>
        <v>https://www.nbcnews.com/health/health-news/coronavirus-timeline-tracking-critical-moments-covid-19-n1154352</v>
      </c>
      <c r="E338" s="1"/>
      <c r="F338" s="1"/>
      <c r="G338" s="1"/>
      <c r="H338" s="1"/>
      <c r="I338" s="1"/>
    </row>
    <row r="339">
      <c r="A339" s="2">
        <f>IFERROR(__xludf.DUMMYFUNCTION("""COMPUTED_VALUE"""),44103.0)</f>
        <v>44103</v>
      </c>
      <c r="B339" s="1" t="str">
        <f>IFERROR(__xludf.DUMMYFUNCTION("""COMPUTED_VALUE"""),"One million dead of Covid-19 worldwide.")</f>
        <v>One million dead of Covid-19 worldwide.</v>
      </c>
      <c r="C339" s="1" t="str">
        <f>IFERROR(__xludf.DUMMYFUNCTION("""COMPUTED_VALUE"""),"NBC News")</f>
        <v>NBC News</v>
      </c>
      <c r="D339" s="3" t="str">
        <f>IFERROR(__xludf.DUMMYFUNCTION("""COMPUTED_VALUE"""),"https://www.nbcnews.com/health/health-news/coronavirus-timeline-tracking-critical-moments-covid-19-n1154353")</f>
        <v>https://www.nbcnews.com/health/health-news/coronavirus-timeline-tracking-critical-moments-covid-19-n1154353</v>
      </c>
      <c r="E339" s="1"/>
      <c r="F339" s="1"/>
      <c r="G339" s="1"/>
      <c r="H339" s="1"/>
      <c r="I339" s="1"/>
    </row>
    <row r="340">
      <c r="A340" s="2">
        <f>IFERROR(__xludf.DUMMYFUNCTION("""COMPUTED_VALUE"""),44106.0)</f>
        <v>44106</v>
      </c>
      <c r="B340" s="1" t="str">
        <f>IFERROR(__xludf.DUMMYFUNCTION("""COMPUTED_VALUE"""),"President Trump announced that he tested positive for Covid-19.")</f>
        <v>President Trump announced that he tested positive for Covid-19.</v>
      </c>
      <c r="C340" s="1" t="str">
        <f>IFERROR(__xludf.DUMMYFUNCTION("""COMPUTED_VALUE"""),"NBC News")</f>
        <v>NBC News</v>
      </c>
      <c r="D340" s="3" t="str">
        <f>IFERROR(__xludf.DUMMYFUNCTION("""COMPUTED_VALUE"""),"https://www.nbcnews.com/health/health-news/coronavirus-timeline-tracking-critical-moments-covid-19-n1154354")</f>
        <v>https://www.nbcnews.com/health/health-news/coronavirus-timeline-tracking-critical-moments-covid-19-n1154354</v>
      </c>
      <c r="E340" s="1"/>
      <c r="F340" s="1"/>
      <c r="G340" s="1"/>
      <c r="H340" s="1"/>
      <c r="I340" s="1"/>
    </row>
    <row r="341">
      <c r="A341" s="2">
        <f>IFERROR(__xludf.DUMMYFUNCTION("""COMPUTED_VALUE"""),44119.0)</f>
        <v>44119</v>
      </c>
      <c r="B341" s="1" t="str">
        <f>IFERROR(__xludf.DUMMYFUNCTION("""COMPUTED_VALUE"""),"The U.S. reached eight million Covid-19 cases.")</f>
        <v>The U.S. reached eight million Covid-19 cases.</v>
      </c>
      <c r="C341" s="1" t="str">
        <f>IFERROR(__xludf.DUMMYFUNCTION("""COMPUTED_VALUE"""),"NBC News")</f>
        <v>NBC News</v>
      </c>
      <c r="D341" s="3" t="str">
        <f>IFERROR(__xludf.DUMMYFUNCTION("""COMPUTED_VALUE"""),"https://www.nbcnews.com/health/health-news/coronavirus-timeline-tracking-critical-moments-covid-19-n1154355")</f>
        <v>https://www.nbcnews.com/health/health-news/coronavirus-timeline-tracking-critical-moments-covid-19-n1154355</v>
      </c>
      <c r="E341" s="1"/>
      <c r="F341" s="1"/>
      <c r="G341" s="1"/>
      <c r="H341" s="1"/>
      <c r="I341" s="1"/>
    </row>
    <row r="342">
      <c r="A342" s="2">
        <f>IFERROR(__xludf.DUMMYFUNCTION("""COMPUTED_VALUE"""),44124.0)</f>
        <v>44124</v>
      </c>
      <c r="B342" s="1" t="str">
        <f>IFERROR(__xludf.DUMMYFUNCTION("""COMPUTED_VALUE"""),"The world crossed the 40 million case mark.")</f>
        <v>The world crossed the 40 million case mark.</v>
      </c>
      <c r="C342" s="1" t="str">
        <f>IFERROR(__xludf.DUMMYFUNCTION("""COMPUTED_VALUE"""),"NBC News")</f>
        <v>NBC News</v>
      </c>
      <c r="D342" s="3" t="str">
        <f>IFERROR(__xludf.DUMMYFUNCTION("""COMPUTED_VALUE"""),"https://www.nbcnews.com/health/health-news/coronavirus-timeline-tracking-critical-moments-covid-19-n1154356")</f>
        <v>https://www.nbcnews.com/health/health-news/coronavirus-timeline-tracking-critical-moments-covid-19-n1154356</v>
      </c>
      <c r="E342" s="1"/>
      <c r="F342" s="1"/>
      <c r="G342" s="1"/>
      <c r="H342" s="1"/>
      <c r="I342" s="1"/>
    </row>
    <row r="343">
      <c r="A343" s="2">
        <f>IFERROR(__xludf.DUMMYFUNCTION("""COMPUTED_VALUE"""),44125.0)</f>
        <v>44125</v>
      </c>
      <c r="B343" s="1" t="str">
        <f>IFERROR(__xludf.DUMMYFUNCTION("""COMPUTED_VALUE"""),"The CDC changed guidance on close contacts, emphasizing the importance of wearing 
masks.")</f>
        <v>The CDC changed guidance on close contacts, emphasizing the importance of wearing 
masks.</v>
      </c>
      <c r="C343" s="1" t="str">
        <f>IFERROR(__xludf.DUMMYFUNCTION("""COMPUTED_VALUE"""),"NBC News")</f>
        <v>NBC News</v>
      </c>
      <c r="D343" s="3" t="str">
        <f>IFERROR(__xludf.DUMMYFUNCTION("""COMPUTED_VALUE"""),"https://www.nbcnews.com/health/health-news/coronavirus-timeline-tracking-critical-moments-covid-19-n1154357")</f>
        <v>https://www.nbcnews.com/health/health-news/coronavirus-timeline-tracking-critical-moments-covid-19-n1154357</v>
      </c>
      <c r="E343" s="1"/>
      <c r="F343" s="1"/>
      <c r="G343" s="1"/>
      <c r="H343" s="1"/>
      <c r="I343" s="1"/>
    </row>
    <row r="344">
      <c r="A344" s="2">
        <f>IFERROR(__xludf.DUMMYFUNCTION("""COMPUTED_VALUE"""),44127.0)</f>
        <v>44127</v>
      </c>
      <c r="B344" s="1" t="str">
        <f>IFERROR(__xludf.DUMMYFUNCTION("""COMPUTED_VALUE"""),"The US enters its third surge of coronavirus cases, the beginning of its deadliest phase yet")</f>
        <v>The US enters its third surge of coronavirus cases, the beginning of its deadliest phase yet</v>
      </c>
      <c r="C344" s="1" t="str">
        <f>IFERROR(__xludf.DUMMYFUNCTION("""COMPUTED_VALUE"""),"Business Insider")</f>
        <v>Business Insider</v>
      </c>
      <c r="D344" s="3" t="str">
        <f>IFERROR(__xludf.DUMMYFUNCTION("""COMPUTED_VALUE"""),"https://www.businessinsider.com/coronavirus-pandemic-timeline-history-major-events-2020-3#november-17-2019-a-person-displayed-the-first-detectable-case-of-covid-19-in-china-1")</f>
        <v>https://www.businessinsider.com/coronavirus-pandemic-timeline-history-major-events-2020-3#november-17-2019-a-person-displayed-the-first-detectable-case-of-covid-19-in-china-1</v>
      </c>
      <c r="E344" s="1"/>
      <c r="F344" s="1"/>
      <c r="G344" s="1"/>
      <c r="H344" s="1"/>
      <c r="I344" s="1"/>
    </row>
    <row r="345">
      <c r="A345" s="2">
        <f>IFERROR(__xludf.DUMMYFUNCTION("""COMPUTED_VALUE"""),44133.0)</f>
        <v>44133</v>
      </c>
      <c r="B345" s="1" t="str">
        <f>IFERROR(__xludf.DUMMYFUNCTION("""COMPUTED_VALUE"""),"Nine million Covid-19 cases counted in the U.S.")</f>
        <v>Nine million Covid-19 cases counted in the U.S.</v>
      </c>
      <c r="C345" s="1" t="str">
        <f>IFERROR(__xludf.DUMMYFUNCTION("""COMPUTED_VALUE"""),"NBC News")</f>
        <v>NBC News</v>
      </c>
      <c r="D345" s="3" t="str">
        <f>IFERROR(__xludf.DUMMYFUNCTION("""COMPUTED_VALUE"""),"https://www.nbcnews.com/health/health-news/coronavirus-timeline-tracking-critical-moments-covid-19-n1154359")</f>
        <v>https://www.nbcnews.com/health/health-news/coronavirus-timeline-tracking-critical-moments-covid-19-n1154359</v>
      </c>
      <c r="E345" s="1"/>
      <c r="F345" s="1"/>
      <c r="G345" s="1"/>
      <c r="H345" s="1"/>
      <c r="I345" s="1"/>
    </row>
    <row r="346">
      <c r="A346" s="2">
        <f>IFERROR(__xludf.DUMMYFUNCTION("""COMPUTED_VALUE"""),44139.0)</f>
        <v>44139</v>
      </c>
      <c r="B346" s="1" t="str">
        <f>IFERROR(__xludf.DUMMYFUNCTION("""COMPUTED_VALUE"""),"U.S. tallied 100,000 new cases in a day for the first time.")</f>
        <v>U.S. tallied 100,000 new cases in a day for the first time.</v>
      </c>
      <c r="C346" s="1" t="str">
        <f>IFERROR(__xludf.DUMMYFUNCTION("""COMPUTED_VALUE"""),"NBC News")</f>
        <v>NBC News</v>
      </c>
      <c r="D346" s="3" t="str">
        <f>IFERROR(__xludf.DUMMYFUNCTION("""COMPUTED_VALUE"""),"https://www.nbcnews.com/health/health-news/coronavirus-timeline-tracking-critical-moments-covid-19-n1154360")</f>
        <v>https://www.nbcnews.com/health/health-news/coronavirus-timeline-tracking-critical-moments-covid-19-n1154360</v>
      </c>
      <c r="E346" s="1"/>
      <c r="F346" s="1"/>
      <c r="G346" s="1"/>
      <c r="H346" s="1"/>
      <c r="I346" s="1"/>
    </row>
    <row r="347">
      <c r="A347" s="2">
        <f>IFERROR(__xludf.DUMMYFUNCTION("""COMPUTED_VALUE"""),44143.0)</f>
        <v>44143</v>
      </c>
      <c r="B347" s="1" t="str">
        <f>IFERROR(__xludf.DUMMYFUNCTION("""COMPUTED_VALUE"""),"The U.S. topped 10 million coronavirus cases.")</f>
        <v>The U.S. topped 10 million coronavirus cases.</v>
      </c>
      <c r="C347" s="1" t="str">
        <f>IFERROR(__xludf.DUMMYFUNCTION("""COMPUTED_VALUE"""),"NBC News")</f>
        <v>NBC News</v>
      </c>
      <c r="D347" s="3" t="str">
        <f>IFERROR(__xludf.DUMMYFUNCTION("""COMPUTED_VALUE"""),"https://www.nbcnews.com/health/health-news/coronavirus-timeline-tracking-critical-moments-covid-19-n1154361")</f>
        <v>https://www.nbcnews.com/health/health-news/coronavirus-timeline-tracking-critical-moments-covid-19-n1154361</v>
      </c>
      <c r="E347" s="1"/>
      <c r="F347" s="1"/>
      <c r="G347" s="1"/>
      <c r="H347" s="1"/>
      <c r="I347" s="1"/>
    </row>
    <row r="348">
      <c r="A348" s="2">
        <f>IFERROR(__xludf.DUMMYFUNCTION("""COMPUTED_VALUE"""),44144.0)</f>
        <v>44144</v>
      </c>
      <c r="B348" s="1" t="str">
        <f>IFERROR(__xludf.DUMMYFUNCTION("""COMPUTED_VALUE"""),"Fifty million Covid-19 cases recorded worldwide.")</f>
        <v>Fifty million Covid-19 cases recorded worldwide.</v>
      </c>
      <c r="C348" s="1" t="str">
        <f>IFERROR(__xludf.DUMMYFUNCTION("""COMPUTED_VALUE"""),"NBC News")</f>
        <v>NBC News</v>
      </c>
      <c r="D348" s="3" t="str">
        <f>IFERROR(__xludf.DUMMYFUNCTION("""COMPUTED_VALUE"""),"https://www.nbcnews.com/health/health-news/coronavirus-timeline-tracking-critical-moments-covid-19-n1154362")</f>
        <v>https://www.nbcnews.com/health/health-news/coronavirus-timeline-tracking-critical-moments-covid-19-n1154362</v>
      </c>
      <c r="E348" s="1"/>
      <c r="F348" s="1"/>
      <c r="G348" s="1"/>
      <c r="H348" s="1"/>
      <c r="I348" s="1"/>
    </row>
    <row r="349">
      <c r="A349" s="2">
        <f>IFERROR(__xludf.DUMMYFUNCTION("""COMPUTED_VALUE"""),44150.0)</f>
        <v>44150</v>
      </c>
      <c r="B349" s="1" t="str">
        <f>IFERROR(__xludf.DUMMYFUNCTION("""COMPUTED_VALUE"""),"Eleven million Covid-19 cases counted in the U.S.")</f>
        <v>Eleven million Covid-19 cases counted in the U.S.</v>
      </c>
      <c r="C349" s="1" t="str">
        <f>IFERROR(__xludf.DUMMYFUNCTION("""COMPUTED_VALUE"""),"NBC News")</f>
        <v>NBC News</v>
      </c>
      <c r="D349" s="3" t="str">
        <f>IFERROR(__xludf.DUMMYFUNCTION("""COMPUTED_VALUE"""),"https://www.nbcnews.com/health/health-news/coronavirus-timeline-tracking-critical-moments-covid-19-n1154363")</f>
        <v>https://www.nbcnews.com/health/health-news/coronavirus-timeline-tracking-critical-moments-covid-19-n1154363</v>
      </c>
      <c r="E349" s="1"/>
      <c r="F349" s="1"/>
      <c r="G349" s="1"/>
      <c r="H349" s="1"/>
      <c r="I349" s="1"/>
    </row>
    <row r="350">
      <c r="A350" s="2">
        <f>IFERROR(__xludf.DUMMYFUNCTION("""COMPUTED_VALUE"""),44151.0)</f>
        <v>44151</v>
      </c>
      <c r="B350" s="1" t="str">
        <f>IFERROR(__xludf.DUMMYFUNCTION("""COMPUTED_VALUE"""),"Moderna announced its Covid-19 vaccine candidate, said it’s 94.5 percent effective.")</f>
        <v>Moderna announced its Covid-19 vaccine candidate, said it’s 94.5 percent effective.</v>
      </c>
      <c r="C350" s="1" t="str">
        <f>IFERROR(__xludf.DUMMYFUNCTION("""COMPUTED_VALUE"""),"NBC News")</f>
        <v>NBC News</v>
      </c>
      <c r="D350" s="3" t="str">
        <f>IFERROR(__xludf.DUMMYFUNCTION("""COMPUTED_VALUE"""),"https://www.nbcnews.com/health/health-news/coronavirus-timeline-tracking-critical-moments-covid-19-n1154364")</f>
        <v>https://www.nbcnews.com/health/health-news/coronavirus-timeline-tracking-critical-moments-covid-19-n1154364</v>
      </c>
      <c r="E350" s="1"/>
      <c r="F350" s="1"/>
      <c r="G350" s="1"/>
      <c r="H350" s="1"/>
      <c r="I350" s="1"/>
    </row>
    <row r="351">
      <c r="A351" s="2">
        <f>IFERROR(__xludf.DUMMYFUNCTION("""COMPUTED_VALUE"""),44152.0)</f>
        <v>44152</v>
      </c>
      <c r="B351" s="1" t="str">
        <f>IFERROR(__xludf.DUMMYFUNCTION("""COMPUTED_VALUE"""),"The FDA authorized the first at-home Covid-19 test that gives users results quickly")</f>
        <v>The FDA authorized the first at-home Covid-19 test that gives users results quickly</v>
      </c>
      <c r="C351" s="1" t="str">
        <f>IFERROR(__xludf.DUMMYFUNCTION("""COMPUTED_VALUE"""),"NBC News")</f>
        <v>NBC News</v>
      </c>
      <c r="D351" s="3" t="str">
        <f>IFERROR(__xludf.DUMMYFUNCTION("""COMPUTED_VALUE"""),"https://www.nbcnews.com/health/health-news/coronavirus-timeline-tracking-critical-moments-covid-19-n1154365")</f>
        <v>https://www.nbcnews.com/health/health-news/coronavirus-timeline-tracking-critical-moments-covid-19-n1154365</v>
      </c>
      <c r="E351" s="1"/>
      <c r="F351" s="1"/>
      <c r="G351" s="1"/>
      <c r="H351" s="1"/>
      <c r="I351" s="1"/>
    </row>
    <row r="352">
      <c r="A352" s="2">
        <f>IFERROR(__xludf.DUMMYFUNCTION("""COMPUTED_VALUE"""),44153.0)</f>
        <v>44153</v>
      </c>
      <c r="B352" s="1" t="str">
        <f>IFERROR(__xludf.DUMMYFUNCTION("""COMPUTED_VALUE"""),"Pfizer announced its leading coronavirus vaccine candidate would be submitted for 
FDA approval “within days.”")</f>
        <v>Pfizer announced its leading coronavirus vaccine candidate would be submitted for 
FDA approval “within days.”</v>
      </c>
      <c r="C352" s="1" t="str">
        <f>IFERROR(__xludf.DUMMYFUNCTION("""COMPUTED_VALUE"""),"NBC News")</f>
        <v>NBC News</v>
      </c>
      <c r="D352" s="3" t="str">
        <f>IFERROR(__xludf.DUMMYFUNCTION("""COMPUTED_VALUE"""),"https://www.nbcnews.com/health/health-news/coronavirus-timeline-tracking-critical-moments-covid-19-n1154366")</f>
        <v>https://www.nbcnews.com/health/health-news/coronavirus-timeline-tracking-critical-moments-covid-19-n1154366</v>
      </c>
      <c r="E352" s="1"/>
      <c r="F352" s="1"/>
      <c r="G352" s="1"/>
      <c r="H352" s="1"/>
      <c r="I352" s="1"/>
    </row>
    <row r="353">
      <c r="A353" s="2">
        <f>IFERROR(__xludf.DUMMYFUNCTION("""COMPUTED_VALUE"""),44153.0)</f>
        <v>44153</v>
      </c>
      <c r="B353" s="1" t="str">
        <f>IFERROR(__xludf.DUMMYFUNCTION("""COMPUTED_VALUE"""),"The U.S. counted its 250,000th Covid-19 death.")</f>
        <v>The U.S. counted its 250,000th Covid-19 death.</v>
      </c>
      <c r="C353" s="1" t="str">
        <f>IFERROR(__xludf.DUMMYFUNCTION("""COMPUTED_VALUE"""),"NBC News")</f>
        <v>NBC News</v>
      </c>
      <c r="D353" s="3" t="str">
        <f>IFERROR(__xludf.DUMMYFUNCTION("""COMPUTED_VALUE"""),"https://www.nbcnews.com/health/health-news/coronavirus-timeline-tracking-critical-moments-covid-19-n1154367")</f>
        <v>https://www.nbcnews.com/health/health-news/coronavirus-timeline-tracking-critical-moments-covid-19-n1154367</v>
      </c>
      <c r="E353" s="1"/>
      <c r="F353" s="1"/>
      <c r="G353" s="1"/>
      <c r="H353" s="1"/>
      <c r="I353" s="1"/>
    </row>
    <row r="354">
      <c r="A354" s="2">
        <f>IFERROR(__xludf.DUMMYFUNCTION("""COMPUTED_VALUE"""),44154.0)</f>
        <v>44154</v>
      </c>
      <c r="B354" s="1" t="str">
        <f>IFERROR(__xludf.DUMMYFUNCTION("""COMPUTED_VALUE"""),"The CDC warned Americans not to travel on Thanksgiving.")</f>
        <v>The CDC warned Americans not to travel on Thanksgiving.</v>
      </c>
      <c r="C354" s="1" t="str">
        <f>IFERROR(__xludf.DUMMYFUNCTION("""COMPUTED_VALUE"""),"NBC News")</f>
        <v>NBC News</v>
      </c>
      <c r="D354" s="3" t="str">
        <f>IFERROR(__xludf.DUMMYFUNCTION("""COMPUTED_VALUE"""),"https://www.nbcnews.com/health/health-news/coronavirus-timeline-tracking-critical-moments-covid-19-n1154368")</f>
        <v>https://www.nbcnews.com/health/health-news/coronavirus-timeline-tracking-critical-moments-covid-19-n1154368</v>
      </c>
      <c r="E354" s="1"/>
      <c r="F354" s="1"/>
      <c r="G354" s="1"/>
      <c r="H354" s="1"/>
      <c r="I354" s="1"/>
    </row>
    <row r="355">
      <c r="A355" s="2">
        <f>IFERROR(__xludf.DUMMYFUNCTION("""COMPUTED_VALUE"""),44155.0)</f>
        <v>44155</v>
      </c>
      <c r="B355" s="1" t="str">
        <f>IFERROR(__xludf.DUMMYFUNCTION("""COMPUTED_VALUE"""),"Donald Trump Jr. tested positive for Covid-19.")</f>
        <v>Donald Trump Jr. tested positive for Covid-19.</v>
      </c>
      <c r="C355" s="1" t="str">
        <f>IFERROR(__xludf.DUMMYFUNCTION("""COMPUTED_VALUE"""),"NBC News")</f>
        <v>NBC News</v>
      </c>
      <c r="D355" s="3" t="str">
        <f>IFERROR(__xludf.DUMMYFUNCTION("""COMPUTED_VALUE"""),"https://www.nbcnews.com/health/health-news/coronavirus-timeline-tracking-critical-moments-covid-19-n1154369")</f>
        <v>https://www.nbcnews.com/health/health-news/coronavirus-timeline-tracking-critical-moments-covid-19-n1154369</v>
      </c>
      <c r="E355" s="1"/>
      <c r="F355" s="1"/>
      <c r="G355" s="1"/>
      <c r="H355" s="1"/>
      <c r="I355" s="1"/>
    </row>
    <row r="356">
      <c r="A356" s="2">
        <f>IFERROR(__xludf.DUMMYFUNCTION("""COMPUTED_VALUE"""),44156.0)</f>
        <v>44156</v>
      </c>
      <c r="B356" s="1" t="str">
        <f>IFERROR(__xludf.DUMMYFUNCTION("""COMPUTED_VALUE"""),"12 million cases of Covid-19 counted in the U.S.")</f>
        <v>12 million cases of Covid-19 counted in the U.S.</v>
      </c>
      <c r="C356" s="1" t="str">
        <f>IFERROR(__xludf.DUMMYFUNCTION("""COMPUTED_VALUE"""),"NBC News")</f>
        <v>NBC News</v>
      </c>
      <c r="D356" s="3" t="str">
        <f>IFERROR(__xludf.DUMMYFUNCTION("""COMPUTED_VALUE"""),"https://www.nbcnews.com/health/health-news/coronavirus-timeline-tracking-critical-moments-covid-19-n1154370")</f>
        <v>https://www.nbcnews.com/health/health-news/coronavirus-timeline-tracking-critical-moments-covid-19-n1154370</v>
      </c>
      <c r="E356" s="1"/>
      <c r="F356" s="1"/>
      <c r="G356" s="1"/>
      <c r="H356" s="1"/>
      <c r="I356" s="1"/>
    </row>
    <row r="357">
      <c r="A357" s="2">
        <f>IFERROR(__xludf.DUMMYFUNCTION("""COMPUTED_VALUE"""),44158.0)</f>
        <v>44158</v>
      </c>
      <c r="B357" s="1" t="str">
        <f>IFERROR(__xludf.DUMMYFUNCTION("""COMPUTED_VALUE"""),"AstraZeneca announced its coronavirus vaccine can be around 90 percent effective.")</f>
        <v>AstraZeneca announced its coronavirus vaccine can be around 90 percent effective.</v>
      </c>
      <c r="C357" s="1" t="str">
        <f>IFERROR(__xludf.DUMMYFUNCTION("""COMPUTED_VALUE"""),"NBC News")</f>
        <v>NBC News</v>
      </c>
      <c r="D357" s="3" t="str">
        <f>IFERROR(__xludf.DUMMYFUNCTION("""COMPUTED_VALUE"""),"https://www.nbcnews.com/health/health-news/coronavirus-timeline-tracking-critical-moments-covid-19-n1154371")</f>
        <v>https://www.nbcnews.com/health/health-news/coronavirus-timeline-tracking-critical-moments-covid-19-n1154371</v>
      </c>
      <c r="E357" s="1"/>
      <c r="F357" s="1"/>
      <c r="G357" s="1"/>
      <c r="H357" s="1"/>
      <c r="I357" s="1"/>
    </row>
    <row r="358">
      <c r="A358" s="2">
        <f>IFERROR(__xludf.DUMMYFUNCTION("""COMPUTED_VALUE"""),44162.0)</f>
        <v>44162</v>
      </c>
      <c r="B358" s="1" t="str">
        <f>IFERROR(__xludf.DUMMYFUNCTION("""COMPUTED_VALUE"""),"The U.S. crossed the 13 million case mark, its fourth million-milestone of November.")</f>
        <v>The U.S. crossed the 13 million case mark, its fourth million-milestone of November.</v>
      </c>
      <c r="C358" s="1" t="str">
        <f>IFERROR(__xludf.DUMMYFUNCTION("""COMPUTED_VALUE"""),"NBC News")</f>
        <v>NBC News</v>
      </c>
      <c r="D358" s="3" t="str">
        <f>IFERROR(__xludf.DUMMYFUNCTION("""COMPUTED_VALUE"""),"https://www.nbcnews.com/health/health-news/coronavirus-timeline-tracking-critical-moments-covid-19-n1154372")</f>
        <v>https://www.nbcnews.com/health/health-news/coronavirus-timeline-tracking-critical-moments-covid-19-n1154372</v>
      </c>
      <c r="E358" s="1"/>
      <c r="F358" s="1"/>
      <c r="G358" s="1"/>
      <c r="H358" s="1"/>
      <c r="I358" s="1"/>
    </row>
    <row r="359">
      <c r="A359" s="2">
        <f>IFERROR(__xludf.DUMMYFUNCTION("""COMPUTED_VALUE"""),44166.0)</f>
        <v>44166</v>
      </c>
      <c r="B359" s="1" t="str">
        <f>IFERROR(__xludf.DUMMYFUNCTION("""COMPUTED_VALUE"""),"Moderna said it would submit its vaccine to the FDA for approval.")</f>
        <v>Moderna said it would submit its vaccine to the FDA for approval.</v>
      </c>
      <c r="C359" s="1" t="str">
        <f>IFERROR(__xludf.DUMMYFUNCTION("""COMPUTED_VALUE"""),"NBC News")</f>
        <v>NBC News</v>
      </c>
      <c r="D359" s="3" t="str">
        <f>IFERROR(__xludf.DUMMYFUNCTION("""COMPUTED_VALUE"""),"https://www.nbcnews.com/health/health-news/coronavirus-timeline-tracking-critical-moments-covid-19-n1154373")</f>
        <v>https://www.nbcnews.com/health/health-news/coronavirus-timeline-tracking-critical-moments-covid-19-n1154373</v>
      </c>
      <c r="E359" s="1"/>
      <c r="F359" s="1"/>
      <c r="G359" s="1"/>
      <c r="H359" s="1"/>
      <c r="I359" s="1"/>
    </row>
    <row r="360">
      <c r="A360" s="2">
        <f>IFERROR(__xludf.DUMMYFUNCTION("""COMPUTED_VALUE"""),44166.0)</f>
        <v>44166</v>
      </c>
      <c r="B360" s="1" t="str">
        <f>IFERROR(__xludf.DUMMYFUNCTION("""COMPUTED_VALUE"""),"Florida becomes third state to pass 1 million Covid-19 cases.")</f>
        <v>Florida becomes third state to pass 1 million Covid-19 cases.</v>
      </c>
      <c r="C360" s="1" t="str">
        <f>IFERROR(__xludf.DUMMYFUNCTION("""COMPUTED_VALUE"""),"NBC News")</f>
        <v>NBC News</v>
      </c>
      <c r="D360" s="3" t="str">
        <f>IFERROR(__xludf.DUMMYFUNCTION("""COMPUTED_VALUE"""),"https://www.nbcnews.com/health/health-news/coronavirus-timeline-tracking-critical-moments-covid-19-n1154374")</f>
        <v>https://www.nbcnews.com/health/health-news/coronavirus-timeline-tracking-critical-moments-covid-19-n1154374</v>
      </c>
      <c r="E360" s="1"/>
      <c r="F360" s="1"/>
      <c r="G360" s="1"/>
      <c r="H360" s="1"/>
      <c r="I360" s="1"/>
    </row>
    <row r="361">
      <c r="A361" s="2">
        <f>IFERROR(__xludf.DUMMYFUNCTION("""COMPUTED_VALUE"""),44167.0)</f>
        <v>44167</v>
      </c>
      <c r="B361" s="1" t="str">
        <f>IFERROR(__xludf.DUMMYFUNCTION("""COMPUTED_VALUE"""),"The United Kingdom became the first country to formally approve the Pfizer and 
BioNTech Covid-19 vaccine.")</f>
        <v>The United Kingdom became the first country to formally approve the Pfizer and 
BioNTech Covid-19 vaccine.</v>
      </c>
      <c r="C361" s="1" t="str">
        <f>IFERROR(__xludf.DUMMYFUNCTION("""COMPUTED_VALUE"""),"NBC News")</f>
        <v>NBC News</v>
      </c>
      <c r="D361" s="3" t="str">
        <f>IFERROR(__xludf.DUMMYFUNCTION("""COMPUTED_VALUE"""),"https://www.nbcnews.com/health/health-news/coronavirus-timeline-tracking-critical-moments-covid-19-n1154375")</f>
        <v>https://www.nbcnews.com/health/health-news/coronavirus-timeline-tracking-critical-moments-covid-19-n1154375</v>
      </c>
      <c r="E361" s="1"/>
      <c r="F361" s="1"/>
      <c r="G361" s="1"/>
      <c r="H361" s="1"/>
      <c r="I361" s="1"/>
    </row>
    <row r="362">
      <c r="A362" s="2">
        <f>IFERROR(__xludf.DUMMYFUNCTION("""COMPUTED_VALUE"""),44167.0)</f>
        <v>44167</v>
      </c>
      <c r="B362" s="1" t="str">
        <f>IFERROR(__xludf.DUMMYFUNCTION("""COMPUTED_VALUE"""),"CDC shortened quarantine period to 10 days with no symptoms, 7 days if the person
 tests negative and has no symptoms.")</f>
        <v>CDC shortened quarantine period to 10 days with no symptoms, 7 days if the person
 tests negative and has no symptoms.</v>
      </c>
      <c r="C362" s="1" t="str">
        <f>IFERROR(__xludf.DUMMYFUNCTION("""COMPUTED_VALUE"""),"NBC News")</f>
        <v>NBC News</v>
      </c>
      <c r="D362" s="3" t="str">
        <f>IFERROR(__xludf.DUMMYFUNCTION("""COMPUTED_VALUE"""),"https://www.nbcnews.com/health/health-news/coronavirus-timeline-tracking-critical-moments-covid-19-n1154376")</f>
        <v>https://www.nbcnews.com/health/health-news/coronavirus-timeline-tracking-critical-moments-covid-19-n1154376</v>
      </c>
      <c r="E362" s="1"/>
      <c r="F362" s="1"/>
      <c r="G362" s="1"/>
      <c r="H362" s="1"/>
      <c r="I362" s="1"/>
    </row>
    <row r="363">
      <c r="A363" s="2">
        <f>IFERROR(__xludf.DUMMYFUNCTION("""COMPUTED_VALUE"""),44168.0)</f>
        <v>44168</v>
      </c>
      <c r="B363" s="1" t="str">
        <f>IFERROR(__xludf.DUMMYFUNCTION("""COMPUTED_VALUE"""),"The U.S. counted its 14 millionth Covid-19 case.")</f>
        <v>The U.S. counted its 14 millionth Covid-19 case.</v>
      </c>
      <c r="C363" s="1" t="str">
        <f>IFERROR(__xludf.DUMMYFUNCTION("""COMPUTED_VALUE"""),"NBC News")</f>
        <v>NBC News</v>
      </c>
      <c r="D363" s="3" t="str">
        <f>IFERROR(__xludf.DUMMYFUNCTION("""COMPUTED_VALUE"""),"https://www.nbcnews.com/health/health-news/coronavirus-timeline-tracking-critical-moments-covid-19-n1154377")</f>
        <v>https://www.nbcnews.com/health/health-news/coronavirus-timeline-tracking-critical-moments-covid-19-n1154377</v>
      </c>
      <c r="E363" s="1"/>
      <c r="F363" s="1"/>
      <c r="G363" s="1"/>
      <c r="H363" s="1"/>
      <c r="I363" s="1"/>
    </row>
    <row r="364">
      <c r="A364" s="2">
        <f>IFERROR(__xludf.DUMMYFUNCTION("""COMPUTED_VALUE"""),44170.0)</f>
        <v>44170</v>
      </c>
      <c r="B364" s="1" t="str">
        <f>IFERROR(__xludf.DUMMYFUNCTION("""COMPUTED_VALUE"""),"Demand for Covid testing in the U.S. threatened to overwhelm the country’s capacity.")</f>
        <v>Demand for Covid testing in the U.S. threatened to overwhelm the country’s capacity.</v>
      </c>
      <c r="C364" s="1" t="str">
        <f>IFERROR(__xludf.DUMMYFUNCTION("""COMPUTED_VALUE"""),"NBC News")</f>
        <v>NBC News</v>
      </c>
      <c r="D364" s="3" t="str">
        <f>IFERROR(__xludf.DUMMYFUNCTION("""COMPUTED_VALUE"""),"https://www.nbcnews.com/health/health-news/coronavirus-timeline-tracking-critical-moments-covid-19-n1154378")</f>
        <v>https://www.nbcnews.com/health/health-news/coronavirus-timeline-tracking-critical-moments-covid-19-n1154378</v>
      </c>
      <c r="E364" s="1"/>
      <c r="F364" s="1"/>
      <c r="G364" s="1"/>
      <c r="H364" s="1"/>
      <c r="I364" s="1"/>
    </row>
    <row r="365">
      <c r="A365" s="2">
        <f>IFERROR(__xludf.DUMMYFUNCTION("""COMPUTED_VALUE"""),44171.0)</f>
        <v>44171</v>
      </c>
      <c r="B365" s="1" t="str">
        <f>IFERROR(__xludf.DUMMYFUNCTION("""COMPUTED_VALUE"""),"President Trump announced his lawyer Rudy Giuliani has Covid-19.")</f>
        <v>President Trump announced his lawyer Rudy Giuliani has Covid-19.</v>
      </c>
      <c r="C365" s="1" t="str">
        <f>IFERROR(__xludf.DUMMYFUNCTION("""COMPUTED_VALUE"""),"NBC News")</f>
        <v>NBC News</v>
      </c>
      <c r="D365" s="3" t="str">
        <f>IFERROR(__xludf.DUMMYFUNCTION("""COMPUTED_VALUE"""),"https://www.nbcnews.com/health/health-news/coronavirus-timeline-tracking-critical-moments-covid-19-n1154379")</f>
        <v>https://www.nbcnews.com/health/health-news/coronavirus-timeline-tracking-critical-moments-covid-19-n1154379</v>
      </c>
      <c r="E365" s="1"/>
      <c r="F365" s="1"/>
      <c r="G365" s="1"/>
      <c r="H365" s="1"/>
      <c r="I365" s="1"/>
    </row>
    <row r="366">
      <c r="A366" s="2">
        <f>IFERROR(__xludf.DUMMYFUNCTION("""COMPUTED_VALUE"""),44173.0)</f>
        <v>44173</v>
      </c>
      <c r="B366" s="1" t="str">
        <f>IFERROR(__xludf.DUMMYFUNCTION("""COMPUTED_VALUE"""),"The U.S. counted its 15 millionth Covid-19 case.")</f>
        <v>The U.S. counted its 15 millionth Covid-19 case.</v>
      </c>
      <c r="C366" s="1" t="str">
        <f>IFERROR(__xludf.DUMMYFUNCTION("""COMPUTED_VALUE"""),"NBC News")</f>
        <v>NBC News</v>
      </c>
      <c r="D366" s="3" t="str">
        <f>IFERROR(__xludf.DUMMYFUNCTION("""COMPUTED_VALUE"""),"https://www.nbcnews.com/health/health-news/coronavirus-timeline-tracking-critical-moments-covid-19-n1154380")</f>
        <v>https://www.nbcnews.com/health/health-news/coronavirus-timeline-tracking-critical-moments-covid-19-n1154380</v>
      </c>
      <c r="E366" s="1"/>
      <c r="F366" s="1"/>
      <c r="G366" s="1"/>
      <c r="H366" s="1"/>
      <c r="I366" s="1"/>
    </row>
    <row r="367">
      <c r="A367" s="2">
        <f>IFERROR(__xludf.DUMMYFUNCTION("""COMPUTED_VALUE"""),44173.0)</f>
        <v>44173</v>
      </c>
      <c r="B367" s="1" t="str">
        <f>IFERROR(__xludf.DUMMYFUNCTION("""COMPUTED_VALUE"""),"Britain’s Margaret Keenan, 90, became the first person in the world to receive a 
clinically approved vaccine.")</f>
        <v>Britain’s Margaret Keenan, 90, became the first person in the world to receive a 
clinically approved vaccine.</v>
      </c>
      <c r="C367" s="1" t="str">
        <f>IFERROR(__xludf.DUMMYFUNCTION("""COMPUTED_VALUE"""),"NBC News")</f>
        <v>NBC News</v>
      </c>
      <c r="D367" s="3" t="str">
        <f>IFERROR(__xludf.DUMMYFUNCTION("""COMPUTED_VALUE"""),"https://www.nbcnews.com/health/health-news/coronavirus-timeline-tracking-critical-moments-covid-19-n1154381")</f>
        <v>https://www.nbcnews.com/health/health-news/coronavirus-timeline-tracking-critical-moments-covid-19-n1154381</v>
      </c>
      <c r="E367" s="1"/>
      <c r="F367" s="1"/>
      <c r="G367" s="1"/>
      <c r="H367" s="1"/>
      <c r="I367" s="1"/>
    </row>
    <row r="368">
      <c r="A368" s="2">
        <f>IFERROR(__xludf.DUMMYFUNCTION("""COMPUTED_VALUE"""),44174.0)</f>
        <v>44174</v>
      </c>
      <c r="B368" s="1" t="str">
        <f>IFERROR(__xludf.DUMMYFUNCTION("""COMPUTED_VALUE"""),"The United Arab Emirates became the first nation to give approval to China's vaccine.")</f>
        <v>The United Arab Emirates became the first nation to give approval to China's vaccine.</v>
      </c>
      <c r="C368" s="1" t="str">
        <f>IFERROR(__xludf.DUMMYFUNCTION("""COMPUTED_VALUE"""),"NBC News")</f>
        <v>NBC News</v>
      </c>
      <c r="D368" s="3" t="str">
        <f>IFERROR(__xludf.DUMMYFUNCTION("""COMPUTED_VALUE"""),"https://www.nbcnews.com/health/health-news/coronavirus-timeline-tracking-critical-moments-covid-19-n1154382")</f>
        <v>https://www.nbcnews.com/health/health-news/coronavirus-timeline-tracking-critical-moments-covid-19-n1154382</v>
      </c>
      <c r="E368" s="1"/>
      <c r="F368" s="1"/>
      <c r="G368" s="1"/>
      <c r="H368" s="1"/>
      <c r="I368" s="1"/>
    </row>
    <row r="369">
      <c r="A369" s="2">
        <f>IFERROR(__xludf.DUMMYFUNCTION("""COMPUTED_VALUE"""),44174.0)</f>
        <v>44174</v>
      </c>
      <c r="B369" s="1" t="str">
        <f>IFERROR(__xludf.DUMMYFUNCTION("""COMPUTED_VALUE"""),"The U.S. reported a record 3,103 Covid deaths, its first tally of more than 3,000 in a day.")</f>
        <v>The U.S. reported a record 3,103 Covid deaths, its first tally of more than 3,000 in a day.</v>
      </c>
      <c r="C369" s="1" t="str">
        <f>IFERROR(__xludf.DUMMYFUNCTION("""COMPUTED_VALUE"""),"NBC News")</f>
        <v>NBC News</v>
      </c>
      <c r="D369" s="3" t="str">
        <f>IFERROR(__xludf.DUMMYFUNCTION("""COMPUTED_VALUE"""),"https://www.nbcnews.com/health/health-news/coronavirus-timeline-tracking-critical-moments-covid-19-n1154383")</f>
        <v>https://www.nbcnews.com/health/health-news/coronavirus-timeline-tracking-critical-moments-covid-19-n1154383</v>
      </c>
      <c r="E369" s="1"/>
      <c r="F369" s="1"/>
      <c r="G369" s="1"/>
      <c r="H369" s="1"/>
      <c r="I369" s="1"/>
    </row>
    <row r="370">
      <c r="A370" s="2">
        <f>IFERROR(__xludf.DUMMYFUNCTION("""COMPUTED_VALUE"""),44176.0)</f>
        <v>44176</v>
      </c>
      <c r="B370" s="1" t="str">
        <f>IFERROR(__xludf.DUMMYFUNCTION("""COMPUTED_VALUE"""),"The FDA authorized Pfizer's Covid vaccine for emergency use.")</f>
        <v>The FDA authorized Pfizer's Covid vaccine for emergency use.</v>
      </c>
      <c r="C370" s="1" t="str">
        <f>IFERROR(__xludf.DUMMYFUNCTION("""COMPUTED_VALUE"""),"NBC News")</f>
        <v>NBC News</v>
      </c>
      <c r="D370" s="3" t="str">
        <f>IFERROR(__xludf.DUMMYFUNCTION("""COMPUTED_VALUE"""),"https://www.nbcnews.com/health/health-news/coronavirus-timeline-tracking-critical-moments-covid-19-n1154384")</f>
        <v>https://www.nbcnews.com/health/health-news/coronavirus-timeline-tracking-critical-moments-covid-19-n1154384</v>
      </c>
      <c r="E370" s="1"/>
      <c r="F370" s="1"/>
      <c r="G370" s="1"/>
      <c r="H370" s="1"/>
      <c r="I370" s="1"/>
    </row>
    <row r="371">
      <c r="A371" s="2">
        <f>IFERROR(__xludf.DUMMYFUNCTION("""COMPUTED_VALUE"""),44179.0)</f>
        <v>44179</v>
      </c>
      <c r="B371" s="1" t="str">
        <f>IFERROR(__xludf.DUMMYFUNCTION("""COMPUTED_VALUE"""),"The vaccine rollout began across the United States.")</f>
        <v>The vaccine rollout began across the United States.</v>
      </c>
      <c r="C371" s="1" t="str">
        <f>IFERROR(__xludf.DUMMYFUNCTION("""COMPUTED_VALUE"""),"NBC News")</f>
        <v>NBC News</v>
      </c>
      <c r="D371" s="3" t="str">
        <f>IFERROR(__xludf.DUMMYFUNCTION("""COMPUTED_VALUE"""),"https://www.nbcnews.com/health/health-news/coronavirus-timeline-tracking-critical-moments-covid-19-n1154385")</f>
        <v>https://www.nbcnews.com/health/health-news/coronavirus-timeline-tracking-critical-moments-covid-19-n1154385</v>
      </c>
      <c r="E371" s="1"/>
      <c r="F371" s="1"/>
      <c r="G371" s="1"/>
      <c r="H371" s="1"/>
      <c r="I371" s="1"/>
    </row>
    <row r="372">
      <c r="A372" s="2">
        <f>IFERROR(__xludf.DUMMYFUNCTION("""COMPUTED_VALUE"""),44179.0)</f>
        <v>44179</v>
      </c>
      <c r="B372" s="1" t="str">
        <f>IFERROR(__xludf.DUMMYFUNCTION("""COMPUTED_VALUE"""),"The U.S. surpassed 300,000 Covid-19 deaths.")</f>
        <v>The U.S. surpassed 300,000 Covid-19 deaths.</v>
      </c>
      <c r="C372" s="1" t="str">
        <f>IFERROR(__xludf.DUMMYFUNCTION("""COMPUTED_VALUE"""),"NBC News")</f>
        <v>NBC News</v>
      </c>
      <c r="D372" s="3" t="str">
        <f>IFERROR(__xludf.DUMMYFUNCTION("""COMPUTED_VALUE"""),"https://www.nbcnews.com/health/health-news/coronavirus-timeline-tracking-critical-moments-covid-19-n1154386")</f>
        <v>https://www.nbcnews.com/health/health-news/coronavirus-timeline-tracking-critical-moments-covid-19-n1154386</v>
      </c>
      <c r="E372" s="1"/>
      <c r="F372" s="1"/>
      <c r="G372" s="1"/>
      <c r="H372" s="1"/>
      <c r="I372" s="1"/>
    </row>
    <row r="373">
      <c r="A373" s="2">
        <f>IFERROR(__xludf.DUMMYFUNCTION("""COMPUTED_VALUE"""),44181.0)</f>
        <v>44181</v>
      </c>
      <c r="B373" s="1" t="str">
        <f>IFERROR(__xludf.DUMMYFUNCTION("""COMPUTED_VALUE"""),"FDA authorized first at-home, over-the-counter Covid test")</f>
        <v>FDA authorized first at-home, over-the-counter Covid test</v>
      </c>
      <c r="C373" s="1" t="str">
        <f>IFERROR(__xludf.DUMMYFUNCTION("""COMPUTED_VALUE"""),"NBC News")</f>
        <v>NBC News</v>
      </c>
      <c r="D373" s="3" t="str">
        <f>IFERROR(__xludf.DUMMYFUNCTION("""COMPUTED_VALUE"""),"https://www.nbcnews.com/health/health-news/coronavirus-timeline-tracking-critical-moments-covid-19-n1154387")</f>
        <v>https://www.nbcnews.com/health/health-news/coronavirus-timeline-tracking-critical-moments-covid-19-n1154387</v>
      </c>
      <c r="E373" s="1"/>
      <c r="F373" s="1"/>
      <c r="G373" s="1"/>
      <c r="H373" s="1"/>
      <c r="I373" s="1"/>
    </row>
    <row r="374">
      <c r="A374" s="2">
        <f>IFERROR(__xludf.DUMMYFUNCTION("""COMPUTED_VALUE"""),44183.0)</f>
        <v>44183</v>
      </c>
      <c r="B374" s="1" t="str">
        <f>IFERROR(__xludf.DUMMYFUNCTION("""COMPUTED_VALUE"""),"FDA authorized Moderna vaccine.")</f>
        <v>FDA authorized Moderna vaccine.</v>
      </c>
      <c r="C374" s="1" t="str">
        <f>IFERROR(__xludf.DUMMYFUNCTION("""COMPUTED_VALUE"""),"NBC News")</f>
        <v>NBC News</v>
      </c>
      <c r="D374" s="3" t="str">
        <f>IFERROR(__xludf.DUMMYFUNCTION("""COMPUTED_VALUE"""),"https://www.nbcnews.com/health/health-news/coronavirus-timeline-tracking-critical-moments-covid-19-n1154388")</f>
        <v>https://www.nbcnews.com/health/health-news/coronavirus-timeline-tracking-critical-moments-covid-19-n1154388</v>
      </c>
      <c r="E374" s="1"/>
      <c r="F374" s="1"/>
      <c r="G374" s="1"/>
      <c r="H374" s="1"/>
      <c r="I374" s="1"/>
    </row>
    <row r="375">
      <c r="A375" s="2">
        <f>IFERROR(__xludf.DUMMYFUNCTION("""COMPUTED_VALUE"""),44185.0)</f>
        <v>44185</v>
      </c>
      <c r="B375" s="1" t="str">
        <f>IFERROR(__xludf.DUMMYFUNCTION("""COMPUTED_VALUE"""),"The Moderna vaccine began distribution.")</f>
        <v>The Moderna vaccine began distribution.</v>
      </c>
      <c r="C375" s="1" t="str">
        <f>IFERROR(__xludf.DUMMYFUNCTION("""COMPUTED_VALUE"""),"NBC News")</f>
        <v>NBC News</v>
      </c>
      <c r="D375" s="3" t="str">
        <f>IFERROR(__xludf.DUMMYFUNCTION("""COMPUTED_VALUE"""),"https://www.nbcnews.com/health/health-news/coronavirus-timeline-tracking-critical-moments-covid-19-n1154389")</f>
        <v>https://www.nbcnews.com/health/health-news/coronavirus-timeline-tracking-critical-moments-covid-19-n1154389</v>
      </c>
      <c r="E375" s="1"/>
      <c r="F375" s="1"/>
      <c r="G375" s="1"/>
      <c r="H375" s="1"/>
      <c r="I375" s="1"/>
    </row>
    <row r="376">
      <c r="A376" s="2">
        <f>IFERROR(__xludf.DUMMYFUNCTION("""COMPUTED_VALUE"""),44188.0)</f>
        <v>44188</v>
      </c>
      <c r="B376" s="1" t="str">
        <f>IFERROR(__xludf.DUMMYFUNCTION("""COMPUTED_VALUE"""),"U.S. unlikely to meet its goal of 20M vaccinated in 2020.")</f>
        <v>U.S. unlikely to meet its goal of 20M vaccinated in 2020.</v>
      </c>
      <c r="C376" s="1" t="str">
        <f>IFERROR(__xludf.DUMMYFUNCTION("""COMPUTED_VALUE"""),"NBC News")</f>
        <v>NBC News</v>
      </c>
      <c r="D376" s="3" t="str">
        <f>IFERROR(__xludf.DUMMYFUNCTION("""COMPUTED_VALUE"""),"https://www.nbcnews.com/health/health-news/coronavirus-timeline-tracking-critical-moments-covid-19-n1154390")</f>
        <v>https://www.nbcnews.com/health/health-news/coronavirus-timeline-tracking-critical-moments-covid-19-n1154390</v>
      </c>
      <c r="E376" s="1"/>
      <c r="F376" s="1"/>
      <c r="G376" s="1"/>
      <c r="H376" s="1"/>
      <c r="I376" s="1"/>
    </row>
    <row r="377">
      <c r="A377" s="2">
        <f>IFERROR(__xludf.DUMMYFUNCTION("""COMPUTED_VALUE"""),44192.0)</f>
        <v>44192</v>
      </c>
      <c r="B377" s="1" t="str">
        <f>IFERROR(__xludf.DUMMYFUNCTION("""COMPUTED_VALUE"""),"Europe began its vaccination campaign.")</f>
        <v>Europe began its vaccination campaign.</v>
      </c>
      <c r="C377" s="1" t="str">
        <f>IFERROR(__xludf.DUMMYFUNCTION("""COMPUTED_VALUE"""),"NBC News")</f>
        <v>NBC News</v>
      </c>
      <c r="D377" s="3" t="str">
        <f>IFERROR(__xludf.DUMMYFUNCTION("""COMPUTED_VALUE"""),"https://www.nbcnews.com/health/health-news/coronavirus-timeline-tracking-critical-moments-covid-19-n1154391")</f>
        <v>https://www.nbcnews.com/health/health-news/coronavirus-timeline-tracking-critical-moments-covid-19-n1154391</v>
      </c>
      <c r="E377" s="1"/>
      <c r="F377" s="1"/>
      <c r="G377" s="1"/>
      <c r="H377" s="1"/>
      <c r="I377" s="1"/>
    </row>
    <row r="378">
      <c r="A378" s="2">
        <f>IFERROR(__xludf.DUMMYFUNCTION("""COMPUTED_VALUE"""),44194.0)</f>
        <v>44194</v>
      </c>
      <c r="B378" s="1" t="str">
        <f>IFERROR(__xludf.DUMMYFUNCTION("""COMPUTED_VALUE"""),"The first U.S. case of a highly contagious U.K. COVID-19 variant (B.1.1.7) is reported in Colorado.")</f>
        <v>The first U.S. case of a highly contagious U.K. COVID-19 variant (B.1.1.7) is reported in Colorado.</v>
      </c>
      <c r="C378" s="1" t="str">
        <f>IFERROR(__xludf.DUMMYFUNCTION("""COMPUTED_VALUE"""),"Maximus")</f>
        <v>Maximus</v>
      </c>
      <c r="D378" s="3" t="str">
        <f>IFERROR(__xludf.DUMMYFUNCTION("""COMPUTED_VALUE"""),"https://storymaps.arcgis.com/stories/463f2d26aca94edda07753fe31f61f11")</f>
        <v>https://storymaps.arcgis.com/stories/463f2d26aca94edda07753fe31f61f11</v>
      </c>
      <c r="E378" s="1"/>
      <c r="F378" s="1"/>
      <c r="G378" s="1"/>
      <c r="H378" s="1"/>
      <c r="I378" s="1"/>
    </row>
    <row r="379">
      <c r="A379" s="2">
        <f>IFERROR(__xludf.DUMMYFUNCTION("""COMPUTED_VALUE"""),44197.0)</f>
        <v>44197</v>
      </c>
      <c r="B379" s="1" t="str">
        <f>IFERROR(__xludf.DUMMYFUNCTION("""COMPUTED_VALUE"""),"December counted 77,124 deaths in the U.S., the most of any month of the pandemic 
so far. Its 6,427,955 cases made it the most infectious month as well.")</f>
        <v>December counted 77,124 deaths in the U.S., the most of any month of the pandemic 
so far. Its 6,427,955 cases made it the most infectious month as well.</v>
      </c>
      <c r="C379" s="1" t="str">
        <f>IFERROR(__xludf.DUMMYFUNCTION("""COMPUTED_VALUE"""),"NBC News")</f>
        <v>NBC News</v>
      </c>
      <c r="D379" s="3" t="str">
        <f>IFERROR(__xludf.DUMMYFUNCTION("""COMPUTED_VALUE"""),"https://www.nbcnews.com/health/health-news/coronavirus-timeline-tracking-critical-moments-covid-19-n1154392")</f>
        <v>https://www.nbcnews.com/health/health-news/coronavirus-timeline-tracking-critical-moments-covid-19-n1154392</v>
      </c>
      <c r="E379" s="1"/>
      <c r="F379" s="1"/>
      <c r="G379" s="1"/>
      <c r="H379" s="1"/>
      <c r="I379" s="1"/>
    </row>
    <row r="380">
      <c r="A380" s="2">
        <f>IFERROR(__xludf.DUMMYFUNCTION("""COMPUTED_VALUE"""),44204.0)</f>
        <v>44204</v>
      </c>
      <c r="B380" s="1" t="str">
        <f>IFERROR(__xludf.DUMMYFUNCTION("""COMPUTED_VALUE"""),"The U.S. surpasses 300,000 daily cases for the first time. The rolling average of daily cases hit a record high since the start of the pandemic.")</f>
        <v>The U.S. surpasses 300,000 daily cases for the first time. The rolling average of daily cases hit a record high since the start of the pandemic.</v>
      </c>
      <c r="C380" s="1" t="str">
        <f>IFERROR(__xludf.DUMMYFUNCTION("""COMPUTED_VALUE"""),"Maximus")</f>
        <v>Maximus</v>
      </c>
      <c r="D380" s="3" t="str">
        <f>IFERROR(__xludf.DUMMYFUNCTION("""COMPUTED_VALUE"""),"https://storymaps.arcgis.com/stories/463f2d26aca94edda07753fe31f61f11")</f>
        <v>https://storymaps.arcgis.com/stories/463f2d26aca94edda07753fe31f61f11</v>
      </c>
      <c r="E380" s="1"/>
      <c r="F380" s="1"/>
      <c r="G380" s="1"/>
      <c r="H380" s="1"/>
      <c r="I380" s="1"/>
    </row>
    <row r="381">
      <c r="A381" s="2">
        <f>IFERROR(__xludf.DUMMYFUNCTION("""COMPUTED_VALUE"""),44205.0)</f>
        <v>44205</v>
      </c>
      <c r="B381" s="1" t="str">
        <f>IFERROR(__xludf.DUMMYFUNCTION("""COMPUTED_VALUE"""),"Japanese authorities report they have identified, via samples from several travelers from Brazil, a new Coronavirus variant (belonging to B.1.1.248 lineage) that is spreading")</f>
        <v>Japanese authorities report they have identified, via samples from several travelers from Brazil, a new Coronavirus variant (belonging to B.1.1.248 lineage) that is spreading</v>
      </c>
      <c r="C381" s="1" t="str">
        <f>IFERROR(__xludf.DUMMYFUNCTION("""COMPUTED_VALUE"""),"US Department of
Defense")</f>
        <v>US Department of
Defense</v>
      </c>
      <c r="D381" s="3" t="str">
        <f>IFERROR(__xludf.DUMMYFUNCTION("""COMPUTED_VALUE"""),"https://www.defense.gov/Explore/Spotlight/Coronavirus-DOD-Response/Timeline/")</f>
        <v>https://www.defense.gov/Explore/Spotlight/Coronavirus-DOD-Response/Timeline/</v>
      </c>
      <c r="E381" s="1"/>
      <c r="F381" s="1"/>
      <c r="G381" s="1"/>
      <c r="H381" s="1"/>
      <c r="I381" s="1"/>
    </row>
    <row r="382">
      <c r="A382" s="2">
        <f>IFERROR(__xludf.DUMMYFUNCTION("""COMPUTED_VALUE"""),44207.0)</f>
        <v>44207</v>
      </c>
      <c r="B382" s="1" t="str">
        <f>IFERROR(__xludf.DUMMYFUNCTION("""COMPUTED_VALUE"""),"For two weeks in a row, the U.S. sets a record for COVID-19 deaths and new case numbers.")</f>
        <v>For two weeks in a row, the U.S. sets a record for COVID-19 deaths and new case numbers.</v>
      </c>
      <c r="C382" s="1" t="str">
        <f>IFERROR(__xludf.DUMMYFUNCTION("""COMPUTED_VALUE"""),"Maximus")</f>
        <v>Maximus</v>
      </c>
      <c r="D382" s="3" t="str">
        <f>IFERROR(__xludf.DUMMYFUNCTION("""COMPUTED_VALUE"""),"https://storymaps.arcgis.com/stories/463f2d26aca94edda07753fe31f61f11")</f>
        <v>https://storymaps.arcgis.com/stories/463f2d26aca94edda07753fe31f61f11</v>
      </c>
      <c r="E382" s="1"/>
      <c r="F382" s="1"/>
      <c r="G382" s="1"/>
      <c r="H382" s="1"/>
      <c r="I382" s="1"/>
    </row>
    <row r="383">
      <c r="A383" s="2">
        <f>IFERROR(__xludf.DUMMYFUNCTION("""COMPUTED_VALUE"""),44208.0)</f>
        <v>44208</v>
      </c>
      <c r="B383" s="1" t="str">
        <f>IFERROR(__xludf.DUMMYFUNCTION("""COMPUTED_VALUE"""),"The CDC announces that beginning January 26, the U.S. will require proof of a negative COVID-19 test for all air passengers arriving from foreign countries.")</f>
        <v>The CDC announces that beginning January 26, the U.S. will require proof of a negative COVID-19 test for all air passengers arriving from foreign countries.</v>
      </c>
      <c r="C383" s="1" t="str">
        <f>IFERROR(__xludf.DUMMYFUNCTION("""COMPUTED_VALUE"""),"Maximus")</f>
        <v>Maximus</v>
      </c>
      <c r="D383" s="3" t="str">
        <f>IFERROR(__xludf.DUMMYFUNCTION("""COMPUTED_VALUE"""),"https://storymaps.arcgis.com/stories/463f2d26aca94edda07753fe31f61f11")</f>
        <v>https://storymaps.arcgis.com/stories/463f2d26aca94edda07753fe31f61f11</v>
      </c>
      <c r="E383" s="1"/>
      <c r="F383" s="1"/>
      <c r="G383" s="1"/>
      <c r="H383" s="1"/>
      <c r="I383" s="1"/>
    </row>
    <row r="384">
      <c r="A384" s="2">
        <f>IFERROR(__xludf.DUMMYFUNCTION("""COMPUTED_VALUE"""),44208.0)</f>
        <v>44208</v>
      </c>
      <c r="B384" s="1" t="str">
        <f>IFERROR(__xludf.DUMMYFUNCTION("""COMPUTED_VALUE"""),"The CDC and HHS update the vaccine allocation guidance.")</f>
        <v>The CDC and HHS update the vaccine allocation guidance.</v>
      </c>
      <c r="C384" s="1" t="str">
        <f>IFERROR(__xludf.DUMMYFUNCTION("""COMPUTED_VALUE"""),"Maximus")</f>
        <v>Maximus</v>
      </c>
      <c r="D384" s="3" t="str">
        <f>IFERROR(__xludf.DUMMYFUNCTION("""COMPUTED_VALUE"""),"https://storymaps.arcgis.com/stories/463f2d26aca94edda07753fe31f61f11")</f>
        <v>https://storymaps.arcgis.com/stories/463f2d26aca94edda07753fe31f61f11</v>
      </c>
      <c r="E384" s="1"/>
      <c r="F384" s="1"/>
      <c r="G384" s="1"/>
      <c r="H384" s="1"/>
      <c r="I384" s="1"/>
    </row>
    <row r="385">
      <c r="A385" s="2">
        <f>IFERROR(__xludf.DUMMYFUNCTION("""COMPUTED_VALUE"""),44210.0)</f>
        <v>44210</v>
      </c>
      <c r="B385" s="1" t="str">
        <f>IFERROR(__xludf.DUMMYFUNCTION("""COMPUTED_VALUE"""),"The U.S. improves its COVID vaccine rollout, which nears 1 million doses per day.")</f>
        <v>The U.S. improves its COVID vaccine rollout, which nears 1 million doses per day.</v>
      </c>
      <c r="C385" s="1" t="str">
        <f>IFERROR(__xludf.DUMMYFUNCTION("""COMPUTED_VALUE"""),"Maximus")</f>
        <v>Maximus</v>
      </c>
      <c r="D385" s="3" t="str">
        <f>IFERROR(__xludf.DUMMYFUNCTION("""COMPUTED_VALUE"""),"https://storymaps.arcgis.com/stories/463f2d26aca94edda07753fe31f61f11")</f>
        <v>https://storymaps.arcgis.com/stories/463f2d26aca94edda07753fe31f61f11</v>
      </c>
      <c r="E385" s="1"/>
      <c r="F385" s="1"/>
      <c r="G385" s="1"/>
      <c r="H385" s="1"/>
      <c r="I385" s="1"/>
    </row>
    <row r="386">
      <c r="A386" s="2">
        <f>IFERROR(__xludf.DUMMYFUNCTION("""COMPUTED_VALUE"""),44211.0)</f>
        <v>44211</v>
      </c>
      <c r="B386" s="1" t="str">
        <f>IFERROR(__xludf.DUMMYFUNCTION("""COMPUTED_VALUE"""),"Global COVID-19 related deaths surpass 2M")</f>
        <v>Global COVID-19 related deaths surpass 2M</v>
      </c>
      <c r="C386" s="1" t="str">
        <f>IFERROR(__xludf.DUMMYFUNCTION("""COMPUTED_VALUE"""),"US Department of
Defense")</f>
        <v>US Department of
Defense</v>
      </c>
      <c r="D386" s="3" t="str">
        <f>IFERROR(__xludf.DUMMYFUNCTION("""COMPUTED_VALUE"""),"https://www.defense.gov/Explore/Spotlight/Coronavirus-DOD-Response/Timeline/")</f>
        <v>https://www.defense.gov/Explore/Spotlight/Coronavirus-DOD-Response/Timeline/</v>
      </c>
      <c r="E386" s="1"/>
      <c r="F386" s="1"/>
      <c r="G386" s="1"/>
      <c r="H386" s="1"/>
      <c r="I386" s="1"/>
    </row>
    <row r="387">
      <c r="A387" s="2">
        <f>IFERROR(__xludf.DUMMYFUNCTION("""COMPUTED_VALUE"""),44213.0)</f>
        <v>44213</v>
      </c>
      <c r="B387" s="1" t="str">
        <f>IFERROR(__xludf.DUMMYFUNCTION("""COMPUTED_VALUE"""),"For the first time in two weeks, the U.S. has records fewer than 200,000 newly confirmed infections. The number of patients hospitalized with COVID-19 across the country also drops.")</f>
        <v>For the first time in two weeks, the U.S. has records fewer than 200,000 newly confirmed infections. The number of patients hospitalized with COVID-19 across the country also drops.</v>
      </c>
      <c r="C387" s="1" t="str">
        <f>IFERROR(__xludf.DUMMYFUNCTION("""COMPUTED_VALUE"""),"Maximus")</f>
        <v>Maximus</v>
      </c>
      <c r="D387" s="3" t="str">
        <f>IFERROR(__xludf.DUMMYFUNCTION("""COMPUTED_VALUE"""),"https://storymaps.arcgis.com/stories/463f2d26aca94edda07753fe31f61f11")</f>
        <v>https://storymaps.arcgis.com/stories/463f2d26aca94edda07753fe31f61f11</v>
      </c>
      <c r="E387" s="1"/>
      <c r="F387" s="1"/>
      <c r="G387" s="1"/>
      <c r="H387" s="1"/>
      <c r="I387" s="1"/>
    </row>
    <row r="388">
      <c r="A388" s="2">
        <f>IFERROR(__xludf.DUMMYFUNCTION("""COMPUTED_VALUE"""),44213.0)</f>
        <v>44213</v>
      </c>
      <c r="B388" s="1" t="str">
        <f>IFERROR(__xludf.DUMMYFUNCTION("""COMPUTED_VALUE"""),"California public health officials announce that a Coronavirus variant (L452R), which has previously been detected in other countries and states, is increasingly being identified in multiple counties across the state")</f>
        <v>California public health officials announce that a Coronavirus variant (L452R), which has previously been detected in other countries and states, is increasingly being identified in multiple counties across the state</v>
      </c>
      <c r="C388" s="1" t="str">
        <f>IFERROR(__xludf.DUMMYFUNCTION("""COMPUTED_VALUE"""),"US Department of
Defense")</f>
        <v>US Department of
Defense</v>
      </c>
      <c r="D388" s="3" t="str">
        <f>IFERROR(__xludf.DUMMYFUNCTION("""COMPUTED_VALUE"""),"https://www.defense.gov/Explore/Spotlight/Coronavirus-DOD-Response/Timeline/")</f>
        <v>https://www.defense.gov/Explore/Spotlight/Coronavirus-DOD-Response/Timeline/</v>
      </c>
      <c r="E388" s="1"/>
      <c r="F388" s="1"/>
      <c r="G388" s="1"/>
      <c r="H388" s="1"/>
      <c r="I388" s="1"/>
    </row>
    <row r="389">
      <c r="A389" s="2">
        <f>IFERROR(__xludf.DUMMYFUNCTION("""COMPUTED_VALUE"""),44216.0)</f>
        <v>44216</v>
      </c>
      <c r="B389" s="1" t="str">
        <f>IFERROR(__xludf.DUMMYFUNCTION("""COMPUTED_VALUE"""),"POTUS notifies the United Nations Secretary-General that the United States intends to remain a member of the World Health Organization")</f>
        <v>POTUS notifies the United Nations Secretary-General that the United States intends to remain a member of the World Health Organization</v>
      </c>
      <c r="C389" s="1" t="str">
        <f>IFERROR(__xludf.DUMMYFUNCTION("""COMPUTED_VALUE"""),"US Department of
Defense")</f>
        <v>US Department of
Defense</v>
      </c>
      <c r="D389" s="3" t="str">
        <f>IFERROR(__xludf.DUMMYFUNCTION("""COMPUTED_VALUE"""),"https://www.defense.gov/Explore/Spotlight/Coronavirus-DOD-Response/Timeline/")</f>
        <v>https://www.defense.gov/Explore/Spotlight/Coronavirus-DOD-Response/Timeline/</v>
      </c>
      <c r="E389" s="1"/>
      <c r="F389" s="1"/>
      <c r="G389" s="1"/>
      <c r="H389" s="1"/>
      <c r="I389" s="1"/>
    </row>
    <row r="390">
      <c r="A390" s="2">
        <f>IFERROR(__xludf.DUMMYFUNCTION("""COMPUTED_VALUE"""),44216.0)</f>
        <v>44216</v>
      </c>
      <c r="B390" s="1" t="str">
        <f>IFERROR(__xludf.DUMMYFUNCTION("""COMPUTED_VALUE"""),"POTUS signs an Executive Order on protecting the Federal workforce and requiring mask-wearing")</f>
        <v>POTUS signs an Executive Order on protecting the Federal workforce and requiring mask-wearing</v>
      </c>
      <c r="C390" s="1" t="str">
        <f>IFERROR(__xludf.DUMMYFUNCTION("""COMPUTED_VALUE"""),"US Department of
Defense")</f>
        <v>US Department of
Defense</v>
      </c>
      <c r="D390" s="3" t="str">
        <f>IFERROR(__xludf.DUMMYFUNCTION("""COMPUTED_VALUE"""),"https://www.defense.gov/Explore/Spotlight/Coronavirus-DOD-Response/Timeline/")</f>
        <v>https://www.defense.gov/Explore/Spotlight/Coronavirus-DOD-Response/Timeline/</v>
      </c>
      <c r="E390" s="1"/>
      <c r="F390" s="1"/>
      <c r="G390" s="1"/>
      <c r="H390" s="1"/>
      <c r="I390" s="1"/>
    </row>
    <row r="391">
      <c r="A391" s="2">
        <f>IFERROR(__xludf.DUMMYFUNCTION("""COMPUTED_VALUE"""),44217.0)</f>
        <v>44217</v>
      </c>
      <c r="B391" s="1" t="str">
        <f>IFERROR(__xludf.DUMMYFUNCTION("""COMPUTED_VALUE"""),"The new administration signs multiple Executive Orders to combat the COVID-19 pandemic.")</f>
        <v>The new administration signs multiple Executive Orders to combat the COVID-19 pandemic.</v>
      </c>
      <c r="C391" s="1" t="str">
        <f>IFERROR(__xludf.DUMMYFUNCTION("""COMPUTED_VALUE"""),"Maximus")</f>
        <v>Maximus</v>
      </c>
      <c r="D391" s="3" t="str">
        <f>IFERROR(__xludf.DUMMYFUNCTION("""COMPUTED_VALUE"""),"https://storymaps.arcgis.com/stories/463f2d26aca94edda07753fe31f61f11")</f>
        <v>https://storymaps.arcgis.com/stories/463f2d26aca94edda07753fe31f61f11</v>
      </c>
      <c r="E391" s="1"/>
      <c r="F391" s="1"/>
      <c r="G391" s="1"/>
      <c r="H391" s="1"/>
      <c r="I391" s="1"/>
    </row>
    <row r="392">
      <c r="A392" s="2">
        <f>IFERROR(__xludf.DUMMYFUNCTION("""COMPUTED_VALUE"""),44217.0)</f>
        <v>44217</v>
      </c>
      <c r="B392" s="1" t="str">
        <f>IFERROR(__xludf.DUMMYFUNCTION("""COMPUTED_VALUE"""),"POTUS signs an Executive Order on promoting COVID-19 safety in domestic and international travel.")</f>
        <v>POTUS signs an Executive Order on promoting COVID-19 safety in domestic and international travel.</v>
      </c>
      <c r="C392" s="1" t="str">
        <f>IFERROR(__xludf.DUMMYFUNCTION("""COMPUTED_VALUE"""),"US Department of
Defense")</f>
        <v>US Department of
Defense</v>
      </c>
      <c r="D392" s="3" t="str">
        <f>IFERROR(__xludf.DUMMYFUNCTION("""COMPUTED_VALUE"""),"https://www.defense.gov/Explore/Spotlight/Coronavirus-DOD-Response/Timeline/")</f>
        <v>https://www.defense.gov/Explore/Spotlight/Coronavirus-DOD-Response/Timeline/</v>
      </c>
      <c r="E392" s="1"/>
      <c r="F392" s="1"/>
      <c r="G392" s="1"/>
      <c r="H392" s="1"/>
      <c r="I392" s="1"/>
    </row>
    <row r="393">
      <c r="A393" s="2">
        <f>IFERROR(__xludf.DUMMYFUNCTION("""COMPUTED_VALUE"""),44217.0)</f>
        <v>44217</v>
      </c>
      <c r="B393" s="1" t="str">
        <f>IFERROR(__xludf.DUMMYFUNCTION("""COMPUTED_VALUE"""),"POTUS signs an Executive Order on improving and expanding access to care and
 treatments for COVID-19.")</f>
        <v>POTUS signs an Executive Order on improving and expanding access to care and
 treatments for COVID-19.</v>
      </c>
      <c r="C393" s="1" t="str">
        <f>IFERROR(__xludf.DUMMYFUNCTION("""COMPUTED_VALUE"""),"US Department of
Defense")</f>
        <v>US Department of
Defense</v>
      </c>
      <c r="D393" s="3" t="str">
        <f>IFERROR(__xludf.DUMMYFUNCTION("""COMPUTED_VALUE"""),"https://www.defense.gov/Explore/Spotlight/Coronavirus-DOD-Response/Timeline/")</f>
        <v>https://www.defense.gov/Explore/Spotlight/Coronavirus-DOD-Response/Timeline/</v>
      </c>
      <c r="E393" s="1"/>
      <c r="F393" s="1"/>
      <c r="G393" s="1"/>
      <c r="H393" s="1"/>
      <c r="I393" s="1"/>
    </row>
    <row r="394">
      <c r="A394" s="2">
        <f>IFERROR(__xludf.DUMMYFUNCTION("""COMPUTED_VALUE"""),44217.0)</f>
        <v>44217</v>
      </c>
      <c r="B394" s="1" t="str">
        <f>IFERROR(__xludf.DUMMYFUNCTION("""COMPUTED_VALUE"""),"POTUS signs an Executive Order on ensuring a data-driven response to COVID-19 
and future high-consequence public health threats.")</f>
        <v>POTUS signs an Executive Order on ensuring a data-driven response to COVID-19 
and future high-consequence public health threats.</v>
      </c>
      <c r="C394" s="1" t="str">
        <f>IFERROR(__xludf.DUMMYFUNCTION("""COMPUTED_VALUE"""),"US Department of
Defense")</f>
        <v>US Department of
Defense</v>
      </c>
      <c r="D394" s="3" t="str">
        <f>IFERROR(__xludf.DUMMYFUNCTION("""COMPUTED_VALUE"""),"https://www.defense.gov/Explore/Spotlight/Coronavirus-DOD-Response/Timeline/")</f>
        <v>https://www.defense.gov/Explore/Spotlight/Coronavirus-DOD-Response/Timeline/</v>
      </c>
      <c r="E394" s="1"/>
      <c r="F394" s="1"/>
      <c r="G394" s="1"/>
      <c r="H394" s="1"/>
      <c r="I394" s="1"/>
    </row>
    <row r="395">
      <c r="A395" s="2">
        <f>IFERROR(__xludf.DUMMYFUNCTION("""COMPUTED_VALUE"""),44217.0)</f>
        <v>44217</v>
      </c>
      <c r="B395" s="1" t="str">
        <f>IFERROR(__xludf.DUMMYFUNCTION("""COMPUTED_VALUE"""),"POTUS signs a Memorandum to extend federal support to governors’ use of the 
National Guard to respond to COVID-19 and to increase reimbursement and other 
assistance provided to states.")</f>
        <v>POTUS signs a Memorandum to extend federal support to governors’ use of the 
National Guard to respond to COVID-19 and to increase reimbursement and other 
assistance provided to states.</v>
      </c>
      <c r="C395" s="1" t="str">
        <f>IFERROR(__xludf.DUMMYFUNCTION("""COMPUTED_VALUE"""),"US Department of
Defense")</f>
        <v>US Department of
Defense</v>
      </c>
      <c r="D395" s="3" t="str">
        <f>IFERROR(__xludf.DUMMYFUNCTION("""COMPUTED_VALUE"""),"https://www.defense.gov/Explore/Spotlight/Coronavirus-DOD-Response/Timeline/")</f>
        <v>https://www.defense.gov/Explore/Spotlight/Coronavirus-DOD-Response/Timeline/</v>
      </c>
      <c r="E395" s="1"/>
      <c r="F395" s="1"/>
      <c r="G395" s="1"/>
      <c r="H395" s="1"/>
      <c r="I395" s="1"/>
    </row>
    <row r="396">
      <c r="A396" s="2">
        <f>IFERROR(__xludf.DUMMYFUNCTION("""COMPUTED_VALUE"""),44217.0)</f>
        <v>44217</v>
      </c>
      <c r="B396" s="1" t="str">
        <f>IFERROR(__xludf.DUMMYFUNCTION("""COMPUTED_VALUE"""),"POTUS signs an Executive Order on a sustainable public health supply chain.")</f>
        <v>POTUS signs an Executive Order on a sustainable public health supply chain.</v>
      </c>
      <c r="C396" s="1" t="str">
        <f>IFERROR(__xludf.DUMMYFUNCTION("""COMPUTED_VALUE"""),"US Department of
Defense")</f>
        <v>US Department of
Defense</v>
      </c>
      <c r="D396" s="3" t="str">
        <f>IFERROR(__xludf.DUMMYFUNCTION("""COMPUTED_VALUE"""),"https://www.defense.gov/Explore/Spotlight/Coronavirus-DOD-Response/Timeline/")</f>
        <v>https://www.defense.gov/Explore/Spotlight/Coronavirus-DOD-Response/Timeline/</v>
      </c>
      <c r="E396" s="1"/>
      <c r="F396" s="1"/>
      <c r="G396" s="1"/>
      <c r="H396" s="1"/>
      <c r="I396" s="1"/>
    </row>
    <row r="397">
      <c r="A397" s="2">
        <f>IFERROR(__xludf.DUMMYFUNCTION("""COMPUTED_VALUE"""),44217.0)</f>
        <v>44217</v>
      </c>
      <c r="B397" s="1" t="str">
        <f>IFERROR(__xludf.DUMMYFUNCTION("""COMPUTED_VALUE"""),"POTUS signs an Executive Order on ensuring an equitable pandemic response and 
recovery.")</f>
        <v>POTUS signs an Executive Order on ensuring an equitable pandemic response and 
recovery.</v>
      </c>
      <c r="C397" s="1" t="str">
        <f>IFERROR(__xludf.DUMMYFUNCTION("""COMPUTED_VALUE"""),"US Department of
Defense")</f>
        <v>US Department of
Defense</v>
      </c>
      <c r="D397" s="3" t="str">
        <f>IFERROR(__xludf.DUMMYFUNCTION("""COMPUTED_VALUE"""),"https://www.defense.gov/Explore/Spotlight/Coronavirus-DOD-Response/Timeline/")</f>
        <v>https://www.defense.gov/Explore/Spotlight/Coronavirus-DOD-Response/Timeline/</v>
      </c>
      <c r="E397" s="1"/>
      <c r="F397" s="1"/>
      <c r="G397" s="1"/>
      <c r="H397" s="1"/>
      <c r="I397" s="1"/>
    </row>
    <row r="398">
      <c r="A398" s="2">
        <f>IFERROR(__xludf.DUMMYFUNCTION("""COMPUTED_VALUE"""),44217.0)</f>
        <v>44217</v>
      </c>
      <c r="B398" s="1" t="str">
        <f>IFERROR(__xludf.DUMMYFUNCTION("""COMPUTED_VALUE"""),"POTUS signs an Executive Order on protecting worker health and safety.")</f>
        <v>POTUS signs an Executive Order on protecting worker health and safety.</v>
      </c>
      <c r="C398" s="1" t="str">
        <f>IFERROR(__xludf.DUMMYFUNCTION("""COMPUTED_VALUE"""),"US Department of
Defense")</f>
        <v>US Department of
Defense</v>
      </c>
      <c r="D398" s="3" t="str">
        <f>IFERROR(__xludf.DUMMYFUNCTION("""COMPUTED_VALUE"""),"https://www.defense.gov/Explore/Spotlight/Coronavirus-DOD-Response/Timeline/")</f>
        <v>https://www.defense.gov/Explore/Spotlight/Coronavirus-DOD-Response/Timeline/</v>
      </c>
      <c r="E398" s="1"/>
      <c r="F398" s="1"/>
      <c r="G398" s="1"/>
      <c r="H398" s="1"/>
      <c r="I398" s="1"/>
    </row>
    <row r="399">
      <c r="A399" s="2">
        <f>IFERROR(__xludf.DUMMYFUNCTION("""COMPUTED_VALUE"""),44217.0)</f>
        <v>44217</v>
      </c>
      <c r="B399" s="1" t="str">
        <f>IFERROR(__xludf.DUMMYFUNCTION("""COMPUTED_VALUE"""),"POTUS releases a National Security Directive on United States global leadership 
to strengthen the international COVID-19 response and to advance global health 
security and biological preparedness.")</f>
        <v>POTUS releases a National Security Directive on United States global leadership 
to strengthen the international COVID-19 response and to advance global health 
security and biological preparedness.</v>
      </c>
      <c r="C399" s="1" t="str">
        <f>IFERROR(__xludf.DUMMYFUNCTION("""COMPUTED_VALUE"""),"US Department of
Defense")</f>
        <v>US Department of
Defense</v>
      </c>
      <c r="D399" s="3" t="str">
        <f>IFERROR(__xludf.DUMMYFUNCTION("""COMPUTED_VALUE"""),"https://www.defense.gov/Explore/Spotlight/Coronavirus-DOD-Response/Timeline/")</f>
        <v>https://www.defense.gov/Explore/Spotlight/Coronavirus-DOD-Response/Timeline/</v>
      </c>
      <c r="E399" s="1"/>
      <c r="F399" s="1"/>
      <c r="G399" s="1"/>
      <c r="H399" s="1"/>
      <c r="I399" s="1"/>
    </row>
    <row r="400">
      <c r="A400" s="2">
        <f>IFERROR(__xludf.DUMMYFUNCTION("""COMPUTED_VALUE"""),44217.0)</f>
        <v>44217</v>
      </c>
      <c r="B400" s="1" t="str">
        <f>IFERROR(__xludf.DUMMYFUNCTION("""COMPUTED_VALUE"""),"POTUS signs an Executive Order on establishing the COVID-19 pandemic testing 
board and ensuring a sustainable public health workforce for COVID-19 and other biological threats.")</f>
        <v>POTUS signs an Executive Order on establishing the COVID-19 pandemic testing 
board and ensuring a sustainable public health workforce for COVID-19 and other biological threats.</v>
      </c>
      <c r="C400" s="1" t="str">
        <f>IFERROR(__xludf.DUMMYFUNCTION("""COMPUTED_VALUE"""),"US Department of
Defense")</f>
        <v>US Department of
Defense</v>
      </c>
      <c r="D400" s="3" t="str">
        <f>IFERROR(__xludf.DUMMYFUNCTION("""COMPUTED_VALUE"""),"https://www.defense.gov/Explore/Spotlight/Coronavirus-DOD-Response/Timeline/")</f>
        <v>https://www.defense.gov/Explore/Spotlight/Coronavirus-DOD-Response/Timeline/</v>
      </c>
      <c r="E400" s="1"/>
      <c r="F400" s="1"/>
      <c r="G400" s="1"/>
      <c r="H400" s="1"/>
      <c r="I400" s="1"/>
    </row>
    <row r="401">
      <c r="A401" s="2">
        <f>IFERROR(__xludf.DUMMYFUNCTION("""COMPUTED_VALUE"""),44217.0)</f>
        <v>44217</v>
      </c>
      <c r="B401" s="1" t="str">
        <f>IFERROR(__xludf.DUMMYFUNCTION("""COMPUTED_VALUE"""),"POTUS signs an Executive Order on supporting the reopening and continuing operation 
of schools and early childhood education providers.")</f>
        <v>POTUS signs an Executive Order on supporting the reopening and continuing operation 
of schools and early childhood education providers.</v>
      </c>
      <c r="C401" s="1" t="str">
        <f>IFERROR(__xludf.DUMMYFUNCTION("""COMPUTED_VALUE"""),"US Department of
Defense")</f>
        <v>US Department of
Defense</v>
      </c>
      <c r="D401" s="3" t="str">
        <f>IFERROR(__xludf.DUMMYFUNCTION("""COMPUTED_VALUE"""),"https://www.defense.gov/Explore/Spotlight/Coronavirus-DOD-Response/Timeline/")</f>
        <v>https://www.defense.gov/Explore/Spotlight/Coronavirus-DOD-Response/Timeline/</v>
      </c>
      <c r="E401" s="1"/>
      <c r="F401" s="1"/>
      <c r="G401" s="1"/>
      <c r="H401" s="1"/>
      <c r="I401" s="1"/>
    </row>
    <row r="402">
      <c r="A402" s="2">
        <f>IFERROR(__xludf.DUMMYFUNCTION("""COMPUTED_VALUE"""),44218.0)</f>
        <v>44218</v>
      </c>
      <c r="B402" s="1" t="str">
        <f>IFERROR(__xludf.DUMMYFUNCTION("""COMPUTED_VALUE"""),"CDC releases updated guidance allowing the second dose of Pfizer-BioNTech and Moderna COVID-19 vaccines to be scheduled for administration up to 6 weeks after the first dose.")</f>
        <v>CDC releases updated guidance allowing the second dose of Pfizer-BioNTech and Moderna COVID-19 vaccines to be scheduled for administration up to 6 weeks after the first dose.</v>
      </c>
      <c r="C402" s="1" t="str">
        <f>IFERROR(__xludf.DUMMYFUNCTION("""COMPUTED_VALUE"""),"Maximus")</f>
        <v>Maximus</v>
      </c>
      <c r="D402" s="3" t="str">
        <f>IFERROR(__xludf.DUMMYFUNCTION("""COMPUTED_VALUE"""),"https://storymaps.arcgis.com/stories/463f2d26aca94edda07753fe31f61f11")</f>
        <v>https://storymaps.arcgis.com/stories/463f2d26aca94edda07753fe31f61f11</v>
      </c>
      <c r="E402" s="1"/>
      <c r="F402" s="1"/>
      <c r="G402" s="1"/>
      <c r="H402" s="1"/>
      <c r="I402" s="1"/>
    </row>
    <row r="403">
      <c r="A403" s="2">
        <f>IFERROR(__xludf.DUMMYFUNCTION("""COMPUTED_VALUE"""),44221.0)</f>
        <v>44221</v>
      </c>
      <c r="B403" s="1" t="str">
        <f>IFERROR(__xludf.DUMMYFUNCTION("""COMPUTED_VALUE"""),"U.S. COVID-19 confirmed cases surpass 25 million.")</f>
        <v>U.S. COVID-19 confirmed cases surpass 25 million.</v>
      </c>
      <c r="C403" s="1" t="str">
        <f>IFERROR(__xludf.DUMMYFUNCTION("""COMPUTED_VALUE"""),"Maximus")</f>
        <v>Maximus</v>
      </c>
      <c r="D403" s="3" t="str">
        <f>IFERROR(__xludf.DUMMYFUNCTION("""COMPUTED_VALUE"""),"https://storymaps.arcgis.com/stories/463f2d26aca94edda07753fe31f61f11")</f>
        <v>https://storymaps.arcgis.com/stories/463f2d26aca94edda07753fe31f61f11</v>
      </c>
      <c r="E403" s="1"/>
      <c r="F403" s="1"/>
      <c r="G403" s="1"/>
      <c r="H403" s="1"/>
      <c r="I403" s="1"/>
    </row>
    <row r="404">
      <c r="A404" s="2">
        <f>IFERROR(__xludf.DUMMYFUNCTION("""COMPUTED_VALUE"""),44221.0)</f>
        <v>44221</v>
      </c>
      <c r="B404" s="1" t="str">
        <f>IFERROR(__xludf.DUMMYFUNCTION("""COMPUTED_VALUE"""),"The first U.S. case of a highly transmissible Brazil coronavirus variant (P.1) is identified in Minnesota.")</f>
        <v>The first U.S. case of a highly transmissible Brazil coronavirus variant (P.1) is identified in Minnesota.</v>
      </c>
      <c r="C404" s="1" t="str">
        <f>IFERROR(__xludf.DUMMYFUNCTION("""COMPUTED_VALUE"""),"Maximus")</f>
        <v>Maximus</v>
      </c>
      <c r="D404" s="3" t="str">
        <f>IFERROR(__xludf.DUMMYFUNCTION("""COMPUTED_VALUE"""),"https://storymaps.arcgis.com/stories/463f2d26aca94edda07753fe31f61f11")</f>
        <v>https://storymaps.arcgis.com/stories/463f2d26aca94edda07753fe31f61f11</v>
      </c>
      <c r="E404" s="1"/>
      <c r="F404" s="1"/>
      <c r="G404" s="1"/>
      <c r="H404" s="1"/>
      <c r="I404" s="1"/>
    </row>
    <row r="405">
      <c r="A405" s="2">
        <f>IFERROR(__xludf.DUMMYFUNCTION("""COMPUTED_VALUE"""),44221.0)</f>
        <v>44221</v>
      </c>
      <c r="B405" s="1" t="str">
        <f>IFERROR(__xludf.DUMMYFUNCTION("""COMPUTED_VALUE"""),"Merck ends the development of two potential COVID-19 vaccines.")</f>
        <v>Merck ends the development of two potential COVID-19 vaccines.</v>
      </c>
      <c r="C405" s="1" t="str">
        <f>IFERROR(__xludf.DUMMYFUNCTION("""COMPUTED_VALUE"""),"Maximus")</f>
        <v>Maximus</v>
      </c>
      <c r="D405" s="3" t="str">
        <f>IFERROR(__xludf.DUMMYFUNCTION("""COMPUTED_VALUE"""),"https://storymaps.arcgis.com/stories/463f2d26aca94edda07753fe31f61f11")</f>
        <v>https://storymaps.arcgis.com/stories/463f2d26aca94edda07753fe31f61f11</v>
      </c>
      <c r="E405" s="1"/>
      <c r="F405" s="1"/>
      <c r="G405" s="1"/>
      <c r="H405" s="1"/>
      <c r="I405" s="1"/>
    </row>
    <row r="406">
      <c r="A406" s="2">
        <f>IFERROR(__xludf.DUMMYFUNCTION("""COMPUTED_VALUE"""),44221.0)</f>
        <v>44221</v>
      </c>
      <c r="B406" s="1" t="str">
        <f>IFERROR(__xludf.DUMMYFUNCTION("""COMPUTED_VALUE"""),"POTUS issues a Proclamation on the suspension of entry as immigrants and 
non-immigrants of certain additional persons who pose a risk of transmitting 
coronavirus disease 2019.")</f>
        <v>POTUS issues a Proclamation on the suspension of entry as immigrants and 
non-immigrants of certain additional persons who pose a risk of transmitting 
coronavirus disease 2019.</v>
      </c>
      <c r="C406" s="1" t="str">
        <f>IFERROR(__xludf.DUMMYFUNCTION("""COMPUTED_VALUE"""),"Maximus")</f>
        <v>Maximus</v>
      </c>
      <c r="D406" s="3" t="str">
        <f>IFERROR(__xludf.DUMMYFUNCTION("""COMPUTED_VALUE"""),"https://storymaps.arcgis.com/stories/463f2d26aca94edda07753fe31f61f11")</f>
        <v>https://storymaps.arcgis.com/stories/463f2d26aca94edda07753fe31f61f11</v>
      </c>
      <c r="E406" s="1"/>
      <c r="F406" s="1"/>
      <c r="G406" s="1"/>
      <c r="H406" s="1"/>
      <c r="I406" s="1"/>
    </row>
    <row r="407">
      <c r="A407" s="2">
        <f>IFERROR(__xludf.DUMMYFUNCTION("""COMPUTED_VALUE"""),44222.0)</f>
        <v>44222</v>
      </c>
      <c r="B407" s="1" t="str">
        <f>IFERROR(__xludf.DUMMYFUNCTION("""COMPUTED_VALUE"""),"Global COVID-19 related cases surpass 100M")</f>
        <v>Global COVID-19 related cases surpass 100M</v>
      </c>
      <c r="C407" s="1" t="str">
        <f>IFERROR(__xludf.DUMMYFUNCTION("""COMPUTED_VALUE"""),"US Department of
Defense")</f>
        <v>US Department of
Defense</v>
      </c>
      <c r="D407" s="3" t="str">
        <f>IFERROR(__xludf.DUMMYFUNCTION("""COMPUTED_VALUE"""),"https://www.defense.gov/Explore/Spotlight/Coronavirus-DOD-Response/Timeline/")</f>
        <v>https://www.defense.gov/Explore/Spotlight/Coronavirus-DOD-Response/Timeline/</v>
      </c>
      <c r="E407" s="1"/>
      <c r="F407" s="1"/>
      <c r="G407" s="1"/>
      <c r="H407" s="1"/>
      <c r="I407" s="1"/>
    </row>
    <row r="408">
      <c r="A408" s="2">
        <f>IFERROR(__xludf.DUMMYFUNCTION("""COMPUTED_VALUE"""),44224.0)</f>
        <v>44224</v>
      </c>
      <c r="B408" s="1" t="str">
        <f>IFERROR(__xludf.DUMMYFUNCTION("""COMPUTED_VALUE"""),"The first U.S. case of a dangerous South Africa coronavirus variant (B.1.351) is reported in Minnesota.")</f>
        <v>The first U.S. case of a dangerous South Africa coronavirus variant (B.1.351) is reported in Minnesota.</v>
      </c>
      <c r="C408" s="1" t="str">
        <f>IFERROR(__xludf.DUMMYFUNCTION("""COMPUTED_VALUE"""),"Maximus")</f>
        <v>Maximus</v>
      </c>
      <c r="D408" s="3" t="str">
        <f>IFERROR(__xludf.DUMMYFUNCTION("""COMPUTED_VALUE"""),"https://storymaps.arcgis.com/stories/463f2d26aca94edda07753fe31f61f11")</f>
        <v>https://storymaps.arcgis.com/stories/463f2d26aca94edda07753fe31f61f11</v>
      </c>
      <c r="E408" s="1"/>
      <c r="F408" s="1"/>
      <c r="G408" s="1"/>
      <c r="H408" s="1"/>
      <c r="I408" s="1"/>
    </row>
    <row r="409">
      <c r="A409" s="2">
        <f>IFERROR(__xludf.DUMMYFUNCTION("""COMPUTED_VALUE"""),44231.0)</f>
        <v>44231</v>
      </c>
      <c r="B409" s="1" t="str">
        <f>IFERROR(__xludf.DUMMYFUNCTION("""COMPUTED_VALUE"""),"For the first time since November, the U.S. averages fewer than 150,000 cases per day.")</f>
        <v>For the first time since November, the U.S. averages fewer than 150,000 cases per day.</v>
      </c>
      <c r="C409" s="1" t="str">
        <f>IFERROR(__xludf.DUMMYFUNCTION("""COMPUTED_VALUE"""),"Maximus")</f>
        <v>Maximus</v>
      </c>
      <c r="D409" s="3" t="str">
        <f>IFERROR(__xludf.DUMMYFUNCTION("""COMPUTED_VALUE"""),"https://storymaps.arcgis.com/stories/463f2d26aca94edda07753fe31f61f11")</f>
        <v>https://storymaps.arcgis.com/stories/463f2d26aca94edda07753fe31f61f11</v>
      </c>
      <c r="E409" s="1"/>
      <c r="F409" s="1"/>
      <c r="G409" s="1"/>
      <c r="H409" s="1"/>
      <c r="I409" s="1"/>
    </row>
    <row r="410">
      <c r="A410" s="2">
        <f>IFERROR(__xludf.DUMMYFUNCTION("""COMPUTED_VALUE"""),44236.0)</f>
        <v>44236</v>
      </c>
      <c r="B410" s="1" t="str">
        <f>IFERROR(__xludf.DUMMYFUNCTION("""COMPUTED_VALUE"""),"The FDA issues an EUA for monoclonal antibodies (bamlanivimab and etesevimab together) to treat COVID-19.")</f>
        <v>The FDA issues an EUA for monoclonal antibodies (bamlanivimab and etesevimab together) to treat COVID-19.</v>
      </c>
      <c r="C410" s="1" t="str">
        <f>IFERROR(__xludf.DUMMYFUNCTION("""COMPUTED_VALUE"""),"Maximus")</f>
        <v>Maximus</v>
      </c>
      <c r="D410" s="3" t="str">
        <f>IFERROR(__xludf.DUMMYFUNCTION("""COMPUTED_VALUE"""),"https://storymaps.arcgis.com/stories/463f2d26aca94edda07753fe31f61f11")</f>
        <v>https://storymaps.arcgis.com/stories/463f2d26aca94edda07753fe31f61f11</v>
      </c>
      <c r="E410" s="1"/>
      <c r="F410" s="1"/>
      <c r="G410" s="1"/>
      <c r="H410" s="1"/>
      <c r="I410" s="1"/>
    </row>
    <row r="411">
      <c r="A411" s="2">
        <f>IFERROR(__xludf.DUMMYFUNCTION("""COMPUTED_VALUE"""),44238.0)</f>
        <v>44238</v>
      </c>
      <c r="B411" s="1" t="str">
        <f>IFERROR(__xludf.DUMMYFUNCTION("""COMPUTED_VALUE"""),"The Biden administration purchases an additional 100 million doses of COVID-19 vaccines from Pfizer and Moderna.")</f>
        <v>The Biden administration purchases an additional 100 million doses of COVID-19 vaccines from Pfizer and Moderna.</v>
      </c>
      <c r="C411" s="1" t="str">
        <f>IFERROR(__xludf.DUMMYFUNCTION("""COMPUTED_VALUE"""),"Maximus")</f>
        <v>Maximus</v>
      </c>
      <c r="D411" s="3" t="str">
        <f>IFERROR(__xludf.DUMMYFUNCTION("""COMPUTED_VALUE"""),"https://storymaps.arcgis.com/stories/463f2d26aca94edda07753fe31f61f11")</f>
        <v>https://storymaps.arcgis.com/stories/463f2d26aca94edda07753fe31f61f11</v>
      </c>
      <c r="E411" s="1"/>
      <c r="F411" s="1"/>
      <c r="G411" s="1"/>
      <c r="H411" s="1"/>
      <c r="I411" s="1"/>
    </row>
    <row r="412">
      <c r="A412" s="2">
        <f>IFERROR(__xludf.DUMMYFUNCTION("""COMPUTED_VALUE"""),44242.0)</f>
        <v>44242</v>
      </c>
      <c r="B412" s="1" t="str">
        <f>IFERROR(__xludf.DUMMYFUNCTION("""COMPUTED_VALUE"""),"World Health Organization lists two versions of the AstraZeneca/Oxford COVID-19 vaccine for emergency use, to be rolled out through COVAX")</f>
        <v>World Health Organization lists two versions of the AstraZeneca/Oxford COVID-19 vaccine for emergency use, to be rolled out through COVAX</v>
      </c>
      <c r="C412" s="1" t="str">
        <f>IFERROR(__xludf.DUMMYFUNCTION("""COMPUTED_VALUE"""),"US Department of
Defense")</f>
        <v>US Department of
Defense</v>
      </c>
      <c r="D412" s="3" t="str">
        <f>IFERROR(__xludf.DUMMYFUNCTION("""COMPUTED_VALUE"""),"https://www.defense.gov/Explore/Spotlight/Coronavirus-DOD-Response/Timeline/")</f>
        <v>https://www.defense.gov/Explore/Spotlight/Coronavirus-DOD-Response/Timeline/</v>
      </c>
      <c r="E412" s="1"/>
      <c r="F412" s="1"/>
      <c r="G412" s="1"/>
      <c r="H412" s="1"/>
      <c r="I412" s="1"/>
    </row>
    <row r="413">
      <c r="A413" s="2">
        <f>IFERROR(__xludf.DUMMYFUNCTION("""COMPUTED_VALUE"""),44244.0)</f>
        <v>44244</v>
      </c>
      <c r="B413" s="1" t="str">
        <f>IFERROR(__xludf.DUMMYFUNCTION("""COMPUTED_VALUE"""),"President Biden announces a series of new actions aimed at expanding COVID-19 testing.")</f>
        <v>President Biden announces a series of new actions aimed at expanding COVID-19 testing.</v>
      </c>
      <c r="C413" s="1" t="str">
        <f>IFERROR(__xludf.DUMMYFUNCTION("""COMPUTED_VALUE"""),"Maximus")</f>
        <v>Maximus</v>
      </c>
      <c r="D413" s="3" t="str">
        <f>IFERROR(__xludf.DUMMYFUNCTION("""COMPUTED_VALUE"""),"https://storymaps.arcgis.com/stories/463f2d26aca94edda07753fe31f61f11")</f>
        <v>https://storymaps.arcgis.com/stories/463f2d26aca94edda07753fe31f61f11</v>
      </c>
      <c r="E413" s="1"/>
      <c r="F413" s="1"/>
      <c r="G413" s="1"/>
      <c r="H413" s="1"/>
      <c r="I413" s="1"/>
    </row>
    <row r="414">
      <c r="A414" s="2">
        <f>IFERROR(__xludf.DUMMYFUNCTION("""COMPUTED_VALUE"""),44246.0)</f>
        <v>44246</v>
      </c>
      <c r="B414" s="1" t="str">
        <f>IFERROR(__xludf.DUMMYFUNCTION("""COMPUTED_VALUE"""),"The distribution of 6 million vaccine doses is stalled by winter weather in the U.S.")</f>
        <v>The distribution of 6 million vaccine doses is stalled by winter weather in the U.S.</v>
      </c>
      <c r="C414" s="1" t="str">
        <f>IFERROR(__xludf.DUMMYFUNCTION("""COMPUTED_VALUE"""),"Maximus")</f>
        <v>Maximus</v>
      </c>
      <c r="D414" s="3" t="str">
        <f>IFERROR(__xludf.DUMMYFUNCTION("""COMPUTED_VALUE"""),"https://storymaps.arcgis.com/stories/463f2d26aca94edda07753fe31f61f11")</f>
        <v>https://storymaps.arcgis.com/stories/463f2d26aca94edda07753fe31f61f11</v>
      </c>
      <c r="E414" s="1"/>
      <c r="F414" s="1"/>
      <c r="G414" s="1"/>
      <c r="H414" s="1"/>
      <c r="I414" s="1"/>
    </row>
    <row r="415">
      <c r="A415" s="2">
        <f>IFERROR(__xludf.DUMMYFUNCTION("""COMPUTED_VALUE"""),44249.0)</f>
        <v>44249</v>
      </c>
      <c r="B415" s="1" t="str">
        <f>IFERROR(__xludf.DUMMYFUNCTION("""COMPUTED_VALUE"""),"The U.S. has records 500,000 deaths from COVID-19.")</f>
        <v>The U.S. has records 500,000 deaths from COVID-19.</v>
      </c>
      <c r="C415" s="1" t="str">
        <f>IFERROR(__xludf.DUMMYFUNCTION("""COMPUTED_VALUE"""),"Maximus")</f>
        <v>Maximus</v>
      </c>
      <c r="D415" s="3" t="str">
        <f>IFERROR(__xludf.DUMMYFUNCTION("""COMPUTED_VALUE"""),"https://storymaps.arcgis.com/stories/463f2d26aca94edda07753fe31f61f11")</f>
        <v>https://storymaps.arcgis.com/stories/463f2d26aca94edda07753fe31f61f11</v>
      </c>
      <c r="E415" s="1"/>
      <c r="F415" s="1"/>
      <c r="G415" s="1"/>
      <c r="H415" s="1"/>
      <c r="I415" s="1"/>
    </row>
    <row r="416">
      <c r="A416" s="2">
        <f>IFERROR(__xludf.DUMMYFUNCTION("""COMPUTED_VALUE"""),44252.0)</f>
        <v>44252</v>
      </c>
      <c r="B416" s="1" t="str">
        <f>IFERROR(__xludf.DUMMYFUNCTION("""COMPUTED_VALUE"""),"The Biden administration reports that 50 million COVID-19 vaccine doses have been administered.")</f>
        <v>The Biden administration reports that 50 million COVID-19 vaccine doses have been administered.</v>
      </c>
      <c r="C416" s="1" t="str">
        <f>IFERROR(__xludf.DUMMYFUNCTION("""COMPUTED_VALUE"""),"Maximus")</f>
        <v>Maximus</v>
      </c>
      <c r="D416" s="3" t="str">
        <f>IFERROR(__xludf.DUMMYFUNCTION("""COMPUTED_VALUE"""),"https://storymaps.arcgis.com/stories/463f2d26aca94edda07753fe31f61f11")</f>
        <v>https://storymaps.arcgis.com/stories/463f2d26aca94edda07753fe31f61f11</v>
      </c>
      <c r="E416" s="1"/>
      <c r="F416" s="1"/>
      <c r="G416" s="1"/>
      <c r="H416" s="1"/>
      <c r="I416" s="1"/>
    </row>
    <row r="417">
      <c r="A417" s="2">
        <f>IFERROR(__xludf.DUMMYFUNCTION("""COMPUTED_VALUE"""),44254.0)</f>
        <v>44254</v>
      </c>
      <c r="B417" s="1" t="str">
        <f>IFERROR(__xludf.DUMMYFUNCTION("""COMPUTED_VALUE"""),"The FDA issues an EUA to Janssen for the third COVID-19 vaccine.")</f>
        <v>The FDA issues an EUA to Janssen for the third COVID-19 vaccine.</v>
      </c>
      <c r="C417" s="1" t="str">
        <f>IFERROR(__xludf.DUMMYFUNCTION("""COMPUTED_VALUE"""),"Maximus")</f>
        <v>Maximus</v>
      </c>
      <c r="D417" s="3" t="str">
        <f>IFERROR(__xludf.DUMMYFUNCTION("""COMPUTED_VALUE"""),"https://storymaps.arcgis.com/stories/463f2d26aca94edda07753fe31f61f11")</f>
        <v>https://storymaps.arcgis.com/stories/463f2d26aca94edda07753fe31f61f11</v>
      </c>
      <c r="E417" s="1"/>
      <c r="F417" s="1"/>
      <c r="G417" s="1"/>
      <c r="H417" s="1"/>
      <c r="I417" s="1"/>
    </row>
    <row r="418">
      <c r="A418" s="2">
        <f>IFERROR(__xludf.DUMMYFUNCTION("""COMPUTED_VALUE"""),44256.0)</f>
        <v>44256</v>
      </c>
      <c r="B418" s="1" t="str">
        <f>IFERROR(__xludf.DUMMYFUNCTION("""COMPUTED_VALUE"""),"Janssen ships the first doses of its COVID-19 vaccine.")</f>
        <v>Janssen ships the first doses of its COVID-19 vaccine.</v>
      </c>
      <c r="C418" s="1" t="str">
        <f>IFERROR(__xludf.DUMMYFUNCTION("""COMPUTED_VALUE"""),"Maximus")</f>
        <v>Maximus</v>
      </c>
      <c r="D418" s="3" t="str">
        <f>IFERROR(__xludf.DUMMYFUNCTION("""COMPUTED_VALUE"""),"https://storymaps.arcgis.com/stories/463f2d26aca94edda07753fe31f61f11")</f>
        <v>https://storymaps.arcgis.com/stories/463f2d26aca94edda07753fe31f61f11</v>
      </c>
      <c r="E418" s="1"/>
      <c r="F418" s="1"/>
      <c r="G418" s="1"/>
      <c r="H418" s="1"/>
      <c r="I418" s="1"/>
    </row>
    <row r="419">
      <c r="A419" s="2">
        <f>IFERROR(__xludf.DUMMYFUNCTION("""COMPUTED_VALUE"""),44257.0)</f>
        <v>44257</v>
      </c>
      <c r="B419" s="1" t="str">
        <f>IFERROR(__xludf.DUMMYFUNCTION("""COMPUTED_VALUE"""),"President Biden announces that the U.S. will achieve a vaccine supply for all adults by May.")</f>
        <v>President Biden announces that the U.S. will achieve a vaccine supply for all adults by May.</v>
      </c>
      <c r="C419" s="1" t="str">
        <f>IFERROR(__xludf.DUMMYFUNCTION("""COMPUTED_VALUE"""),"Maximus")</f>
        <v>Maximus</v>
      </c>
      <c r="D419" s="3" t="str">
        <f>IFERROR(__xludf.DUMMYFUNCTION("""COMPUTED_VALUE"""),"https://storymaps.arcgis.com/stories/463f2d26aca94edda07753fe31f61f11")</f>
        <v>https://storymaps.arcgis.com/stories/463f2d26aca94edda07753fe31f61f11</v>
      </c>
      <c r="E419" s="1"/>
      <c r="F419" s="1"/>
      <c r="G419" s="1"/>
      <c r="H419" s="1"/>
      <c r="I419" s="1"/>
    </row>
    <row r="420">
      <c r="A420" s="2">
        <f>IFERROR(__xludf.DUMMYFUNCTION("""COMPUTED_VALUE"""),44260.0)</f>
        <v>44260</v>
      </c>
      <c r="B420" s="1" t="str">
        <f>IFERROR(__xludf.DUMMYFUNCTION("""COMPUTED_VALUE"""),"More than 2,750 cases of COVID-19 variants have been detected.")</f>
        <v>More than 2,750 cases of COVID-19 variants have been detected.</v>
      </c>
      <c r="C420" s="1" t="str">
        <f>IFERROR(__xludf.DUMMYFUNCTION("""COMPUTED_VALUE"""),"Maximus")</f>
        <v>Maximus</v>
      </c>
      <c r="D420" s="3" t="str">
        <f>IFERROR(__xludf.DUMMYFUNCTION("""COMPUTED_VALUE"""),"https://storymaps.arcgis.com/stories/463f2d26aca94edda07753fe31f61f11")</f>
        <v>https://storymaps.arcgis.com/stories/463f2d26aca94edda07753fe31f61f11</v>
      </c>
      <c r="E420" s="1"/>
      <c r="F420" s="1"/>
      <c r="G420" s="1"/>
      <c r="H420" s="1"/>
      <c r="I420" s="1"/>
    </row>
    <row r="421">
      <c r="A421" s="2">
        <f>IFERROR(__xludf.DUMMYFUNCTION("""COMPUTED_VALUE"""),44263.0)</f>
        <v>44263</v>
      </c>
      <c r="B421" s="1" t="str">
        <f>IFERROR(__xludf.DUMMYFUNCTION("""COMPUTED_VALUE"""),"The CDC issues its first set of recommendations for people who are fully vaccinated.")</f>
        <v>The CDC issues its first set of recommendations for people who are fully vaccinated.</v>
      </c>
      <c r="C421" s="1" t="str">
        <f>IFERROR(__xludf.DUMMYFUNCTION("""COMPUTED_VALUE"""),"Maximus")</f>
        <v>Maximus</v>
      </c>
      <c r="D421" s="3" t="str">
        <f>IFERROR(__xludf.DUMMYFUNCTION("""COMPUTED_VALUE"""),"https://storymaps.arcgis.com/stories/463f2d26aca94edda07753fe31f61f11")</f>
        <v>https://storymaps.arcgis.com/stories/463f2d26aca94edda07753fe31f61f11</v>
      </c>
      <c r="E421" s="1"/>
      <c r="F421" s="1"/>
      <c r="G421" s="1"/>
      <c r="H421" s="1"/>
      <c r="I421" s="1"/>
    </row>
    <row r="422">
      <c r="A422" s="2">
        <f>IFERROR(__xludf.DUMMYFUNCTION("""COMPUTED_VALUE"""),44266.0)</f>
        <v>44266</v>
      </c>
      <c r="B422" s="1" t="str">
        <f>IFERROR(__xludf.DUMMYFUNCTION("""COMPUTED_VALUE"""),"President Biden signs the ""American Rescue Plan of 2021,"" providing additional relief to address the impacts of COVID-19.")</f>
        <v>President Biden signs the "American Rescue Plan of 2021," providing additional relief to address the impacts of COVID-19.</v>
      </c>
      <c r="C422" s="1" t="str">
        <f>IFERROR(__xludf.DUMMYFUNCTION("""COMPUTED_VALUE"""),"Maximus")</f>
        <v>Maximus</v>
      </c>
      <c r="D422" s="3" t="str">
        <f>IFERROR(__xludf.DUMMYFUNCTION("""COMPUTED_VALUE"""),"https://storymaps.arcgis.com/stories/463f2d26aca94edda07753fe31f61f11")</f>
        <v>https://storymaps.arcgis.com/stories/463f2d26aca94edda07753fe31f61f11</v>
      </c>
      <c r="E422" s="1"/>
      <c r="F422" s="1"/>
      <c r="G422" s="1"/>
      <c r="H422" s="1"/>
      <c r="I422" s="1"/>
    </row>
    <row r="423">
      <c r="A423" s="2">
        <f>IFERROR(__xludf.DUMMYFUNCTION("""COMPUTED_VALUE"""),44266.0)</f>
        <v>44266</v>
      </c>
      <c r="B423" s="1" t="str">
        <f>IFERROR(__xludf.DUMMYFUNCTION("""COMPUTED_VALUE"""),"Novavax vaccine Phase 3 results show a high level of efficacy against original and variant COVID-19 strains.")</f>
        <v>Novavax vaccine Phase 3 results show a high level of efficacy against original and variant COVID-19 strains.</v>
      </c>
      <c r="C423" s="1" t="str">
        <f>IFERROR(__xludf.DUMMYFUNCTION("""COMPUTED_VALUE"""),"Maximus")</f>
        <v>Maximus</v>
      </c>
      <c r="D423" s="3" t="str">
        <f>IFERROR(__xludf.DUMMYFUNCTION("""COMPUTED_VALUE"""),"https://storymaps.arcgis.com/stories/463f2d26aca94edda07753fe31f61f11")</f>
        <v>https://storymaps.arcgis.com/stories/463f2d26aca94edda07753fe31f61f11</v>
      </c>
      <c r="E423" s="1"/>
      <c r="F423" s="1"/>
      <c r="G423" s="1"/>
      <c r="H423" s="1"/>
      <c r="I423" s="1"/>
    </row>
    <row r="424">
      <c r="A424" s="2">
        <f>IFERROR(__xludf.DUMMYFUNCTION("""COMPUTED_VALUE"""),44270.0)</f>
        <v>44270</v>
      </c>
      <c r="B424" s="1" t="str">
        <f>IFERROR(__xludf.DUMMYFUNCTION("""COMPUTED_VALUE"""),"NIH announces that it will study ensovibep, a novel antiviral, in people hospitalized with mild-to-moderate COVID-19.")</f>
        <v>NIH announces that it will study ensovibep, a novel antiviral, in people hospitalized with mild-to-moderate COVID-19.</v>
      </c>
      <c r="C424" s="1" t="str">
        <f>IFERROR(__xludf.DUMMYFUNCTION("""COMPUTED_VALUE"""),"Maximus")</f>
        <v>Maximus</v>
      </c>
      <c r="D424" s="3" t="str">
        <f>IFERROR(__xludf.DUMMYFUNCTION("""COMPUTED_VALUE"""),"https://storymaps.arcgis.com/stories/463f2d26aca94edda07753fe31f61f11")</f>
        <v>https://storymaps.arcgis.com/stories/463f2d26aca94edda07753fe31f61f11</v>
      </c>
      <c r="E424" s="1"/>
      <c r="F424" s="1"/>
      <c r="G424" s="1"/>
      <c r="H424" s="1"/>
      <c r="I424" s="1"/>
    </row>
    <row r="425">
      <c r="A425" s="2">
        <f>IFERROR(__xludf.DUMMYFUNCTION("""COMPUTED_VALUE"""),44272.0)</f>
        <v>44272</v>
      </c>
      <c r="B425" s="1" t="str">
        <f>IFERROR(__xludf.DUMMYFUNCTION("""COMPUTED_VALUE"""),"The CDC classifies two coronavirus variants initially identified in California (B.1.427 and B.1.429) as ""variants of concern"".")</f>
        <v>The CDC classifies two coronavirus variants initially identified in California (B.1.427 and B.1.429) as "variants of concern".</v>
      </c>
      <c r="C425" s="1" t="str">
        <f>IFERROR(__xludf.DUMMYFUNCTION("""COMPUTED_VALUE"""),"Maximus")</f>
        <v>Maximus</v>
      </c>
      <c r="D425" s="3" t="str">
        <f>IFERROR(__xludf.DUMMYFUNCTION("""COMPUTED_VALUE"""),"https://storymaps.arcgis.com/stories/463f2d26aca94edda07753fe31f61f11")</f>
        <v>https://storymaps.arcgis.com/stories/463f2d26aca94edda07753fe31f61f11</v>
      </c>
      <c r="E425" s="1"/>
      <c r="F425" s="1"/>
      <c r="G425" s="1"/>
      <c r="H425" s="1"/>
      <c r="I425" s="1"/>
    </row>
    <row r="426">
      <c r="A426" s="2">
        <f>IFERROR(__xludf.DUMMYFUNCTION("""COMPUTED_VALUE"""),44274.0)</f>
        <v>44274</v>
      </c>
      <c r="B426" s="1" t="str">
        <f>IFERROR(__xludf.DUMMYFUNCTION("""COMPUTED_VALUE"""),"CDC updates its guidance for schools and recommends at least three feet distance (instead of six feet) can be safely adopted in schools with universal masking.")</f>
        <v>CDC updates its guidance for schools and recommends at least three feet distance (instead of six feet) can be safely adopted in schools with universal masking.</v>
      </c>
      <c r="C426" s="1" t="str">
        <f>IFERROR(__xludf.DUMMYFUNCTION("""COMPUTED_VALUE"""),"Maximus")</f>
        <v>Maximus</v>
      </c>
      <c r="D426" s="3" t="str">
        <f>IFERROR(__xludf.DUMMYFUNCTION("""COMPUTED_VALUE"""),"https://storymaps.arcgis.com/stories/463f2d26aca94edda07753fe31f61f11")</f>
        <v>https://storymaps.arcgis.com/stories/463f2d26aca94edda07753fe31f61f11</v>
      </c>
      <c r="E426" s="1"/>
      <c r="F426" s="1"/>
      <c r="G426" s="1"/>
      <c r="H426" s="1"/>
      <c r="I426" s="1"/>
    </row>
    <row r="427">
      <c r="A427" s="2">
        <f>IFERROR(__xludf.DUMMYFUNCTION("""COMPUTED_VALUE"""),44274.0)</f>
        <v>44274</v>
      </c>
      <c r="B427" s="1" t="str">
        <f>IFERROR(__xludf.DUMMYFUNCTION("""COMPUTED_VALUE"""),"The U.S. administers 100 million COVID-19 shots.")</f>
        <v>The U.S. administers 100 million COVID-19 shots.</v>
      </c>
      <c r="C427" s="1" t="str">
        <f>IFERROR(__xludf.DUMMYFUNCTION("""COMPUTED_VALUE"""),"Maximus")</f>
        <v>Maximus</v>
      </c>
      <c r="D427" s="3" t="str">
        <f>IFERROR(__xludf.DUMMYFUNCTION("""COMPUTED_VALUE"""),"https://storymaps.arcgis.com/stories/463f2d26aca94edda07753fe31f61f11")</f>
        <v>https://storymaps.arcgis.com/stories/463f2d26aca94edda07753fe31f61f11</v>
      </c>
      <c r="E427" s="1"/>
      <c r="F427" s="1"/>
      <c r="G427" s="1"/>
      <c r="H427" s="1"/>
      <c r="I427" s="1"/>
    </row>
    <row r="428">
      <c r="A428" s="2">
        <f>IFERROR(__xludf.DUMMYFUNCTION("""COMPUTED_VALUE"""),44277.0)</f>
        <v>44277</v>
      </c>
      <c r="B428" s="1" t="str">
        <f>IFERROR(__xludf.DUMMYFUNCTION("""COMPUTED_VALUE"""),"AstraZeneca announces its vaccine has 79% efficacy rate.")</f>
        <v>AstraZeneca announces its vaccine has 79% efficacy rate.</v>
      </c>
      <c r="C428" s="1" t="str">
        <f>IFERROR(__xludf.DUMMYFUNCTION("""COMPUTED_VALUE"""),"Maximus")</f>
        <v>Maximus</v>
      </c>
      <c r="D428" s="3" t="str">
        <f>IFERROR(__xludf.DUMMYFUNCTION("""COMPUTED_VALUE"""),"https://storymaps.arcgis.com/stories/463f2d26aca94edda07753fe31f61f11")</f>
        <v>https://storymaps.arcgis.com/stories/463f2d26aca94edda07753fe31f61f11</v>
      </c>
      <c r="E428" s="1"/>
      <c r="F428" s="1"/>
      <c r="G428" s="1"/>
      <c r="H428" s="1"/>
      <c r="I428" s="1"/>
    </row>
    <row r="429">
      <c r="A429" s="2">
        <f>IFERROR(__xludf.DUMMYFUNCTION("""COMPUTED_VALUE"""),44278.0)</f>
        <v>44278</v>
      </c>
      <c r="B429" s="1" t="str">
        <f>IFERROR(__xludf.DUMMYFUNCTION("""COMPUTED_VALUE"""),"In less than a day, the National Institute for Allergy and Infectious Diseases (NIAID) expresses concern that AstraZeneca may have provided an incomplete view of the efficacy data.")</f>
        <v>In less than a day, the National Institute for Allergy and Infectious Diseases (NIAID) expresses concern that AstraZeneca may have provided an incomplete view of the efficacy data.</v>
      </c>
      <c r="C429" s="1" t="str">
        <f>IFERROR(__xludf.DUMMYFUNCTION("""COMPUTED_VALUE"""),"Maximus")</f>
        <v>Maximus</v>
      </c>
      <c r="D429" s="3" t="str">
        <f>IFERROR(__xludf.DUMMYFUNCTION("""COMPUTED_VALUE"""),"https://storymaps.arcgis.com/stories/463f2d26aca94edda07753fe31f61f11")</f>
        <v>https://storymaps.arcgis.com/stories/463f2d26aca94edda07753fe31f61f11</v>
      </c>
      <c r="E429" s="1"/>
      <c r="F429" s="1"/>
      <c r="G429" s="1"/>
      <c r="H429" s="1"/>
      <c r="I429" s="1"/>
    </row>
    <row r="430">
      <c r="A430" s="2">
        <f>IFERROR(__xludf.DUMMYFUNCTION("""COMPUTED_VALUE"""),44279.0)</f>
        <v>44279</v>
      </c>
      <c r="B430" s="1" t="str">
        <f>IFERROR(__xludf.DUMMYFUNCTION("""COMPUTED_VALUE"""),"POTUS signs into law H.R. 1276, the ""Strengthening and Amplifying Vaccination Efforts to Locally Immunize All Veterans and Every Spouse Act or the SAVE LIVES Act,"" which expands VA's authority to provide COVID-19 vaccinations")</f>
        <v>POTUS signs into law H.R. 1276, the "Strengthening and Amplifying Vaccination Efforts to Locally Immunize All Veterans and Every Spouse Act or the SAVE LIVES Act," which expands VA's authority to provide COVID-19 vaccinations</v>
      </c>
      <c r="C430" s="1" t="str">
        <f>IFERROR(__xludf.DUMMYFUNCTION("""COMPUTED_VALUE"""),"US Department of
Defense")</f>
        <v>US Department of
Defense</v>
      </c>
      <c r="D430" s="3" t="str">
        <f>IFERROR(__xludf.DUMMYFUNCTION("""COMPUTED_VALUE"""),"https://www.defense.gov/Explore/Spotlight/Coronavirus-DOD-Response/Timeline/")</f>
        <v>https://www.defense.gov/Explore/Spotlight/Coronavirus-DOD-Response/Timeline/</v>
      </c>
      <c r="E430" s="1"/>
      <c r="F430" s="1"/>
      <c r="G430" s="1"/>
      <c r="H430" s="1"/>
      <c r="I430" s="1"/>
    </row>
    <row r="431">
      <c r="A431" s="2">
        <f>IFERROR(__xludf.DUMMYFUNCTION("""COMPUTED_VALUE"""),44280.0)</f>
        <v>44280</v>
      </c>
      <c r="B431" s="1" t="str">
        <f>IFERROR(__xludf.DUMMYFUNCTION("""COMPUTED_VALUE"""),"White House announces that it will spend $10 billion to bolster vaccine efforts among low-income, minority, and rural enclaves throughout the country.")</f>
        <v>White House announces that it will spend $10 billion to bolster vaccine efforts among low-income, minority, and rural enclaves throughout the country.</v>
      </c>
      <c r="C431" s="1" t="str">
        <f>IFERROR(__xludf.DUMMYFUNCTION("""COMPUTED_VALUE"""),"Maximus")</f>
        <v>Maximus</v>
      </c>
      <c r="D431" s="3" t="str">
        <f>IFERROR(__xludf.DUMMYFUNCTION("""COMPUTED_VALUE"""),"https://storymaps.arcgis.com/stories/463f2d26aca94edda07753fe31f61f11")</f>
        <v>https://storymaps.arcgis.com/stories/463f2d26aca94edda07753fe31f61f11</v>
      </c>
      <c r="E431" s="1"/>
      <c r="F431" s="1"/>
      <c r="G431" s="1"/>
      <c r="H431" s="1"/>
      <c r="I431" s="1"/>
    </row>
    <row r="432">
      <c r="A432" s="2">
        <f>IFERROR(__xludf.DUMMYFUNCTION("""COMPUTED_VALUE"""),44280.0)</f>
        <v>44280</v>
      </c>
      <c r="B432" s="1" t="str">
        <f>IFERROR(__xludf.DUMMYFUNCTION("""COMPUTED_VALUE"""),"AstraZeneca announces its COVID-19 vaccine is 76% effective after its March 22nd vaccine efficacy announcement was challenged by the NIAID.")</f>
        <v>AstraZeneca announces its COVID-19 vaccine is 76% effective after its March 22nd vaccine efficacy announcement was challenged by the NIAID.</v>
      </c>
      <c r="C432" s="1" t="str">
        <f>IFERROR(__xludf.DUMMYFUNCTION("""COMPUTED_VALUE"""),"Maximus")</f>
        <v>Maximus</v>
      </c>
      <c r="D432" s="3" t="str">
        <f>IFERROR(__xludf.DUMMYFUNCTION("""COMPUTED_VALUE"""),"https://storymaps.arcgis.com/stories/463f2d26aca94edda07753fe31f61f11")</f>
        <v>https://storymaps.arcgis.com/stories/463f2d26aca94edda07753fe31f61f11</v>
      </c>
      <c r="E432" s="1"/>
      <c r="F432" s="1"/>
      <c r="G432" s="1"/>
      <c r="H432" s="1"/>
      <c r="I432" s="1"/>
    </row>
    <row r="433">
      <c r="A433" s="2">
        <f>IFERROR(__xludf.DUMMYFUNCTION("""COMPUTED_VALUE"""),44284.0)</f>
        <v>44284</v>
      </c>
      <c r="B433" s="1" t="str">
        <f>IFERROR(__xludf.DUMMYFUNCTION("""COMPUTED_VALUE"""),"A CDC study reveals that Pfizer and Moderna vaccines reduce infection by 90% among healthcare workers.")</f>
        <v>A CDC study reveals that Pfizer and Moderna vaccines reduce infection by 90% among healthcare workers.</v>
      </c>
      <c r="C433" s="1" t="str">
        <f>IFERROR(__xludf.DUMMYFUNCTION("""COMPUTED_VALUE"""),"Maximus")</f>
        <v>Maximus</v>
      </c>
      <c r="D433" s="3" t="str">
        <f>IFERROR(__xludf.DUMMYFUNCTION("""COMPUTED_VALUE"""),"https://storymaps.arcgis.com/stories/463f2d26aca94edda07753fe31f61f11")</f>
        <v>https://storymaps.arcgis.com/stories/463f2d26aca94edda07753fe31f61f11</v>
      </c>
      <c r="E433" s="1"/>
      <c r="F433" s="1"/>
      <c r="G433" s="1"/>
      <c r="H433" s="1"/>
      <c r="I433" s="1"/>
    </row>
    <row r="434">
      <c r="A434" s="2">
        <f>IFERROR(__xludf.DUMMYFUNCTION("""COMPUTED_VALUE"""),44286.0)</f>
        <v>44286</v>
      </c>
      <c r="B434" s="1" t="str">
        <f>IFERROR(__xludf.DUMMYFUNCTION("""COMPUTED_VALUE"""),"Pfizer announces its vaccine has 100% efficacy rate among adolescents.")</f>
        <v>Pfizer announces its vaccine has 100% efficacy rate among adolescents.</v>
      </c>
      <c r="C434" s="1" t="str">
        <f>IFERROR(__xludf.DUMMYFUNCTION("""COMPUTED_VALUE"""),"Maximus")</f>
        <v>Maximus</v>
      </c>
      <c r="D434" s="3" t="str">
        <f>IFERROR(__xludf.DUMMYFUNCTION("""COMPUTED_VALUE"""),"https://storymaps.arcgis.com/stories/463f2d26aca94edda07753fe31f61f11")</f>
        <v>https://storymaps.arcgis.com/stories/463f2d26aca94edda07753fe31f61f11</v>
      </c>
      <c r="E434" s="1"/>
      <c r="F434" s="1"/>
      <c r="G434" s="1"/>
      <c r="H434" s="1"/>
      <c r="I434" s="1"/>
    </row>
    <row r="435">
      <c r="A435" s="2">
        <f>IFERROR(__xludf.DUMMYFUNCTION("""COMPUTED_VALUE"""),44287.0)</f>
        <v>44287</v>
      </c>
      <c r="B435" s="1" t="str">
        <f>IFERROR(__xludf.DUMMYFUNCTION("""COMPUTED_VALUE"""),"The CDC director says that the more transmissible U.K. variant (B.1.1.7) accounts for 26% of COVID-19 cases in the U.S.")</f>
        <v>The CDC director says that the more transmissible U.K. variant (B.1.1.7) accounts for 26% of COVID-19 cases in the U.S.</v>
      </c>
      <c r="C435" s="1" t="str">
        <f>IFERROR(__xludf.DUMMYFUNCTION("""COMPUTED_VALUE"""),"Maximus")</f>
        <v>Maximus</v>
      </c>
      <c r="D435" s="3" t="str">
        <f>IFERROR(__xludf.DUMMYFUNCTION("""COMPUTED_VALUE"""),"https://storymaps.arcgis.com/stories/463f2d26aca94edda07753fe31f61f11")</f>
        <v>https://storymaps.arcgis.com/stories/463f2d26aca94edda07753fe31f61f11</v>
      </c>
      <c r="E435" s="1"/>
      <c r="F435" s="1"/>
      <c r="G435" s="1"/>
      <c r="H435" s="1"/>
      <c r="I435" s="1"/>
    </row>
    <row r="436">
      <c r="A436" s="2">
        <f>IFERROR(__xludf.DUMMYFUNCTION("""COMPUTED_VALUE"""),44287.0)</f>
        <v>44287</v>
      </c>
      <c r="B436" s="1" t="str">
        <f>IFERROR(__xludf.DUMMYFUNCTION("""COMPUTED_VALUE"""),"Pfizer trials suggest that its COVID-19 vaccine is effective after six months and works against South African variant.")</f>
        <v>Pfizer trials suggest that its COVID-19 vaccine is effective after six months and works against South African variant.</v>
      </c>
      <c r="C436" s="1" t="str">
        <f>IFERROR(__xludf.DUMMYFUNCTION("""COMPUTED_VALUE"""),"Maximus")</f>
        <v>Maximus</v>
      </c>
      <c r="D436" s="3" t="str">
        <f>IFERROR(__xludf.DUMMYFUNCTION("""COMPUTED_VALUE"""),"https://storymaps.arcgis.com/stories/463f2d26aca94edda07753fe31f61f11")</f>
        <v>https://storymaps.arcgis.com/stories/463f2d26aca94edda07753fe31f61f11</v>
      </c>
      <c r="E436" s="1"/>
      <c r="F436" s="1"/>
      <c r="G436" s="1"/>
      <c r="H436" s="1"/>
      <c r="I436" s="1"/>
    </row>
    <row r="437">
      <c r="A437" s="2">
        <f>IFERROR(__xludf.DUMMYFUNCTION("""COMPUTED_VALUE"""),44288.0)</f>
        <v>44288</v>
      </c>
      <c r="B437" s="1" t="str">
        <f>IFERROR(__xludf.DUMMYFUNCTION("""COMPUTED_VALUE"""),"The CDC announces that fully vaccinated people can travel domestically, but should still continue to do mask wearing and social distancing.")</f>
        <v>The CDC announces that fully vaccinated people can travel domestically, but should still continue to do mask wearing and social distancing.</v>
      </c>
      <c r="C437" s="1" t="str">
        <f>IFERROR(__xludf.DUMMYFUNCTION("""COMPUTED_VALUE"""),"Maximus")</f>
        <v>Maximus</v>
      </c>
      <c r="D437" s="3" t="str">
        <f>IFERROR(__xludf.DUMMYFUNCTION("""COMPUTED_VALUE"""),"https://storymaps.arcgis.com/stories/463f2d26aca94edda07753fe31f61f11")</f>
        <v>https://storymaps.arcgis.com/stories/463f2d26aca94edda07753fe31f61f11</v>
      </c>
      <c r="E437" s="1"/>
      <c r="F437" s="1"/>
      <c r="G437" s="1"/>
      <c r="H437" s="1"/>
      <c r="I437" s="1"/>
    </row>
    <row r="438">
      <c r="A438" s="2">
        <f>IFERROR(__xludf.DUMMYFUNCTION("""COMPUTED_VALUE"""),44292.0)</f>
        <v>44292</v>
      </c>
      <c r="B438" s="1" t="str">
        <f>IFERROR(__xludf.DUMMYFUNCTION("""COMPUTED_VALUE"""),"CDC distributes $3 billion for mass vaccination campaigns.")</f>
        <v>CDC distributes $3 billion for mass vaccination campaigns.</v>
      </c>
      <c r="C438" s="1" t="str">
        <f>IFERROR(__xludf.DUMMYFUNCTION("""COMPUTED_VALUE"""),"Maximus")</f>
        <v>Maximus</v>
      </c>
      <c r="D438" s="3" t="str">
        <f>IFERROR(__xludf.DUMMYFUNCTION("""COMPUTED_VALUE"""),"https://storymaps.arcgis.com/stories/463f2d26aca94edda07753fe31f61f11")</f>
        <v>https://storymaps.arcgis.com/stories/463f2d26aca94edda07753fe31f61f11</v>
      </c>
      <c r="E438" s="1"/>
      <c r="F438" s="1"/>
      <c r="G438" s="1"/>
      <c r="H438" s="1"/>
      <c r="I438" s="1"/>
    </row>
    <row r="439">
      <c r="A439" s="2">
        <f>IFERROR(__xludf.DUMMYFUNCTION("""COMPUTED_VALUE"""),44296.0)</f>
        <v>44296</v>
      </c>
      <c r="B439" s="1" t="str">
        <f>IFERROR(__xludf.DUMMYFUNCTION("""COMPUTED_VALUE"""),"The U.S. has administered 183.5 million doses of COVID-19 vaccines.")</f>
        <v>The U.S. has administered 183.5 million doses of COVID-19 vaccines.</v>
      </c>
      <c r="C439" s="1" t="str">
        <f>IFERROR(__xludf.DUMMYFUNCTION("""COMPUTED_VALUE"""),"Maximus")</f>
        <v>Maximus</v>
      </c>
      <c r="D439" s="3" t="str">
        <f>IFERROR(__xludf.DUMMYFUNCTION("""COMPUTED_VALUE"""),"https://storymaps.arcgis.com/stories/463f2d26aca94edda07753fe31f61f11")</f>
        <v>https://storymaps.arcgis.com/stories/463f2d26aca94edda07753fe31f61f11</v>
      </c>
      <c r="E439" s="1"/>
      <c r="F439" s="1"/>
      <c r="G439" s="1"/>
      <c r="H439" s="1"/>
      <c r="I439" s="1"/>
    </row>
    <row r="440">
      <c r="A440" s="2">
        <f>IFERROR(__xludf.DUMMYFUNCTION("""COMPUTED_VALUE"""),44299.0)</f>
        <v>44299</v>
      </c>
      <c r="B440" s="1" t="str">
        <f>IFERROR(__xludf.DUMMYFUNCTION("""COMPUTED_VALUE"""),"The CDC and FDA recommend a ‘pause’ for Johnson &amp; Johnson vaccine to investigate reports of blood clots.")</f>
        <v>The CDC and FDA recommend a ‘pause’ for Johnson &amp; Johnson vaccine to investigate reports of blood clots.</v>
      </c>
      <c r="C440" s="1" t="str">
        <f>IFERROR(__xludf.DUMMYFUNCTION("""COMPUTED_VALUE"""),"Maximus")</f>
        <v>Maximus</v>
      </c>
      <c r="D440" s="3" t="str">
        <f>IFERROR(__xludf.DUMMYFUNCTION("""COMPUTED_VALUE"""),"https://storymaps.arcgis.com/stories/463f2d26aca94edda07753fe31f61f11")</f>
        <v>https://storymaps.arcgis.com/stories/463f2d26aca94edda07753fe31f61f11</v>
      </c>
      <c r="E440" s="1"/>
      <c r="F440" s="1"/>
      <c r="G440" s="1"/>
      <c r="H440" s="1"/>
      <c r="I440" s="1"/>
    </row>
    <row r="441">
      <c r="A441" s="2">
        <f>IFERROR(__xludf.DUMMYFUNCTION("""COMPUTED_VALUE"""),44301.0)</f>
        <v>44301</v>
      </c>
      <c r="B441" s="1" t="str">
        <f>IFERROR(__xludf.DUMMYFUNCTION("""COMPUTED_VALUE"""),"The CDC says that 5,800 COVID-19 infections are detected among 77 million fully vaccinated people.")</f>
        <v>The CDC says that 5,800 COVID-19 infections are detected among 77 million fully vaccinated people.</v>
      </c>
      <c r="C441" s="1" t="str">
        <f>IFERROR(__xludf.DUMMYFUNCTION("""COMPUTED_VALUE"""),"Maximus")</f>
        <v>Maximus</v>
      </c>
      <c r="D441" s="3" t="str">
        <f>IFERROR(__xludf.DUMMYFUNCTION("""COMPUTED_VALUE"""),"https://storymaps.arcgis.com/stories/463f2d26aca94edda07753fe31f61f11")</f>
        <v>https://storymaps.arcgis.com/stories/463f2d26aca94edda07753fe31f61f11</v>
      </c>
      <c r="E441" s="1"/>
      <c r="F441" s="1"/>
      <c r="G441" s="1"/>
      <c r="H441" s="1"/>
      <c r="I441" s="1"/>
    </row>
    <row r="442">
      <c r="A442" s="2">
        <f>IFERROR(__xludf.DUMMYFUNCTION("""COMPUTED_VALUE"""),44302.0)</f>
        <v>44302</v>
      </c>
      <c r="B442" s="1" t="str">
        <f>IFERROR(__xludf.DUMMYFUNCTION("""COMPUTED_VALUE"""),"The U.S. has administered 200 million doses of the COVID-19 vaccine.")</f>
        <v>The U.S. has administered 200 million doses of the COVID-19 vaccine.</v>
      </c>
      <c r="C442" s="1" t="str">
        <f>IFERROR(__xludf.DUMMYFUNCTION("""COMPUTED_VALUE"""),"Maximus")</f>
        <v>Maximus</v>
      </c>
      <c r="D442" s="3" t="str">
        <f>IFERROR(__xludf.DUMMYFUNCTION("""COMPUTED_VALUE"""),"https://storymaps.arcgis.com/stories/463f2d26aca94edda07753fe31f61f11")</f>
        <v>https://storymaps.arcgis.com/stories/463f2d26aca94edda07753fe31f61f11</v>
      </c>
      <c r="E442" s="1"/>
      <c r="F442" s="1"/>
      <c r="G442" s="1"/>
      <c r="H442" s="1"/>
      <c r="I442" s="1"/>
    </row>
    <row r="443">
      <c r="A443" s="2">
        <f>IFERROR(__xludf.DUMMYFUNCTION("""COMPUTED_VALUE"""),44302.0)</f>
        <v>44302</v>
      </c>
      <c r="B443" s="1" t="str">
        <f>IFERROR(__xludf.DUMMYFUNCTION("""COMPUTED_VALUE"""),"The current seven-day case and death averages in the U.S. declined by 72% and 79%, respectively since their peak seven-day averages in mid-January.")</f>
        <v>The current seven-day case and death averages in the U.S. declined by 72% and 79%, respectively since their peak seven-day averages in mid-January.</v>
      </c>
      <c r="C443" s="1" t="str">
        <f>IFERROR(__xludf.DUMMYFUNCTION("""COMPUTED_VALUE"""),"Maximus")</f>
        <v>Maximus</v>
      </c>
      <c r="D443" s="3" t="str">
        <f>IFERROR(__xludf.DUMMYFUNCTION("""COMPUTED_VALUE"""),"https://storymaps.arcgis.com/stories/463f2d26aca94edda07753fe31f61f11")</f>
        <v>https://storymaps.arcgis.com/stories/463f2d26aca94edda07753fe31f61f11</v>
      </c>
      <c r="E443" s="1"/>
      <c r="F443" s="1"/>
      <c r="G443" s="1"/>
      <c r="H443" s="1"/>
      <c r="I443" s="1"/>
    </row>
    <row r="444">
      <c r="A444" s="2">
        <f>IFERROR(__xludf.DUMMYFUNCTION("""COMPUTED_VALUE"""),44303.0)</f>
        <v>44303</v>
      </c>
      <c r="B444" s="1" t="str">
        <f>IFERROR(__xludf.DUMMYFUNCTION("""COMPUTED_VALUE"""),"Global COVID-19 related deaths surpass 3M")</f>
        <v>Global COVID-19 related deaths surpass 3M</v>
      </c>
      <c r="C444" s="1" t="str">
        <f>IFERROR(__xludf.DUMMYFUNCTION("""COMPUTED_VALUE"""),"US Department of
Defense")</f>
        <v>US Department of
Defense</v>
      </c>
      <c r="D444" s="3" t="str">
        <f>IFERROR(__xludf.DUMMYFUNCTION("""COMPUTED_VALUE"""),"https://www.defense.gov/Explore/Spotlight/Coronavirus-DOD-Response/Timeline/")</f>
        <v>https://www.defense.gov/Explore/Spotlight/Coronavirus-DOD-Response/Timeline/</v>
      </c>
      <c r="E444" s="1"/>
      <c r="F444" s="1"/>
      <c r="G444" s="1"/>
      <c r="H444" s="1"/>
      <c r="I444" s="1"/>
    </row>
    <row r="445">
      <c r="A445" s="2">
        <f>IFERROR(__xludf.DUMMYFUNCTION("""COMPUTED_VALUE"""),44306.0)</f>
        <v>44306</v>
      </c>
      <c r="B445" s="1" t="str">
        <f>IFERROR(__xludf.DUMMYFUNCTION("""COMPUTED_VALUE"""),"A new coronavirus variant (BV-1) is discovered in Texas.")</f>
        <v>A new coronavirus variant (BV-1) is discovered in Texas.</v>
      </c>
      <c r="C445" s="1" t="str">
        <f>IFERROR(__xludf.DUMMYFUNCTION("""COMPUTED_VALUE"""),"Maximus")</f>
        <v>Maximus</v>
      </c>
      <c r="D445" s="3" t="str">
        <f>IFERROR(__xludf.DUMMYFUNCTION("""COMPUTED_VALUE"""),"https://storymaps.arcgis.com/stories/463f2d26aca94edda07753fe31f61f11")</f>
        <v>https://storymaps.arcgis.com/stories/463f2d26aca94edda07753fe31f61f11</v>
      </c>
      <c r="E445" s="1"/>
      <c r="F445" s="1"/>
      <c r="G445" s="1"/>
      <c r="H445" s="1"/>
      <c r="I445" s="1"/>
    </row>
    <row r="446">
      <c r="A446" s="2">
        <f>IFERROR(__xludf.DUMMYFUNCTION("""COMPUTED_VALUE"""),44307.0)</f>
        <v>44307</v>
      </c>
      <c r="B446" s="1" t="str">
        <f>IFERROR(__xludf.DUMMYFUNCTION("""COMPUTED_VALUE"""),"COVID-19 vaccination rate has dropped 11% over the past week.")</f>
        <v>COVID-19 vaccination rate has dropped 11% over the past week.</v>
      </c>
      <c r="C446" s="1" t="str">
        <f>IFERROR(__xludf.DUMMYFUNCTION("""COMPUTED_VALUE"""),"Maximus")</f>
        <v>Maximus</v>
      </c>
      <c r="D446" s="3" t="str">
        <f>IFERROR(__xludf.DUMMYFUNCTION("""COMPUTED_VALUE"""),"https://storymaps.arcgis.com/stories/463f2d26aca94edda07753fe31f61f11")</f>
        <v>https://storymaps.arcgis.com/stories/463f2d26aca94edda07753fe31f61f11</v>
      </c>
      <c r="E446" s="1"/>
      <c r="F446" s="1"/>
      <c r="G446" s="1"/>
      <c r="H446" s="1"/>
      <c r="I446" s="1"/>
    </row>
    <row r="447">
      <c r="A447" s="2">
        <f>IFERROR(__xludf.DUMMYFUNCTION("""COMPUTED_VALUE"""),44313.0)</f>
        <v>44313</v>
      </c>
      <c r="B447" s="1" t="str">
        <f>IFERROR(__xludf.DUMMYFUNCTION("""COMPUTED_VALUE"""),"The CDC updates its guidelines for fully vaccinated people (≥2 weeks after they have received the second dose in a 2-dose series (Pfizer-BioNTech or Moderna), or ≥2 weeks after they have received a single-dose vaccine (Johnson and Johnson (J&amp;J)/Janssen).")</f>
        <v>The CDC updates its guidelines for fully vaccinated people (≥2 weeks after they have received the second dose in a 2-dose series (Pfizer-BioNTech or Moderna), or ≥2 weeks after they have received a single-dose vaccine (Johnson and Johnson (J&amp;J)/Janssen).</v>
      </c>
      <c r="C447" s="1" t="str">
        <f>IFERROR(__xludf.DUMMYFUNCTION("""COMPUTED_VALUE"""),"Maximus")</f>
        <v>Maximus</v>
      </c>
      <c r="D447" s="3" t="str">
        <f>IFERROR(__xludf.DUMMYFUNCTION("""COMPUTED_VALUE"""),"https://storymaps.arcgis.com/stories/463f2d26aca94edda07753fe31f61f11")</f>
        <v>https://storymaps.arcgis.com/stories/463f2d26aca94edda07753fe31f61f11</v>
      </c>
      <c r="E447" s="1"/>
      <c r="F447" s="1"/>
      <c r="G447" s="1"/>
      <c r="H447" s="1"/>
      <c r="I447" s="1"/>
    </row>
    <row r="448">
      <c r="A448" s="2">
        <f>IFERROR(__xludf.DUMMYFUNCTION("""COMPUTED_VALUE"""),44314.0)</f>
        <v>44314</v>
      </c>
      <c r="B448" s="1" t="str">
        <f>IFERROR(__xludf.DUMMYFUNCTION("""COMPUTED_VALUE"""),"At the recommendation of the Food and Drug Administration and Centers for Disease Control and Prevention, DOD resumes the use of the Johnson &amp; Johnson vaccine")</f>
        <v>At the recommendation of the Food and Drug Administration and Centers for Disease Control and Prevention, DOD resumes the use of the Johnson &amp; Johnson vaccine</v>
      </c>
      <c r="C448" s="1" t="str">
        <f>IFERROR(__xludf.DUMMYFUNCTION("""COMPUTED_VALUE"""),"US Department of
Defense")</f>
        <v>US Department of
Defense</v>
      </c>
      <c r="D448" s="3" t="str">
        <f>IFERROR(__xludf.DUMMYFUNCTION("""COMPUTED_VALUE"""),"https://www.defense.gov/Explore/Spotlight/Coronavirus-DOD-Response/Timeline/")</f>
        <v>https://www.defense.gov/Explore/Spotlight/Coronavirus-DOD-Response/Timeline/</v>
      </c>
      <c r="E448" s="1"/>
      <c r="F448" s="1"/>
      <c r="G448" s="1"/>
      <c r="H448" s="1"/>
      <c r="I448" s="1"/>
    </row>
    <row r="449">
      <c r="A449" s="2">
        <f>IFERROR(__xludf.DUMMYFUNCTION("""COMPUTED_VALUE"""),44315.0)</f>
        <v>44315</v>
      </c>
      <c r="B449" s="1" t="str">
        <f>IFERROR(__xludf.DUMMYFUNCTION("""COMPUTED_VALUE"""),"The CDC estimates that roughly 35% of the U.S. population had been infected with the virus as of March 2021, about four times higher than the official reported numbers.")</f>
        <v>The CDC estimates that roughly 35% of the U.S. population had been infected with the virus as of March 2021, about four times higher than the official reported numbers.</v>
      </c>
      <c r="C449" s="1" t="str">
        <f>IFERROR(__xludf.DUMMYFUNCTION("""COMPUTED_VALUE"""),"Maximus")</f>
        <v>Maximus</v>
      </c>
      <c r="D449" s="3" t="str">
        <f>IFERROR(__xludf.DUMMYFUNCTION("""COMPUTED_VALUE"""),"https://storymaps.arcgis.com/stories/463f2d26aca94edda07753fe31f61f11")</f>
        <v>https://storymaps.arcgis.com/stories/463f2d26aca94edda07753fe31f61f11</v>
      </c>
      <c r="E449" s="1"/>
      <c r="F449" s="1"/>
      <c r="G449" s="1"/>
      <c r="H449" s="1"/>
      <c r="I449" s="1"/>
    </row>
    <row r="450">
      <c r="A450" s="2">
        <f>IFERROR(__xludf.DUMMYFUNCTION("""COMPUTED_VALUE"""),44315.0)</f>
        <v>44315</v>
      </c>
      <c r="B450" s="1" t="str">
        <f>IFERROR(__xludf.DUMMYFUNCTION("""COMPUTED_VALUE"""),"The United States begins delivering $100M+ in supplies to aid India as it copes with a COVID-19 outbreak. DOD is working with other U.S. agencies to rapidly deploy the materials")</f>
        <v>The United States begins delivering $100M+ in supplies to aid India as it copes with a COVID-19 outbreak. DOD is working with other U.S. agencies to rapidly deploy the materials</v>
      </c>
      <c r="C450" s="1" t="str">
        <f>IFERROR(__xludf.DUMMYFUNCTION("""COMPUTED_VALUE"""),"US Department of
Defense")</f>
        <v>US Department of
Defense</v>
      </c>
      <c r="D450" s="3" t="str">
        <f>IFERROR(__xludf.DUMMYFUNCTION("""COMPUTED_VALUE"""),"https://www.defense.gov/Explore/Spotlight/Coronavirus-DOD-Response/Timeline/")</f>
        <v>https://www.defense.gov/Explore/Spotlight/Coronavirus-DOD-Response/Timeline/</v>
      </c>
      <c r="E450" s="1"/>
      <c r="F450" s="1"/>
      <c r="G450" s="1"/>
      <c r="H450" s="1"/>
      <c r="I450" s="1"/>
    </row>
    <row r="451">
      <c r="A451" s="2">
        <f>IFERROR(__xludf.DUMMYFUNCTION("""COMPUTED_VALUE"""),44320.0)</f>
        <v>44320</v>
      </c>
      <c r="B451" s="1" t="str">
        <f>IFERROR(__xludf.DUMMYFUNCTION("""COMPUTED_VALUE"""),"POTUS announces goal to administer at least one COVID-19 vaccine shot to 70% of 
American adults by July 4, 2021")</f>
        <v>POTUS announces goal to administer at least one COVID-19 vaccine shot to 70% of 
American adults by July 4, 2021</v>
      </c>
      <c r="C451" s="1" t="str">
        <f>IFERROR(__xludf.DUMMYFUNCTION("""COMPUTED_VALUE"""),"US Department of
Defense")</f>
        <v>US Department of
Defense</v>
      </c>
      <c r="D451" s="3" t="str">
        <f>IFERROR(__xludf.DUMMYFUNCTION("""COMPUTED_VALUE"""),"https://www.defense.gov/Explore/Spotlight/Coronavirus-DOD-Response/Timeline/")</f>
        <v>https://www.defense.gov/Explore/Spotlight/Coronavirus-DOD-Response/Timeline/</v>
      </c>
      <c r="E451" s="1"/>
      <c r="F451" s="1"/>
      <c r="G451" s="1"/>
      <c r="H451" s="1"/>
      <c r="I451" s="1"/>
    </row>
    <row r="452">
      <c r="A452" s="2">
        <f>IFERROR(__xludf.DUMMYFUNCTION("""COMPUTED_VALUE"""),44321.0)</f>
        <v>44321</v>
      </c>
      <c r="B452" s="1" t="str">
        <f>IFERROR(__xludf.DUMMYFUNCTION("""COMPUTED_VALUE"""),"President Biden’s administration announces it will waive intellectual property protections for COVID-19 vaccines, which will help expedite global vaccine production.")</f>
        <v>President Biden’s administration announces it will waive intellectual property protections for COVID-19 vaccines, which will help expedite global vaccine production.</v>
      </c>
      <c r="C452" s="1" t="str">
        <f>IFERROR(__xludf.DUMMYFUNCTION("""COMPUTED_VALUE"""),"Maximus")</f>
        <v>Maximus</v>
      </c>
      <c r="D452" s="3" t="str">
        <f>IFERROR(__xludf.DUMMYFUNCTION("""COMPUTED_VALUE"""),"https://storymaps.arcgis.com/stories/463f2d26aca94edda07753fe31f61f11")</f>
        <v>https://storymaps.arcgis.com/stories/463f2d26aca94edda07753fe31f61f11</v>
      </c>
      <c r="E452" s="1"/>
      <c r="F452" s="1"/>
      <c r="G452" s="1"/>
      <c r="H452" s="1"/>
      <c r="I452" s="1"/>
    </row>
    <row r="453">
      <c r="A453" s="2">
        <f>IFERROR(__xludf.DUMMYFUNCTION("""COMPUTED_VALUE"""),44322.0)</f>
        <v>44322</v>
      </c>
      <c r="B453" s="1" t="str">
        <f>IFERROR(__xludf.DUMMYFUNCTION("""COMPUTED_VALUE"""),"The U.S. reports its lowest daily COVID-19 cases averages since early October.")</f>
        <v>The U.S. reports its lowest daily COVID-19 cases averages since early October.</v>
      </c>
      <c r="C453" s="1" t="str">
        <f>IFERROR(__xludf.DUMMYFUNCTION("""COMPUTED_VALUE"""),"Maximus")</f>
        <v>Maximus</v>
      </c>
      <c r="D453" s="3" t="str">
        <f>IFERROR(__xludf.DUMMYFUNCTION("""COMPUTED_VALUE"""),"https://storymaps.arcgis.com/stories/463f2d26aca94edda07753fe31f61f11")</f>
        <v>https://storymaps.arcgis.com/stories/463f2d26aca94edda07753fe31f61f11</v>
      </c>
      <c r="E453" s="1"/>
      <c r="F453" s="1"/>
      <c r="G453" s="1"/>
      <c r="H453" s="1"/>
      <c r="I453" s="1"/>
    </row>
    <row r="454">
      <c r="A454" s="2">
        <f>IFERROR(__xludf.DUMMYFUNCTION("""COMPUTED_VALUE"""),44326.0)</f>
        <v>44326</v>
      </c>
      <c r="B454" s="1" t="str">
        <f>IFERROR(__xludf.DUMMYFUNCTION("""COMPUTED_VALUE"""),"The FDA issues a EUA for Pfizer vaccine for use in adolescents aged 12-15.")</f>
        <v>The FDA issues a EUA for Pfizer vaccine for use in adolescents aged 12-15.</v>
      </c>
      <c r="C454" s="1" t="str">
        <f>IFERROR(__xludf.DUMMYFUNCTION("""COMPUTED_VALUE"""),"Maximus")</f>
        <v>Maximus</v>
      </c>
      <c r="D454" s="3" t="str">
        <f>IFERROR(__xludf.DUMMYFUNCTION("""COMPUTED_VALUE"""),"https://storymaps.arcgis.com/stories/463f2d26aca94edda07753fe31f61f11")</f>
        <v>https://storymaps.arcgis.com/stories/463f2d26aca94edda07753fe31f61f11</v>
      </c>
      <c r="E454" s="1"/>
      <c r="F454" s="1"/>
      <c r="G454" s="1"/>
      <c r="H454" s="1"/>
      <c r="I454" s="1"/>
    </row>
    <row r="455">
      <c r="A455" s="2">
        <f>IFERROR(__xludf.DUMMYFUNCTION("""COMPUTED_VALUE"""),44326.0)</f>
        <v>44326</v>
      </c>
      <c r="B455" s="1" t="str">
        <f>IFERROR(__xludf.DUMMYFUNCTION("""COMPUTED_VALUE"""),"CDC limits monitoring of breakthrough COVID-19 cases, drawing concern from some scientists.")</f>
        <v>CDC limits monitoring of breakthrough COVID-19 cases, drawing concern from some scientists.</v>
      </c>
      <c r="C455" s="1" t="str">
        <f>IFERROR(__xludf.DUMMYFUNCTION("""COMPUTED_VALUE"""),"Maximus")</f>
        <v>Maximus</v>
      </c>
      <c r="D455" s="3" t="str">
        <f>IFERROR(__xludf.DUMMYFUNCTION("""COMPUTED_VALUE"""),"https://storymaps.arcgis.com/stories/463f2d26aca94edda07753fe31f61f11")</f>
        <v>https://storymaps.arcgis.com/stories/463f2d26aca94edda07753fe31f61f11</v>
      </c>
      <c r="E455" s="1"/>
      <c r="F455" s="1"/>
      <c r="G455" s="1"/>
      <c r="H455" s="1"/>
      <c r="I455" s="1"/>
    </row>
    <row r="456">
      <c r="A456" s="2">
        <f>IFERROR(__xludf.DUMMYFUNCTION("""COMPUTED_VALUE"""),44327.0)</f>
        <v>44327</v>
      </c>
      <c r="B456" s="1" t="str">
        <f>IFERROR(__xludf.DUMMYFUNCTION("""COMPUTED_VALUE"""),"The U.S. reports fewer than 40,000 new COVID-19 cases for the third straight day.")</f>
        <v>The U.S. reports fewer than 40,000 new COVID-19 cases for the third straight day.</v>
      </c>
      <c r="C456" s="1" t="str">
        <f>IFERROR(__xludf.DUMMYFUNCTION("""COMPUTED_VALUE"""),"Maximus")</f>
        <v>Maximus</v>
      </c>
      <c r="D456" s="3" t="str">
        <f>IFERROR(__xludf.DUMMYFUNCTION("""COMPUTED_VALUE"""),"https://storymaps.arcgis.com/stories/463f2d26aca94edda07753fe31f61f11")</f>
        <v>https://storymaps.arcgis.com/stories/463f2d26aca94edda07753fe31f61f11</v>
      </c>
      <c r="E456" s="1"/>
      <c r="F456" s="1"/>
      <c r="G456" s="1"/>
      <c r="H456" s="1"/>
      <c r="I456" s="1"/>
    </row>
    <row r="457">
      <c r="A457" s="2">
        <f>IFERROR(__xludf.DUMMYFUNCTION("""COMPUTED_VALUE"""),44329.0)</f>
        <v>44329</v>
      </c>
      <c r="B457" s="1" t="str">
        <f>IFERROR(__xludf.DUMMYFUNCTION("""COMPUTED_VALUE"""),"The CDC announces that fully vaccinated people no longer need to wear masks indoors or outdoors, with few exceptions.")</f>
        <v>The CDC announces that fully vaccinated people no longer need to wear masks indoors or outdoors, with few exceptions.</v>
      </c>
      <c r="C457" s="1" t="str">
        <f>IFERROR(__xludf.DUMMYFUNCTION("""COMPUTED_VALUE"""),"Maximus")</f>
        <v>Maximus</v>
      </c>
      <c r="D457" s="3" t="str">
        <f>IFERROR(__xludf.DUMMYFUNCTION("""COMPUTED_VALUE"""),"https://storymaps.arcgis.com/stories/463f2d26aca94edda07753fe31f61f11")</f>
        <v>https://storymaps.arcgis.com/stories/463f2d26aca94edda07753fe31f61f11</v>
      </c>
      <c r="E457" s="1"/>
      <c r="F457" s="1"/>
      <c r="G457" s="1"/>
      <c r="H457" s="1"/>
      <c r="I457" s="1"/>
    </row>
    <row r="458">
      <c r="A458" s="2">
        <f>IFERROR(__xludf.DUMMYFUNCTION("""COMPUTED_VALUE"""),44330.0)</f>
        <v>44330</v>
      </c>
      <c r="B458" s="1" t="str">
        <f>IFERROR(__xludf.DUMMYFUNCTION("""COMPUTED_VALUE"""),"In its largest study on COVID-vaccines’ effectiveness, the CDC shows that Pfizer and Moderna’s vaccines are 94% effective at preventing symptomatic COVID-19 in healthcare workers.")</f>
        <v>In its largest study on COVID-vaccines’ effectiveness, the CDC shows that Pfizer and Moderna’s vaccines are 94% effective at preventing symptomatic COVID-19 in healthcare workers.</v>
      </c>
      <c r="C458" s="1" t="str">
        <f>IFERROR(__xludf.DUMMYFUNCTION("""COMPUTED_VALUE"""),"Maximus")</f>
        <v>Maximus</v>
      </c>
      <c r="D458" s="3" t="str">
        <f>IFERROR(__xludf.DUMMYFUNCTION("""COMPUTED_VALUE"""),"https://storymaps.arcgis.com/stories/463f2d26aca94edda07753fe31f61f11")</f>
        <v>https://storymaps.arcgis.com/stories/463f2d26aca94edda07753fe31f61f11</v>
      </c>
      <c r="E458" s="1"/>
      <c r="F458" s="1"/>
      <c r="G458" s="1"/>
      <c r="H458" s="1"/>
      <c r="I458" s="1"/>
    </row>
    <row r="459">
      <c r="A459" s="2">
        <f>IFERROR(__xludf.DUMMYFUNCTION("""COMPUTED_VALUE"""),44335.0)</f>
        <v>44335</v>
      </c>
      <c r="B459" s="1" t="str">
        <f>IFERROR(__xludf.DUMMYFUNCTION("""COMPUTED_VALUE"""),"HHS announces that more than 10 million COVID-19 vaccine doses are administered by Community Health Centers – with 61% provided to racial and ethnic minorities.")</f>
        <v>HHS announces that more than 10 million COVID-19 vaccine doses are administered by Community Health Centers – with 61% provided to racial and ethnic minorities.</v>
      </c>
      <c r="C459" s="1" t="str">
        <f>IFERROR(__xludf.DUMMYFUNCTION("""COMPUTED_VALUE"""),"Maximus")</f>
        <v>Maximus</v>
      </c>
      <c r="D459" s="3" t="str">
        <f>IFERROR(__xludf.DUMMYFUNCTION("""COMPUTED_VALUE"""),"https://storymaps.arcgis.com/stories/463f2d26aca94edda07753fe31f61f11")</f>
        <v>https://storymaps.arcgis.com/stories/463f2d26aca94edda07753fe31f61f11</v>
      </c>
      <c r="E459" s="1"/>
      <c r="F459" s="1"/>
      <c r="G459" s="1"/>
      <c r="H459" s="1"/>
      <c r="I459" s="1"/>
    </row>
    <row r="460">
      <c r="A460" s="2">
        <f>IFERROR(__xludf.DUMMYFUNCTION("""COMPUTED_VALUE"""),44341.0)</f>
        <v>44341</v>
      </c>
      <c r="B460" s="1" t="str">
        <f>IFERROR(__xludf.DUMMYFUNCTION("""COMPUTED_VALUE"""),"The CDC reports a total of 10,262 SARS-CoV-2 vaccine breakthrough infections out of 101 million persons.")</f>
        <v>The CDC reports a total of 10,262 SARS-CoV-2 vaccine breakthrough infections out of 101 million persons.</v>
      </c>
      <c r="C460" s="1" t="str">
        <f>IFERROR(__xludf.DUMMYFUNCTION("""COMPUTED_VALUE"""),"Maximus")</f>
        <v>Maximus</v>
      </c>
      <c r="D460" s="3" t="str">
        <f>IFERROR(__xludf.DUMMYFUNCTION("""COMPUTED_VALUE"""),"https://storymaps.arcgis.com/stories/463f2d26aca94edda07753fe31f61f11")</f>
        <v>https://storymaps.arcgis.com/stories/463f2d26aca94edda07753fe31f61f11</v>
      </c>
      <c r="E460" s="1"/>
      <c r="F460" s="1"/>
      <c r="G460" s="1"/>
      <c r="H460" s="1"/>
      <c r="I460" s="1"/>
    </row>
    <row r="461">
      <c r="A461" s="2">
        <f>IFERROR(__xludf.DUMMYFUNCTION("""COMPUTED_VALUE"""),44341.0)</f>
        <v>44341</v>
      </c>
      <c r="B461" s="1" t="str">
        <f>IFERROR(__xludf.DUMMYFUNCTION("""COMPUTED_VALUE"""),"Half of the U.S. adults are now fully vaccinated against COVID-19.")</f>
        <v>Half of the U.S. adults are now fully vaccinated against COVID-19.</v>
      </c>
      <c r="C461" s="1" t="str">
        <f>IFERROR(__xludf.DUMMYFUNCTION("""COMPUTED_VALUE"""),"Maximus")</f>
        <v>Maximus</v>
      </c>
      <c r="D461" s="3" t="str">
        <f>IFERROR(__xludf.DUMMYFUNCTION("""COMPUTED_VALUE"""),"https://storymaps.arcgis.com/stories/463f2d26aca94edda07753fe31f61f11")</f>
        <v>https://storymaps.arcgis.com/stories/463f2d26aca94edda07753fe31f61f11</v>
      </c>
      <c r="E461" s="1"/>
      <c r="F461" s="1"/>
      <c r="G461" s="1"/>
      <c r="H461" s="1"/>
      <c r="I461" s="1"/>
    </row>
    <row r="462">
      <c r="A462" s="2">
        <f>IFERROR(__xludf.DUMMYFUNCTION("""COMPUTED_VALUE"""),44343.0)</f>
        <v>44343</v>
      </c>
      <c r="B462" s="1" t="str">
        <f>IFERROR(__xludf.DUMMYFUNCTION("""COMPUTED_VALUE"""),"President Biden orders U.S. intelligence to investigate the origins of coronavirus.")</f>
        <v>President Biden orders U.S. intelligence to investigate the origins of coronavirus.</v>
      </c>
      <c r="C462" s="1" t="str">
        <f>IFERROR(__xludf.DUMMYFUNCTION("""COMPUTED_VALUE"""),"Maximus")</f>
        <v>Maximus</v>
      </c>
      <c r="D462" s="3" t="str">
        <f>IFERROR(__xludf.DUMMYFUNCTION("""COMPUTED_VALUE"""),"https://storymaps.arcgis.com/stories/463f2d26aca94edda07753fe31f61f11")</f>
        <v>https://storymaps.arcgis.com/stories/463f2d26aca94edda07753fe31f61f11</v>
      </c>
      <c r="E462" s="1"/>
      <c r="F462" s="1"/>
      <c r="G462" s="1"/>
      <c r="H462" s="1"/>
      <c r="I462" s="1"/>
    </row>
    <row r="463">
      <c r="A463" s="2">
        <f>IFERROR(__xludf.DUMMYFUNCTION("""COMPUTED_VALUE"""),44344.0)</f>
        <v>44344</v>
      </c>
      <c r="B463" s="1" t="str">
        <f>IFERROR(__xludf.DUMMYFUNCTION("""COMPUTED_VALUE"""),"CDC reports that the COVID-19 7-day average cases and deaths in the U.S. have dropped to their lowest levels in nearly a year.")</f>
        <v>CDC reports that the COVID-19 7-day average cases and deaths in the U.S. have dropped to their lowest levels in nearly a year.</v>
      </c>
      <c r="C463" s="1" t="str">
        <f>IFERROR(__xludf.DUMMYFUNCTION("""COMPUTED_VALUE"""),"Maximus")</f>
        <v>Maximus</v>
      </c>
      <c r="D463" s="3" t="str">
        <f>IFERROR(__xludf.DUMMYFUNCTION("""COMPUTED_VALUE"""),"https://storymaps.arcgis.com/stories/463f2d26aca94edda07753fe31f61f11")</f>
        <v>https://storymaps.arcgis.com/stories/463f2d26aca94edda07753fe31f61f11</v>
      </c>
      <c r="E463" s="1"/>
      <c r="F463" s="1"/>
      <c r="G463" s="1"/>
      <c r="H463" s="1"/>
      <c r="I463" s="1"/>
    </row>
    <row r="464">
      <c r="A464" s="2">
        <f>IFERROR(__xludf.DUMMYFUNCTION("""COMPUTED_VALUE"""),44349.0)</f>
        <v>44349</v>
      </c>
      <c r="B464" s="1" t="str">
        <f>IFERROR(__xludf.DUMMYFUNCTION("""COMPUTED_VALUE"""),"The Biden administration announces a new COVID-19 vaccine strategy to get more people vaccinated by July 4th.")</f>
        <v>The Biden administration announces a new COVID-19 vaccine strategy to get more people vaccinated by July 4th.</v>
      </c>
      <c r="C464" s="1" t="str">
        <f>IFERROR(__xludf.DUMMYFUNCTION("""COMPUTED_VALUE"""),"Maximus")</f>
        <v>Maximus</v>
      </c>
      <c r="D464" s="3" t="str">
        <f>IFERROR(__xludf.DUMMYFUNCTION("""COMPUTED_VALUE"""),"https://storymaps.arcgis.com/stories/463f2d26aca94edda07753fe31f61f11")</f>
        <v>https://storymaps.arcgis.com/stories/463f2d26aca94edda07753fe31f61f11</v>
      </c>
      <c r="E464" s="1"/>
      <c r="F464" s="1"/>
      <c r="G464" s="1"/>
      <c r="H464" s="1"/>
      <c r="I464" s="1"/>
    </row>
    <row r="465">
      <c r="A465" s="2">
        <f>IFERROR(__xludf.DUMMYFUNCTION("""COMPUTED_VALUE"""),44350.0)</f>
        <v>44350</v>
      </c>
      <c r="B465" s="1" t="str">
        <f>IFERROR(__xludf.DUMMYFUNCTION("""COMPUTED_VALUE"""),"New US Covid-19 cases have dropped to lowest level since March, 2020")</f>
        <v>New US Covid-19 cases have dropped to lowest level since March, 2020</v>
      </c>
      <c r="C465" s="1" t="str">
        <f>IFERROR(__xludf.DUMMYFUNCTION("""COMPUTED_VALUE"""),"US Department of
Defense")</f>
        <v>US Department of
Defense</v>
      </c>
      <c r="D465" s="3" t="str">
        <f>IFERROR(__xludf.DUMMYFUNCTION("""COMPUTED_VALUE"""),"https://www.defense.gov/Explore/Spotlight/Coronavirus-DOD-Response/Timeline/")</f>
        <v>https://www.defense.gov/Explore/Spotlight/Coronavirus-DOD-Response/Timeline/</v>
      </c>
      <c r="E465" s="1"/>
      <c r="F465" s="1"/>
      <c r="G465" s="1"/>
      <c r="H465" s="1"/>
      <c r="I465" s="1"/>
    </row>
    <row r="466">
      <c r="A466" s="2">
        <f>IFERROR(__xludf.DUMMYFUNCTION("""COMPUTED_VALUE"""),44350.0)</f>
        <v>44350</v>
      </c>
      <c r="B466" s="1" t="str">
        <f>IFERROR(__xludf.DUMMYFUNCTION("""COMPUTED_VALUE"""),"Administration announces its framework for sharing the first 25M doses of at least
80M US Covid-19 vaccine doses globally by the end of June")</f>
        <v>Administration announces its framework for sharing the first 25M doses of at least
80M US Covid-19 vaccine doses globally by the end of June</v>
      </c>
      <c r="C466" s="1" t="str">
        <f>IFERROR(__xludf.DUMMYFUNCTION("""COMPUTED_VALUE"""),"US Department of
Defense")</f>
        <v>US Department of
Defense</v>
      </c>
      <c r="D466" s="3" t="str">
        <f>IFERROR(__xludf.DUMMYFUNCTION("""COMPUTED_VALUE"""),"https://www.defense.gov/Explore/Spotlight/Coronavirus-DOD-Response/Timeline/")</f>
        <v>https://www.defense.gov/Explore/Spotlight/Coronavirus-DOD-Response/Timeline/</v>
      </c>
      <c r="E466" s="1"/>
      <c r="F466" s="1"/>
      <c r="G466" s="1"/>
      <c r="H466" s="1"/>
      <c r="I466" s="1"/>
    </row>
    <row r="467">
      <c r="A467" s="2">
        <f>IFERROR(__xludf.DUMMYFUNCTION("""COMPUTED_VALUE"""),44354.0)</f>
        <v>44354</v>
      </c>
      <c r="B467" s="1" t="str">
        <f>IFERROR(__xludf.DUMMYFUNCTION("""COMPUTED_VALUE"""),"Centers for Disease Control and Prevention updates its country-by-country travel 
recommendations, better differentiating countries with severe outbreak situations from 
those with sustained but controlled COVID-19 spread, and giving specific advice for 
"&amp;"fully vaccinated and unvaccinated travelers")</f>
        <v>Centers for Disease Control and Prevention updates its country-by-country travel 
recommendations, better differentiating countries with severe outbreak situations from 
those with sustained but controlled COVID-19 spread, and giving specific advice for 
fully vaccinated and unvaccinated travelers</v>
      </c>
      <c r="C467" s="1" t="str">
        <f>IFERROR(__xludf.DUMMYFUNCTION("""COMPUTED_VALUE"""),"US Department of
Defense")</f>
        <v>US Department of
Defense</v>
      </c>
      <c r="D467" s="3" t="str">
        <f>IFERROR(__xludf.DUMMYFUNCTION("""COMPUTED_VALUE"""),"https://www.defense.gov/Explore/Spotlight/Coronavirus-DOD-Response/Timeline/")</f>
        <v>https://www.defense.gov/Explore/Spotlight/Coronavirus-DOD-Response/Timeline/</v>
      </c>
      <c r="E467" s="1"/>
      <c r="F467" s="1"/>
      <c r="G467" s="1"/>
      <c r="H467" s="1"/>
      <c r="I467" s="1"/>
    </row>
    <row r="468">
      <c r="A468" s="2">
        <f>IFERROR(__xludf.DUMMYFUNCTION("""COMPUTED_VALUE"""),44356.0)</f>
        <v>44356</v>
      </c>
      <c r="B468" s="1" t="str">
        <f>IFERROR(__xludf.DUMMYFUNCTION("""COMPUTED_VALUE"""),"President Biden announces a plan to donate 500 million doses of Pfizer-BioNTech COVID-19 vaccine doses globally.")</f>
        <v>President Biden announces a plan to donate 500 million doses of Pfizer-BioNTech COVID-19 vaccine doses globally.</v>
      </c>
      <c r="C468" s="1" t="str">
        <f>IFERROR(__xludf.DUMMYFUNCTION("""COMPUTED_VALUE"""),"Maximus")</f>
        <v>Maximus</v>
      </c>
      <c r="D468" s="3" t="str">
        <f>IFERROR(__xludf.DUMMYFUNCTION("""COMPUTED_VALUE"""),"https://storymaps.arcgis.com/stories/463f2d26aca94edda07753fe31f61f11")</f>
        <v>https://storymaps.arcgis.com/stories/463f2d26aca94edda07753fe31f61f11</v>
      </c>
      <c r="E468" s="1"/>
      <c r="F468" s="1"/>
      <c r="G468" s="1"/>
      <c r="H468" s="1"/>
      <c r="I468" s="1"/>
    </row>
    <row r="469">
      <c r="A469" s="2">
        <f>IFERROR(__xludf.DUMMYFUNCTION("""COMPUTED_VALUE"""),44357.0)</f>
        <v>44357</v>
      </c>
      <c r="B469" s="1" t="str">
        <f>IFERROR(__xludf.DUMMYFUNCTION("""COMPUTED_VALUE"""),"COVID-19 cases and deaths in the US have fallen to their lowest point since March 2020.")</f>
        <v>COVID-19 cases and deaths in the US have fallen to their lowest point since March 2020.</v>
      </c>
      <c r="C469" s="1" t="str">
        <f>IFERROR(__xludf.DUMMYFUNCTION("""COMPUTED_VALUE"""),"Maximus")</f>
        <v>Maximus</v>
      </c>
      <c r="D469" s="3" t="str">
        <f>IFERROR(__xludf.DUMMYFUNCTION("""COMPUTED_VALUE"""),"https://storymaps.arcgis.com/stories/463f2d26aca94edda07753fe31f61f11")</f>
        <v>https://storymaps.arcgis.com/stories/463f2d26aca94edda07753fe31f61f11</v>
      </c>
      <c r="E469" s="1"/>
      <c r="F469" s="1"/>
      <c r="G469" s="1"/>
      <c r="H469" s="1"/>
      <c r="I469" s="1"/>
    </row>
    <row r="470">
      <c r="A470" s="2">
        <f>IFERROR(__xludf.DUMMYFUNCTION("""COMPUTED_VALUE"""),44358.0)</f>
        <v>44358</v>
      </c>
      <c r="B470" s="1" t="str">
        <f>IFERROR(__xludf.DUMMYFUNCTION("""COMPUTED_VALUE"""),"FDA orders Johnson &amp; Johnson to throw out 60 million possibly tainted COVID-19 vaccine doses.")</f>
        <v>FDA orders Johnson &amp; Johnson to throw out 60 million possibly tainted COVID-19 vaccine doses.</v>
      </c>
      <c r="C470" s="1" t="str">
        <f>IFERROR(__xludf.DUMMYFUNCTION("""COMPUTED_VALUE"""),"Maximus")</f>
        <v>Maximus</v>
      </c>
      <c r="D470" s="3" t="str">
        <f>IFERROR(__xludf.DUMMYFUNCTION("""COMPUTED_VALUE"""),"https://storymaps.arcgis.com/stories/463f2d26aca94edda07753fe31f61f11")</f>
        <v>https://storymaps.arcgis.com/stories/463f2d26aca94edda07753fe31f61f11</v>
      </c>
      <c r="E470" s="1"/>
      <c r="F470" s="1"/>
      <c r="G470" s="1"/>
      <c r="H470" s="1"/>
      <c r="I470" s="1"/>
    </row>
    <row r="471">
      <c r="A471" s="2">
        <f>IFERROR(__xludf.DUMMYFUNCTION("""COMPUTED_VALUE"""),44358.0)</f>
        <v>44358</v>
      </c>
      <c r="B471" s="1" t="str">
        <f>IFERROR(__xludf.DUMMYFUNCTION("""COMPUTED_VALUE"""),"The Biden administration gives hospitals and providers more time to use COVID-19 relief funds which are previously set until June 30.")</f>
        <v>The Biden administration gives hospitals and providers more time to use COVID-19 relief funds which are previously set until June 30.</v>
      </c>
      <c r="C471" s="1" t="str">
        <f>IFERROR(__xludf.DUMMYFUNCTION("""COMPUTED_VALUE"""),"Maximus")</f>
        <v>Maximus</v>
      </c>
      <c r="D471" s="3" t="str">
        <f>IFERROR(__xludf.DUMMYFUNCTION("""COMPUTED_VALUE"""),"https://storymaps.arcgis.com/stories/463f2d26aca94edda07753fe31f61f11")</f>
        <v>https://storymaps.arcgis.com/stories/463f2d26aca94edda07753fe31f61f11</v>
      </c>
      <c r="E471" s="1"/>
      <c r="F471" s="1"/>
      <c r="G471" s="1"/>
      <c r="H471" s="1"/>
      <c r="I471" s="1"/>
    </row>
    <row r="472">
      <c r="A472" s="2">
        <f>IFERROR(__xludf.DUMMYFUNCTION("""COMPUTED_VALUE"""),44361.0)</f>
        <v>44361</v>
      </c>
      <c r="B472" s="1" t="str">
        <f>IFERROR(__xludf.DUMMYFUNCTION("""COMPUTED_VALUE"""),"Novavax reports that its COVID-19 vaccine demonstrates 90% overall efficacy.")</f>
        <v>Novavax reports that its COVID-19 vaccine demonstrates 90% overall efficacy.</v>
      </c>
      <c r="C472" s="1" t="str">
        <f>IFERROR(__xludf.DUMMYFUNCTION("""COMPUTED_VALUE"""),"Maximus")</f>
        <v>Maximus</v>
      </c>
      <c r="D472" s="3" t="str">
        <f>IFERROR(__xludf.DUMMYFUNCTION("""COMPUTED_VALUE"""),"https://storymaps.arcgis.com/stories/463f2d26aca94edda07753fe31f61f11")</f>
        <v>https://storymaps.arcgis.com/stories/463f2d26aca94edda07753fe31f61f11</v>
      </c>
      <c r="E472" s="1"/>
      <c r="F472" s="1"/>
      <c r="G472" s="1"/>
      <c r="H472" s="1"/>
      <c r="I472" s="1"/>
    </row>
    <row r="473">
      <c r="A473" s="2">
        <f>IFERROR(__xludf.DUMMYFUNCTION("""COMPUTED_VALUE"""),44361.0)</f>
        <v>44361</v>
      </c>
      <c r="B473" s="1" t="str">
        <f>IFERROR(__xludf.DUMMYFUNCTION("""COMPUTED_VALUE"""),"CDC releases guidance for treating COVID-19 long-haulers.")</f>
        <v>CDC releases guidance for treating COVID-19 long-haulers.</v>
      </c>
      <c r="C473" s="1" t="str">
        <f>IFERROR(__xludf.DUMMYFUNCTION("""COMPUTED_VALUE"""),"Maximus")</f>
        <v>Maximus</v>
      </c>
      <c r="D473" s="3" t="str">
        <f>IFERROR(__xludf.DUMMYFUNCTION("""COMPUTED_VALUE"""),"https://storymaps.arcgis.com/stories/463f2d26aca94edda07753fe31f61f11")</f>
        <v>https://storymaps.arcgis.com/stories/463f2d26aca94edda07753fe31f61f11</v>
      </c>
      <c r="E473" s="1"/>
      <c r="F473" s="1"/>
      <c r="G473" s="1"/>
      <c r="H473" s="1"/>
      <c r="I473" s="1"/>
    </row>
    <row r="474">
      <c r="A474" s="2">
        <f>IFERROR(__xludf.DUMMYFUNCTION("""COMPUTED_VALUE"""),44362.0)</f>
        <v>44362</v>
      </c>
      <c r="B474" s="1" t="str">
        <f>IFERROR(__xludf.DUMMYFUNCTION("""COMPUTED_VALUE"""),"The U.S. records 600,000 COVID-19 deaths.")</f>
        <v>The U.S. records 600,000 COVID-19 deaths.</v>
      </c>
      <c r="C474" s="1" t="str">
        <f>IFERROR(__xludf.DUMMYFUNCTION("""COMPUTED_VALUE"""),"Maximus")</f>
        <v>Maximus</v>
      </c>
      <c r="D474" s="3" t="str">
        <f>IFERROR(__xludf.DUMMYFUNCTION("""COMPUTED_VALUE"""),"https://storymaps.arcgis.com/stories/463f2d26aca94edda07753fe31f61f11")</f>
        <v>https://storymaps.arcgis.com/stories/463f2d26aca94edda07753fe31f61f11</v>
      </c>
      <c r="E474" s="1"/>
      <c r="F474" s="1"/>
      <c r="G474" s="1"/>
      <c r="H474" s="1"/>
      <c r="I474" s="1"/>
    </row>
    <row r="475">
      <c r="A475" s="2">
        <f>IFERROR(__xludf.DUMMYFUNCTION("""COMPUTED_VALUE"""),44364.0)</f>
        <v>44364</v>
      </c>
      <c r="B475" s="1" t="str">
        <f>IFERROR(__xludf.DUMMYFUNCTION("""COMPUTED_VALUE"""),"The U.S. announces investing $3 billion to develop the next generation of COVID-19 treatments.")</f>
        <v>The U.S. announces investing $3 billion to develop the next generation of COVID-19 treatments.</v>
      </c>
      <c r="C475" s="1" t="str">
        <f>IFERROR(__xludf.DUMMYFUNCTION("""COMPUTED_VALUE"""),"Maximus")</f>
        <v>Maximus</v>
      </c>
      <c r="D475" s="3" t="str">
        <f>IFERROR(__xludf.DUMMYFUNCTION("""COMPUTED_VALUE"""),"https://storymaps.arcgis.com/stories/463f2d26aca94edda07753fe31f61f11")</f>
        <v>https://storymaps.arcgis.com/stories/463f2d26aca94edda07753fe31f61f11</v>
      </c>
      <c r="E475" s="1"/>
      <c r="F475" s="1"/>
      <c r="G475" s="1"/>
      <c r="H475" s="1"/>
      <c r="I475" s="1"/>
    </row>
    <row r="476">
      <c r="A476" s="2">
        <f>IFERROR(__xludf.DUMMYFUNCTION("""COMPUTED_VALUE"""),44368.0)</f>
        <v>44368</v>
      </c>
      <c r="B476" s="1" t="str">
        <f>IFERROR(__xludf.DUMMYFUNCTION("""COMPUTED_VALUE"""),"A study suggests that the Delta coronavirus variant (B.167.2) will become dominant in the U.S. in the coming weeks.")</f>
        <v>A study suggests that the Delta coronavirus variant (B.167.2) will become dominant in the U.S. in the coming weeks.</v>
      </c>
      <c r="C476" s="1" t="str">
        <f>IFERROR(__xludf.DUMMYFUNCTION("""COMPUTED_VALUE"""),"Maximus")</f>
        <v>Maximus</v>
      </c>
      <c r="D476" s="3" t="str">
        <f>IFERROR(__xludf.DUMMYFUNCTION("""COMPUTED_VALUE"""),"https://storymaps.arcgis.com/stories/463f2d26aca94edda07753fe31f61f11")</f>
        <v>https://storymaps.arcgis.com/stories/463f2d26aca94edda07753fe31f61f11</v>
      </c>
      <c r="E476" s="1"/>
      <c r="F476" s="1"/>
      <c r="G476" s="1"/>
      <c r="H476" s="1"/>
      <c r="I476" s="1"/>
    </row>
    <row r="477">
      <c r="A477" s="2">
        <f>IFERROR(__xludf.DUMMYFUNCTION("""COMPUTED_VALUE"""),44370.0)</f>
        <v>44370</v>
      </c>
      <c r="B477" s="1" t="str">
        <f>IFERROR(__xludf.DUMMYFUNCTION("""COMPUTED_VALUE"""),"The CDC ACIP panel announces the likely association between rare heart inflammation and Pfizer and Moderna’s mRNA COVID-19 vaccines among adolescents.")</f>
        <v>The CDC ACIP panel announces the likely association between rare heart inflammation and Pfizer and Moderna’s mRNA COVID-19 vaccines among adolescents.</v>
      </c>
      <c r="C477" s="1" t="str">
        <f>IFERROR(__xludf.DUMMYFUNCTION("""COMPUTED_VALUE"""),"Maximus")</f>
        <v>Maximus</v>
      </c>
      <c r="D477" s="3" t="str">
        <f>IFERROR(__xludf.DUMMYFUNCTION("""COMPUTED_VALUE"""),"https://storymaps.arcgis.com/stories/463f2d26aca94edda07753fe31f61f11")</f>
        <v>https://storymaps.arcgis.com/stories/463f2d26aca94edda07753fe31f61f11</v>
      </c>
      <c r="E477" s="1"/>
      <c r="F477" s="1"/>
      <c r="G477" s="1"/>
      <c r="H477" s="1"/>
      <c r="I477" s="1"/>
    </row>
    <row r="478">
      <c r="A478" s="2">
        <f>IFERROR(__xludf.DUMMYFUNCTION("""COMPUTED_VALUE"""),44370.0)</f>
        <v>44370</v>
      </c>
      <c r="B478" s="1" t="str">
        <f>IFERROR(__xludf.DUMMYFUNCTION("""COMPUTED_VALUE"""),"The Administration announces that, as part of its efforts to end COVID-19 worldwide,
and in response to a recent surge in COVID cases in Afghanistan, the United States
will donate 3M doses of Johnson &amp; Johnson vaccine to the people of Afghanistan 
through"&amp;" COVAX")</f>
        <v>The Administration announces that, as part of its efforts to end COVID-19 worldwide,
and in response to a recent surge in COVID cases in Afghanistan, the United States
will donate 3M doses of Johnson &amp; Johnson vaccine to the people of Afghanistan 
through COVAX</v>
      </c>
      <c r="C478" s="1" t="str">
        <f>IFERROR(__xludf.DUMMYFUNCTION("""COMPUTED_VALUE"""),"US Department of
Defense")</f>
        <v>US Department of
Defense</v>
      </c>
      <c r="D478" s="3" t="str">
        <f>IFERROR(__xludf.DUMMYFUNCTION("""COMPUTED_VALUE"""),"https://www.defense.gov/Explore/Spotlight/Coronavirus-DOD-Response/Timeline/")</f>
        <v>https://www.defense.gov/Explore/Spotlight/Coronavirus-DOD-Response/Timeline/</v>
      </c>
      <c r="E478" s="1"/>
      <c r="F478" s="1"/>
      <c r="G478" s="1"/>
      <c r="H478" s="1"/>
      <c r="I478" s="1"/>
    </row>
    <row r="479">
      <c r="A479" s="2">
        <f>IFERROR(__xludf.DUMMYFUNCTION("""COMPUTED_VALUE"""),44374.0)</f>
        <v>44374</v>
      </c>
      <c r="B479" s="1" t="str">
        <f>IFERROR(__xludf.DUMMYFUNCTION("""COMPUTED_VALUE"""),"The Delta coronavirus variant now accounts for about 40% of positive COVID-19 test samples in the U.S.")</f>
        <v>The Delta coronavirus variant now accounts for about 40% of positive COVID-19 test samples in the U.S.</v>
      </c>
      <c r="C479" s="1" t="str">
        <f>IFERROR(__xludf.DUMMYFUNCTION("""COMPUTED_VALUE"""),"Maximus")</f>
        <v>Maximus</v>
      </c>
      <c r="D479" s="3" t="str">
        <f>IFERROR(__xludf.DUMMYFUNCTION("""COMPUTED_VALUE"""),"https://storymaps.arcgis.com/stories/463f2d26aca94edda07753fe31f61f11")</f>
        <v>https://storymaps.arcgis.com/stories/463f2d26aca94edda07753fe31f61f11</v>
      </c>
      <c r="E479" s="1"/>
      <c r="F479" s="1"/>
      <c r="G479" s="1"/>
      <c r="H479" s="1"/>
      <c r="I479" s="1"/>
    </row>
    <row r="480">
      <c r="A480" s="2">
        <f>IFERROR(__xludf.DUMMYFUNCTION("""COMPUTED_VALUE"""),44378.0)</f>
        <v>44378</v>
      </c>
      <c r="B480" s="1" t="str">
        <f>IFERROR(__xludf.DUMMYFUNCTION("""COMPUTED_VALUE"""),"The Biden Administration releases the U.S. COVID-19 Global Response and Recovery Framework.")</f>
        <v>The Biden Administration releases the U.S. COVID-19 Global Response and Recovery Framework.</v>
      </c>
      <c r="C480" s="1" t="str">
        <f>IFERROR(__xludf.DUMMYFUNCTION("""COMPUTED_VALUE"""),"Maximus")</f>
        <v>Maximus</v>
      </c>
      <c r="D480" s="3" t="str">
        <f>IFERROR(__xludf.DUMMYFUNCTION("""COMPUTED_VALUE"""),"https://storymaps.arcgis.com/stories/463f2d26aca94edda07753fe31f61f11")</f>
        <v>https://storymaps.arcgis.com/stories/463f2d26aca94edda07753fe31f61f11</v>
      </c>
      <c r="E480" s="1"/>
      <c r="F480" s="1"/>
      <c r="G480" s="1"/>
      <c r="H480" s="1"/>
      <c r="I480" s="1"/>
    </row>
    <row r="481">
      <c r="A481" s="2">
        <f>IFERROR(__xludf.DUMMYFUNCTION("""COMPUTED_VALUE"""),44378.0)</f>
        <v>44378</v>
      </c>
      <c r="B481" s="1" t="str">
        <f>IFERROR(__xludf.DUMMYFUNCTION("""COMPUTED_VALUE"""),"Johnson &amp; Johnson announces its vaccine is effective against the coronavirus Delta variant.")</f>
        <v>Johnson &amp; Johnson announces its vaccine is effective against the coronavirus Delta variant.</v>
      </c>
      <c r="C481" s="1" t="str">
        <f>IFERROR(__xludf.DUMMYFUNCTION("""COMPUTED_VALUE"""),"Maximus")</f>
        <v>Maximus</v>
      </c>
      <c r="D481" s="3" t="str">
        <f>IFERROR(__xludf.DUMMYFUNCTION("""COMPUTED_VALUE"""),"https://storymaps.arcgis.com/stories/463f2d26aca94edda07753fe31f61f11")</f>
        <v>https://storymaps.arcgis.com/stories/463f2d26aca94edda07753fe31f61f11</v>
      </c>
      <c r="E481" s="1"/>
      <c r="F481" s="1"/>
      <c r="G481" s="1"/>
      <c r="H481" s="1"/>
      <c r="I481" s="1"/>
    </row>
    <row r="482">
      <c r="A482" s="2">
        <f>IFERROR(__xludf.DUMMYFUNCTION("""COMPUTED_VALUE"""),44381.0)</f>
        <v>44381</v>
      </c>
      <c r="B482" s="1" t="str">
        <f>IFERROR(__xludf.DUMMYFUNCTION("""COMPUTED_VALUE"""),"CDC reports that 67.1 percent of all American adults have received at least one vaccine dose, while 58.2 percent of American adults are fully vaccinated.")</f>
        <v>CDC reports that 67.1 percent of all American adults have received at least one vaccine dose, while 58.2 percent of American adults are fully vaccinated.</v>
      </c>
      <c r="C482" s="1" t="str">
        <f>IFERROR(__xludf.DUMMYFUNCTION("""COMPUTED_VALUE"""),"Maximus")</f>
        <v>Maximus</v>
      </c>
      <c r="D482" s="3" t="str">
        <f>IFERROR(__xludf.DUMMYFUNCTION("""COMPUTED_VALUE"""),"https://storymaps.arcgis.com/stories/463f2d26aca94edda07753fe31f61f11")</f>
        <v>https://storymaps.arcgis.com/stories/463f2d26aca94edda07753fe31f61f11</v>
      </c>
      <c r="E482" s="1"/>
      <c r="F482" s="1"/>
      <c r="G482" s="1"/>
      <c r="H482" s="1"/>
      <c r="I482" s="1"/>
    </row>
    <row r="483">
      <c r="A483" s="2">
        <f>IFERROR(__xludf.DUMMYFUNCTION("""COMPUTED_VALUE"""),44384.0)</f>
        <v>44384</v>
      </c>
      <c r="B483" s="1" t="str">
        <f>IFERROR(__xludf.DUMMYFUNCTION("""COMPUTED_VALUE"""),"Global COVID-19 related deaths surpass 4M")</f>
        <v>Global COVID-19 related deaths surpass 4M</v>
      </c>
      <c r="C483" s="1" t="str">
        <f>IFERROR(__xludf.DUMMYFUNCTION("""COMPUTED_VALUE"""),"US Department of
Defense")</f>
        <v>US Department of
Defense</v>
      </c>
      <c r="D483" s="3" t="str">
        <f>IFERROR(__xludf.DUMMYFUNCTION("""COMPUTED_VALUE"""),"https://www.defense.gov/Explore/Spotlight/Coronavirus-DOD-Response/Timeline/")</f>
        <v>https://www.defense.gov/Explore/Spotlight/Coronavirus-DOD-Response/Timeline/</v>
      </c>
      <c r="E483" s="1"/>
      <c r="F483" s="1"/>
      <c r="G483" s="1"/>
      <c r="H483" s="1"/>
      <c r="I483" s="1"/>
    </row>
    <row r="484">
      <c r="A484" s="2">
        <f>IFERROR(__xludf.DUMMYFUNCTION("""COMPUTED_VALUE"""),44385.0)</f>
        <v>44385</v>
      </c>
      <c r="B484" s="1" t="str">
        <f>IFERROR(__xludf.DUMMYFUNCTION("""COMPUTED_VALUE"""),"The CDC and FDA announce that at this time, there is no need for fully vaccinated people to get a booster COVID-19 shot.")</f>
        <v>The CDC and FDA announce that at this time, there is no need for fully vaccinated people to get a booster COVID-19 shot.</v>
      </c>
      <c r="C484" s="1" t="str">
        <f>IFERROR(__xludf.DUMMYFUNCTION("""COMPUTED_VALUE"""),"Maximus")</f>
        <v>Maximus</v>
      </c>
      <c r="D484" s="3" t="str">
        <f>IFERROR(__xludf.DUMMYFUNCTION("""COMPUTED_VALUE"""),"https://storymaps.arcgis.com/stories/463f2d26aca94edda07753fe31f61f11")</f>
        <v>https://storymaps.arcgis.com/stories/463f2d26aca94edda07753fe31f61f11</v>
      </c>
      <c r="E484" s="1"/>
      <c r="F484" s="1"/>
      <c r="G484" s="1"/>
      <c r="H484" s="1"/>
      <c r="I484" s="1"/>
    </row>
    <row r="485">
      <c r="A485" s="2">
        <f>IFERROR(__xludf.DUMMYFUNCTION("""COMPUTED_VALUE"""),44385.0)</f>
        <v>44385</v>
      </c>
      <c r="B485" s="1" t="str">
        <f>IFERROR(__xludf.DUMMYFUNCTION("""COMPUTED_VALUE"""),"According to the CDC, 183.2 million people have received at least one dose of a COVID-19 vaccine, and 158.3 million are fully vaccinated.")</f>
        <v>According to the CDC, 183.2 million people have received at least one dose of a COVID-19 vaccine, and 158.3 million are fully vaccinated.</v>
      </c>
      <c r="C485" s="1" t="str">
        <f>IFERROR(__xludf.DUMMYFUNCTION("""COMPUTED_VALUE"""),"Maximus")</f>
        <v>Maximus</v>
      </c>
      <c r="D485" s="3" t="str">
        <f>IFERROR(__xludf.DUMMYFUNCTION("""COMPUTED_VALUE"""),"https://storymaps.arcgis.com/stories/463f2d26aca94edda07753fe31f61f11")</f>
        <v>https://storymaps.arcgis.com/stories/463f2d26aca94edda07753fe31f61f11</v>
      </c>
      <c r="E485" s="1"/>
      <c r="F485" s="1"/>
      <c r="G485" s="1"/>
      <c r="H485" s="1"/>
      <c r="I485" s="1"/>
    </row>
    <row r="486">
      <c r="A486" s="2">
        <f>IFERROR(__xludf.DUMMYFUNCTION("""COMPUTED_VALUE"""),44385.0)</f>
        <v>44385</v>
      </c>
      <c r="B486" s="1" t="str">
        <f>IFERROR(__xludf.DUMMYFUNCTION("""COMPUTED_VALUE"""),"A panel composing of members from federal agencies and professional societies has developed the COVID-19 Treatment Guidelines for clinicians.")</f>
        <v>A panel composing of members from federal agencies and professional societies has developed the COVID-19 Treatment Guidelines for clinicians.</v>
      </c>
      <c r="C486" s="1" t="str">
        <f>IFERROR(__xludf.DUMMYFUNCTION("""COMPUTED_VALUE"""),"Maximus")</f>
        <v>Maximus</v>
      </c>
      <c r="D486" s="3" t="str">
        <f>IFERROR(__xludf.DUMMYFUNCTION("""COMPUTED_VALUE"""),"https://storymaps.arcgis.com/stories/463f2d26aca94edda07753fe31f61f11")</f>
        <v>https://storymaps.arcgis.com/stories/463f2d26aca94edda07753fe31f61f11</v>
      </c>
      <c r="E486" s="1"/>
      <c r="F486" s="1"/>
      <c r="G486" s="1"/>
      <c r="H486" s="1"/>
      <c r="I486" s="1"/>
    </row>
    <row r="487">
      <c r="A487" s="2">
        <f>IFERROR(__xludf.DUMMYFUNCTION("""COMPUTED_VALUE"""),44386.0)</f>
        <v>44386</v>
      </c>
      <c r="B487" s="1" t="str">
        <f>IFERROR(__xludf.DUMMYFUNCTION("""COMPUTED_VALUE"""),"CDC recommends that schools go back in person in the fall and releases updated guidance for COVID-19 prevention in K-12 schools.")</f>
        <v>CDC recommends that schools go back in person in the fall and releases updated guidance for COVID-19 prevention in K-12 schools.</v>
      </c>
      <c r="C487" s="1" t="str">
        <f>IFERROR(__xludf.DUMMYFUNCTION("""COMPUTED_VALUE"""),"Maximus")</f>
        <v>Maximus</v>
      </c>
      <c r="D487" s="3" t="str">
        <f>IFERROR(__xludf.DUMMYFUNCTION("""COMPUTED_VALUE"""),"https://storymaps.arcgis.com/stories/463f2d26aca94edda07753fe31f61f11")</f>
        <v>https://storymaps.arcgis.com/stories/463f2d26aca94edda07753fe31f61f11</v>
      </c>
      <c r="E487" s="1"/>
      <c r="F487" s="1"/>
      <c r="G487" s="1"/>
      <c r="H487" s="1"/>
      <c r="I487" s="1"/>
    </row>
    <row r="488">
      <c r="A488" s="2">
        <f>IFERROR(__xludf.DUMMYFUNCTION("""COMPUTED_VALUE"""),44393.0)</f>
        <v>44393</v>
      </c>
      <c r="B488" s="1" t="str">
        <f>IFERROR(__xludf.DUMMYFUNCTION("""COMPUTED_VALUE"""),"Deaths from the coronavirus in the U.S. are increasing again after weeks of decline, driven almost entirely by outbreaks in places with low vaccination rates.")</f>
        <v>Deaths from the coronavirus in the U.S. are increasing again after weeks of decline, driven almost entirely by outbreaks in places with low vaccination rates.</v>
      </c>
      <c r="C488" s="1" t="str">
        <f>IFERROR(__xludf.DUMMYFUNCTION("""COMPUTED_VALUE"""),"Maximus")</f>
        <v>Maximus</v>
      </c>
      <c r="D488" s="3" t="str">
        <f>IFERROR(__xludf.DUMMYFUNCTION("""COMPUTED_VALUE"""),"https://storymaps.arcgis.com/stories/463f2d26aca94edda07753fe31f61f11")</f>
        <v>https://storymaps.arcgis.com/stories/463f2d26aca94edda07753fe31f61f11</v>
      </c>
      <c r="E488" s="1"/>
      <c r="F488" s="1"/>
      <c r="G488" s="1"/>
      <c r="H488" s="1"/>
      <c r="I488" s="1"/>
    </row>
    <row r="489">
      <c r="A489" s="2">
        <f>IFERROR(__xludf.DUMMYFUNCTION("""COMPUTED_VALUE"""),44396.0)</f>
        <v>44396</v>
      </c>
      <c r="B489" s="1" t="str">
        <f>IFERROR(__xludf.DUMMYFUNCTION("""COMPUTED_VALUE"""),"The White House announces that over 1M COVID-19 vaccines donated from the U.S. global supply are headed to Gambia, Senegal, Zambia, and Niger, and 3M are going to 
Guatemala")</f>
        <v>The White House announces that over 1M COVID-19 vaccines donated from the U.S. global supply are headed to Gambia, Senegal, Zambia, and Niger, and 3M are going to 
Guatemala</v>
      </c>
      <c r="C489" s="1" t="str">
        <f>IFERROR(__xludf.DUMMYFUNCTION("""COMPUTED_VALUE"""),"US Department of
Defense")</f>
        <v>US Department of
Defense</v>
      </c>
      <c r="D489" s="3" t="str">
        <f>IFERROR(__xludf.DUMMYFUNCTION("""COMPUTED_VALUE"""),"https://www.defense.gov/Explore/Spotlight/Coronavirus-DOD-Response/Timeline/")</f>
        <v>https://www.defense.gov/Explore/Spotlight/Coronavirus-DOD-Response/Timeline/</v>
      </c>
      <c r="E489" s="1"/>
      <c r="F489" s="1"/>
      <c r="G489" s="1"/>
      <c r="H489" s="1"/>
      <c r="I489" s="1"/>
    </row>
    <row r="490">
      <c r="A490" s="2">
        <f>IFERROR(__xludf.DUMMYFUNCTION("""COMPUTED_VALUE"""),44397.0)</f>
        <v>44397</v>
      </c>
      <c r="B490" s="1" t="str">
        <f>IFERROR(__xludf.DUMMYFUNCTION("""COMPUTED_VALUE"""),"The first case of coronavirus Lambda variant in the U.S. is first reported in Texas.")</f>
        <v>The first case of coronavirus Lambda variant in the U.S. is first reported in Texas.</v>
      </c>
      <c r="C490" s="1" t="str">
        <f>IFERROR(__xludf.DUMMYFUNCTION("""COMPUTED_VALUE"""),"Maximus")</f>
        <v>Maximus</v>
      </c>
      <c r="D490" s="3" t="str">
        <f>IFERROR(__xludf.DUMMYFUNCTION("""COMPUTED_VALUE"""),"https://storymaps.arcgis.com/stories/463f2d26aca94edda07753fe31f61f11")</f>
        <v>https://storymaps.arcgis.com/stories/463f2d26aca94edda07753fe31f61f11</v>
      </c>
      <c r="E490" s="1"/>
      <c r="F490" s="1"/>
      <c r="G490" s="1"/>
      <c r="H490" s="1"/>
      <c r="I490" s="1"/>
    </row>
    <row r="491">
      <c r="A491" s="2">
        <f>IFERROR(__xludf.DUMMYFUNCTION("""COMPUTED_VALUE"""),44399.0)</f>
        <v>44399</v>
      </c>
      <c r="B491" s="1" t="str">
        <f>IFERROR(__xludf.DUMMYFUNCTION("""COMPUTED_VALUE"""),"HHS announces a plan to invest more than $1.6 billion to support COVID-19 testing and mitigation measures in vulnerable communities, including homeless shelters, treatment and recovery facilities, domestic violence shelters, and correctional facilities.")</f>
        <v>HHS announces a plan to invest more than $1.6 billion to support COVID-19 testing and mitigation measures in vulnerable communities, including homeless shelters, treatment and recovery facilities, domestic violence shelters, and correctional facilities.</v>
      </c>
      <c r="C491" s="1" t="str">
        <f>IFERROR(__xludf.DUMMYFUNCTION("""COMPUTED_VALUE"""),"Maximus")</f>
        <v>Maximus</v>
      </c>
      <c r="D491" s="3" t="str">
        <f>IFERROR(__xludf.DUMMYFUNCTION("""COMPUTED_VALUE"""),"https://storymaps.arcgis.com/stories/463f2d26aca94edda07753fe31f61f11")</f>
        <v>https://storymaps.arcgis.com/stories/463f2d26aca94edda07753fe31f61f11</v>
      </c>
      <c r="E491" s="1"/>
      <c r="F491" s="1"/>
      <c r="G491" s="1"/>
      <c r="H491" s="1"/>
      <c r="I491" s="1"/>
    </row>
    <row r="492">
      <c r="A492" s="2">
        <f>IFERROR(__xludf.DUMMYFUNCTION("""COMPUTED_VALUE"""),44403.0)</f>
        <v>44403</v>
      </c>
      <c r="B492" s="1" t="str">
        <f>IFERROR(__xludf.DUMMYFUNCTION("""COMPUTED_VALUE"""),"FDA urges Pfizer and Moderna to expand their vaccine trials for children ages 5-11.")</f>
        <v>FDA urges Pfizer and Moderna to expand their vaccine trials for children ages 5-11.</v>
      </c>
      <c r="C492" s="1" t="str">
        <f>IFERROR(__xludf.DUMMYFUNCTION("""COMPUTED_VALUE"""),"Maximus")</f>
        <v>Maximus</v>
      </c>
      <c r="D492" s="3" t="str">
        <f>IFERROR(__xludf.DUMMYFUNCTION("""COMPUTED_VALUE"""),"https://storymaps.arcgis.com/stories/463f2d26aca94edda07753fe31f61f11")</f>
        <v>https://storymaps.arcgis.com/stories/463f2d26aca94edda07753fe31f61f11</v>
      </c>
      <c r="E492" s="1"/>
      <c r="F492" s="1"/>
      <c r="G492" s="1"/>
      <c r="H492" s="1"/>
      <c r="I492" s="1"/>
    </row>
    <row r="493">
      <c r="A493" s="2">
        <f>IFERROR(__xludf.DUMMYFUNCTION("""COMPUTED_VALUE"""),44404.0)</f>
        <v>44404</v>
      </c>
      <c r="B493" s="1" t="str">
        <f>IFERROR(__xludf.DUMMYFUNCTION("""COMPUTED_VALUE"""),"Centers for Disease Control and Prevention updates its guidance and recommends that 
people in substantial or high COVID-19 transmission areas wear a mask indoors to 
maximize protection from the Delta variant and prevent possibly spreading it to others.")</f>
        <v>Centers for Disease Control and Prevention updates its guidance and recommends that 
people in substantial or high COVID-19 transmission areas wear a mask indoors to 
maximize protection from the Delta variant and prevent possibly spreading it to others.</v>
      </c>
      <c r="C493" s="1" t="str">
        <f>IFERROR(__xludf.DUMMYFUNCTION("""COMPUTED_VALUE"""),"US Department of
Defense")</f>
        <v>US Department of
Defense</v>
      </c>
      <c r="D493" s="3" t="str">
        <f>IFERROR(__xludf.DUMMYFUNCTION("""COMPUTED_VALUE"""),"https://www.defense.gov/Explore/Spotlight/Coronavirus-DOD-Response/Timeline/")</f>
        <v>https://www.defense.gov/Explore/Spotlight/Coronavirus-DOD-Response/Timeline/</v>
      </c>
      <c r="E493" s="1"/>
      <c r="F493" s="1"/>
      <c r="G493" s="1"/>
      <c r="H493" s="1"/>
      <c r="I493" s="1"/>
    </row>
    <row r="494">
      <c r="A494" s="2">
        <f>IFERROR(__xludf.DUMMYFUNCTION("""COMPUTED_VALUE"""),44405.0)</f>
        <v>44405</v>
      </c>
      <c r="B494" s="1" t="str">
        <f>IFERROR(__xludf.DUMMYFUNCTION("""COMPUTED_VALUE"""),"Data suggests that the efficacy of the Pfizer/BioNTech COVID vaccine dropped from 96% to 84% over six months. The vaccine’s overall efficacy rate is at 91%.")</f>
        <v>Data suggests that the efficacy of the Pfizer/BioNTech COVID vaccine dropped from 96% to 84% over six months. The vaccine’s overall efficacy rate is at 91%.</v>
      </c>
      <c r="C494" s="1" t="str">
        <f>IFERROR(__xludf.DUMMYFUNCTION("""COMPUTED_VALUE"""),"Maximus")</f>
        <v>Maximus</v>
      </c>
      <c r="D494" s="3" t="str">
        <f>IFERROR(__xludf.DUMMYFUNCTION("""COMPUTED_VALUE"""),"https://storymaps.arcgis.com/stories/463f2d26aca94edda07753fe31f61f11")</f>
        <v>https://storymaps.arcgis.com/stories/463f2d26aca94edda07753fe31f61f11</v>
      </c>
      <c r="E494" s="1"/>
      <c r="F494" s="1"/>
      <c r="G494" s="1"/>
      <c r="H494" s="1"/>
      <c r="I494" s="1"/>
    </row>
    <row r="495">
      <c r="A495" s="2">
        <f>IFERROR(__xludf.DUMMYFUNCTION("""COMPUTED_VALUE"""),44406.0)</f>
        <v>44406</v>
      </c>
      <c r="B495" s="1" t="str">
        <f>IFERROR(__xludf.DUMMYFUNCTION("""COMPUTED_VALUE"""),"President Biden announces that all federal employees and contractors are required to be vaccinated against COVID-19.")</f>
        <v>President Biden announces that all federal employees and contractors are required to be vaccinated against COVID-19.</v>
      </c>
      <c r="C495" s="1" t="str">
        <f>IFERROR(__xludf.DUMMYFUNCTION("""COMPUTED_VALUE"""),"Maximus")</f>
        <v>Maximus</v>
      </c>
      <c r="D495" s="3" t="str">
        <f>IFERROR(__xludf.DUMMYFUNCTION("""COMPUTED_VALUE"""),"https://storymaps.arcgis.com/stories/463f2d26aca94edda07753fe31f61f11")</f>
        <v>https://storymaps.arcgis.com/stories/463f2d26aca94edda07753fe31f61f11</v>
      </c>
      <c r="E495" s="1"/>
      <c r="F495" s="1"/>
      <c r="G495" s="1"/>
      <c r="H495" s="1"/>
      <c r="I495" s="1"/>
    </row>
    <row r="496">
      <c r="A496" s="2">
        <f>IFERROR(__xludf.DUMMYFUNCTION("""COMPUTED_VALUE"""),44410.0)</f>
        <v>44410</v>
      </c>
      <c r="B496" s="1" t="str">
        <f>IFERROR(__xludf.DUMMYFUNCTION("""COMPUTED_VALUE"""),"The U.S. records 35 million COVID-19 cases.")</f>
        <v>The U.S. records 35 million COVID-19 cases.</v>
      </c>
      <c r="C496" s="1" t="str">
        <f>IFERROR(__xludf.DUMMYFUNCTION("""COMPUTED_VALUE"""),"Maximus")</f>
        <v>Maximus</v>
      </c>
      <c r="D496" s="3" t="str">
        <f>IFERROR(__xludf.DUMMYFUNCTION("""COMPUTED_VALUE"""),"https://storymaps.arcgis.com/stories/463f2d26aca94edda07753fe31f61f11")</f>
        <v>https://storymaps.arcgis.com/stories/463f2d26aca94edda07753fe31f61f11</v>
      </c>
      <c r="E496" s="1"/>
      <c r="F496" s="1"/>
      <c r="G496" s="1"/>
      <c r="H496" s="1"/>
      <c r="I496" s="1"/>
    </row>
    <row r="497">
      <c r="A497" s="2">
        <f>IFERROR(__xludf.DUMMYFUNCTION("""COMPUTED_VALUE"""),44410.0)</f>
        <v>44410</v>
      </c>
      <c r="B497" s="1" t="str">
        <f>IFERROR(__xludf.DUMMYFUNCTION("""COMPUTED_VALUE"""),"The U.S. reaches 70% COVID-19 vaccine milestone for adults.")</f>
        <v>The U.S. reaches 70% COVID-19 vaccine milestone for adults.</v>
      </c>
      <c r="C497" s="1" t="str">
        <f>IFERROR(__xludf.DUMMYFUNCTION("""COMPUTED_VALUE"""),"Maximus")</f>
        <v>Maximus</v>
      </c>
      <c r="D497" s="3" t="str">
        <f>IFERROR(__xludf.DUMMYFUNCTION("""COMPUTED_VALUE"""),"https://storymaps.arcgis.com/stories/463f2d26aca94edda07753fe31f61f11")</f>
        <v>https://storymaps.arcgis.com/stories/463f2d26aca94edda07753fe31f61f11</v>
      </c>
      <c r="E497" s="1"/>
      <c r="F497" s="1"/>
      <c r="G497" s="1"/>
      <c r="H497" s="1"/>
      <c r="I497" s="1"/>
    </row>
    <row r="498">
      <c r="A498" s="2">
        <f>IFERROR(__xludf.DUMMYFUNCTION("""COMPUTED_VALUE"""),44412.0)</f>
        <v>44412</v>
      </c>
      <c r="B498" s="1" t="str">
        <f>IFERROR(__xludf.DUMMYFUNCTION("""COMPUTED_VALUE"""),"Global COVID-19 related cases surpass 200M")</f>
        <v>Global COVID-19 related cases surpass 200M</v>
      </c>
      <c r="C498" s="1" t="str">
        <f>IFERROR(__xludf.DUMMYFUNCTION("""COMPUTED_VALUE"""),"US Department of
Defense")</f>
        <v>US Department of
Defense</v>
      </c>
      <c r="D498" s="3" t="str">
        <f>IFERROR(__xludf.DUMMYFUNCTION("""COMPUTED_VALUE"""),"https://www.defense.gov/Explore/Spotlight/Coronavirus-DOD-Response/Timeline/")</f>
        <v>https://www.defense.gov/Explore/Spotlight/Coronavirus-DOD-Response/Timeline/</v>
      </c>
      <c r="E498" s="1"/>
      <c r="F498" s="1"/>
      <c r="G498" s="1"/>
      <c r="H498" s="1"/>
      <c r="I498" s="1"/>
    </row>
    <row r="499">
      <c r="A499" s="2">
        <f>IFERROR(__xludf.DUMMYFUNCTION("""COMPUTED_VALUE"""),44413.0)</f>
        <v>44413</v>
      </c>
      <c r="B499" s="1" t="str">
        <f>IFERROR(__xludf.DUMMYFUNCTION("""COMPUTED_VALUE"""),"Moderna announces that its COVID-19 vaccine efficacy remains durable through six months after the second dose.")</f>
        <v>Moderna announces that its COVID-19 vaccine efficacy remains durable through six months after the second dose.</v>
      </c>
      <c r="C499" s="1" t="str">
        <f>IFERROR(__xludf.DUMMYFUNCTION("""COMPUTED_VALUE"""),"Maximus")</f>
        <v>Maximus</v>
      </c>
      <c r="D499" s="3" t="str">
        <f>IFERROR(__xludf.DUMMYFUNCTION("""COMPUTED_VALUE"""),"https://storymaps.arcgis.com/stories/463f2d26aca94edda07753fe31f61f11")</f>
        <v>https://storymaps.arcgis.com/stories/463f2d26aca94edda07753fe31f61f11</v>
      </c>
      <c r="E499" s="1"/>
      <c r="F499" s="1"/>
      <c r="G499" s="1"/>
      <c r="H499" s="1"/>
      <c r="I499" s="1"/>
    </row>
    <row r="500">
      <c r="A500" s="2">
        <f>IFERROR(__xludf.DUMMYFUNCTION("""COMPUTED_VALUE"""),44420.0)</f>
        <v>44420</v>
      </c>
      <c r="B500" s="1" t="str">
        <f>IFERROR(__xludf.DUMMYFUNCTION("""COMPUTED_VALUE"""),"Food and Drug Administration amends emergency use authorization of the Pfizer -BioNTech and Moderna COVID-19 vaccines to authorize an additional dose for certain immunocompromised individuals.")</f>
        <v>Food and Drug Administration amends emergency use authorization of the Pfizer -BioNTech and Moderna COVID-19 vaccines to authorize an additional dose for certain immunocompromised individuals.</v>
      </c>
      <c r="C500" s="1" t="str">
        <f>IFERROR(__xludf.DUMMYFUNCTION("""COMPUTED_VALUE"""),"US Department of
Defense")</f>
        <v>US Department of
Defense</v>
      </c>
      <c r="D500" s="3" t="str">
        <f>IFERROR(__xludf.DUMMYFUNCTION("""COMPUTED_VALUE"""),"https://www.defense.gov/Explore/Spotlight/Coronavirus-DOD-Response/Timeline/")</f>
        <v>https://www.defense.gov/Explore/Spotlight/Coronavirus-DOD-Response/Timeline/</v>
      </c>
      <c r="E500" s="1"/>
      <c r="F500" s="1"/>
      <c r="G500" s="1"/>
      <c r="H500" s="1"/>
      <c r="I500" s="1"/>
    </row>
    <row r="501">
      <c r="A501" s="2">
        <f>IFERROR(__xludf.DUMMYFUNCTION("""COMPUTED_VALUE"""),44421.0)</f>
        <v>44421</v>
      </c>
      <c r="B501" s="1" t="str">
        <f>IFERROR(__xludf.DUMMYFUNCTION("""COMPUTED_VALUE"""),"Centers for Disease Control and Prevention recommends that people whose immune systems are compromised moderately to severely should receive an additional dose of mRNA COVID-19 vaccine after the initial 2 doses.")</f>
        <v>Centers for Disease Control and Prevention recommends that people whose immune systems are compromised moderately to severely should receive an additional dose of mRNA COVID-19 vaccine after the initial 2 doses.</v>
      </c>
      <c r="C501" s="1" t="str">
        <f>IFERROR(__xludf.DUMMYFUNCTION("""COMPUTED_VALUE"""),"US Department of
Defense")</f>
        <v>US Department of
Defense</v>
      </c>
      <c r="D501" s="3" t="str">
        <f>IFERROR(__xludf.DUMMYFUNCTION("""COMPUTED_VALUE"""),"https://www.defense.gov/Explore/Spotlight/Coronavirus-DOD-Response/Timeline/")</f>
        <v>https://www.defense.gov/Explore/Spotlight/Coronavirus-DOD-Response/Timeline/</v>
      </c>
      <c r="E501" s="1"/>
      <c r="F501" s="1"/>
      <c r="G501" s="1"/>
      <c r="H501" s="1"/>
      <c r="I501" s="1"/>
    </row>
    <row r="502">
      <c r="A502" s="2">
        <f>IFERROR(__xludf.DUMMYFUNCTION("""COMPUTED_VALUE"""),44426.0)</f>
        <v>44426</v>
      </c>
      <c r="B502" s="1" t="str">
        <f>IFERROR(__xludf.DUMMYFUNCTION("""COMPUTED_VALUE"""),"POTUS announces new actions to protect Americans from COVID-⁠19: administrating booster shots starting the week of September 20, pending final Food and Drug Administration evaluation and recommendations from the Centers for Disease Control and Prevention;"&amp;" requiring COVID-19 vaccinations for long-term care workers who serve Medicare and Medicaid enrollees; directing the Department of Education to use all available tools to safely reopen schools; extending 100% federal reimbursement to states for eligible C"&amp;"OVID-19 emergency response costs; and extending 100% federal reimbursement to states for mobilizing National Guard personnel to support COVID-19 response efforts.")</f>
        <v>POTUS announces new actions to protect Americans from COVID-⁠19: administrating booster shots starting the week of September 20, pending final Food and Drug Administration evaluation and recommendations from the Centers for Disease Control and Prevention; requiring COVID-19 vaccinations for long-term care workers who serve Medicare and Medicaid enrollees; directing the Department of Education to use all available tools to safely reopen schools; extending 100% federal reimbursement to states for eligible COVID-19 emergency response costs; and extending 100% federal reimbursement to states for mobilizing National Guard personnel to support COVID-19 response efforts.</v>
      </c>
      <c r="C502" s="1" t="str">
        <f>IFERROR(__xludf.DUMMYFUNCTION("""COMPUTED_VALUE"""),"US Department of Defense")</f>
        <v>US Department of Defense</v>
      </c>
      <c r="D502" s="3" t="str">
        <f>IFERROR(__xludf.DUMMYFUNCTION("""COMPUTED_VALUE"""),"https://www.defense.gov/Explore/Spotlight/Coronavirus-DOD-Response/Timeline/")</f>
        <v>https://www.defense.gov/Explore/Spotlight/Coronavirus-DOD-Response/Timeline/</v>
      </c>
      <c r="E502" s="1"/>
      <c r="F502" s="1"/>
      <c r="G502" s="1"/>
      <c r="H502" s="1"/>
      <c r="I502" s="1"/>
    </row>
    <row r="503">
      <c r="A503" s="2">
        <f>IFERROR(__xludf.DUMMYFUNCTION("""COMPUTED_VALUE"""),44431.0)</f>
        <v>44431</v>
      </c>
      <c r="B503" s="1" t="str">
        <f>IFERROR(__xludf.DUMMYFUNCTION("""COMPUTED_VALUE"""),"Food and Drug Administration approves the first COVID-19 vaccine. Previously known as the Pfizer-BioNTech vaccine, it will now be marketed as Comirnaty for COVID-19 prevention in individuals 16 and older. The vaccine continues to be available under emerge"&amp;"ncy use authorization, including for individuals 12 through 15 and for a third dose in certain immunocompromised individuals.")</f>
        <v>Food and Drug Administration approves the first COVID-19 vaccine. Previously known as the Pfizer-BioNTech vaccine, it will now be marketed as Comirnaty for COVID-19 prevention in individuals 16 and older. The vaccine continues to be available under emergency use authorization, including for individuals 12 through 15 and for a third dose in certain immunocompromised individuals.</v>
      </c>
      <c r="C503" s="1" t="str">
        <f>IFERROR(__xludf.DUMMYFUNCTION("""COMPUTED_VALUE"""),"US Department of
Defense")</f>
        <v>US Department of
Defense</v>
      </c>
      <c r="D503" s="3" t="str">
        <f>IFERROR(__xludf.DUMMYFUNCTION("""COMPUTED_VALUE"""),"https://www.defense.gov/Explore/Spotlight/Coronavirus-DOD-Response/Timeline/")</f>
        <v>https://www.defense.gov/Explore/Spotlight/Coronavirus-DOD-Response/Timeline/</v>
      </c>
      <c r="E503" s="1"/>
      <c r="F503" s="1"/>
      <c r="G503" s="1"/>
      <c r="H503" s="1"/>
      <c r="I503" s="1"/>
    </row>
    <row r="504">
      <c r="A504" s="2">
        <f>IFERROR(__xludf.DUMMYFUNCTION("""COMPUTED_VALUE"""),44433.0)</f>
        <v>44433</v>
      </c>
      <c r="B504" s="1" t="str">
        <f>IFERROR(__xludf.DUMMYFUNCTION("""COMPUTED_VALUE"""),"Johnson &amp; Johnson reports data to support boosting its single-shot COVID-19 vaccine.")</f>
        <v>Johnson &amp; Johnson reports data to support boosting its single-shot COVID-19 vaccine.</v>
      </c>
      <c r="C504" s="1" t="str">
        <f>IFERROR(__xludf.DUMMYFUNCTION("""COMPUTED_VALUE"""),"Maximus")</f>
        <v>Maximus</v>
      </c>
      <c r="D504" s="3" t="str">
        <f>IFERROR(__xludf.DUMMYFUNCTION("""COMPUTED_VALUE"""),"https://storymaps.arcgis.com/stories/463f2d26aca94edda07753fe31f61f11")</f>
        <v>https://storymaps.arcgis.com/stories/463f2d26aca94edda07753fe31f61f11</v>
      </c>
      <c r="E504" s="1"/>
      <c r="F504" s="1"/>
      <c r="G504" s="1"/>
      <c r="H504" s="1"/>
      <c r="I504" s="1"/>
    </row>
    <row r="505">
      <c r="A505" s="2">
        <f>IFERROR(__xludf.DUMMYFUNCTION("""COMPUTED_VALUE"""),44439.0)</f>
        <v>44439</v>
      </c>
      <c r="B505" s="1" t="str">
        <f>IFERROR(__xludf.DUMMYFUNCTION("""COMPUTED_VALUE"""),"The CDC recommends that unvaccinated Americans should not travel for the Labor Day holiday, and all Americans should wear masks indoors.")</f>
        <v>The CDC recommends that unvaccinated Americans should not travel for the Labor Day holiday, and all Americans should wear masks indoors.</v>
      </c>
      <c r="C505" s="1" t="str">
        <f>IFERROR(__xludf.DUMMYFUNCTION("""COMPUTED_VALUE"""),"Maximus")</f>
        <v>Maximus</v>
      </c>
      <c r="D505" s="3" t="str">
        <f>IFERROR(__xludf.DUMMYFUNCTION("""COMPUTED_VALUE"""),"https://storymaps.arcgis.com/stories/463f2d26aca94edda07753fe31f61f11")</f>
        <v>https://storymaps.arcgis.com/stories/463f2d26aca94edda07753fe31f61f11</v>
      </c>
      <c r="E505" s="1"/>
      <c r="F505" s="1"/>
      <c r="G505" s="1"/>
      <c r="H505" s="1"/>
      <c r="I505" s="1"/>
    </row>
    <row r="506">
      <c r="A506" s="2">
        <f>IFERROR(__xludf.DUMMYFUNCTION("""COMPUTED_VALUE"""),44442.0)</f>
        <v>44442</v>
      </c>
      <c r="B506" s="1" t="str">
        <f>IFERROR(__xludf.DUMMYFUNCTION("""COMPUTED_VALUE"""),"The CDC reports a fivefold increase in COVID-19 hospitalization rates for children and adolescents during the summer months.")</f>
        <v>The CDC reports a fivefold increase in COVID-19 hospitalization rates for children and adolescents during the summer months.</v>
      </c>
      <c r="C506" s="1" t="str">
        <f>IFERROR(__xludf.DUMMYFUNCTION("""COMPUTED_VALUE"""),"Maximus")</f>
        <v>Maximus</v>
      </c>
      <c r="D506" s="3" t="str">
        <f>IFERROR(__xludf.DUMMYFUNCTION("""COMPUTED_VALUE"""),"https://storymaps.arcgis.com/stories/463f2d26aca94edda07753fe31f61f11")</f>
        <v>https://storymaps.arcgis.com/stories/463f2d26aca94edda07753fe31f61f11</v>
      </c>
      <c r="E506" s="1"/>
      <c r="F506" s="1"/>
      <c r="G506" s="1"/>
      <c r="H506" s="1"/>
      <c r="I506" s="1"/>
    </row>
    <row r="507">
      <c r="A507" s="2">
        <f>IFERROR(__xludf.DUMMYFUNCTION("""COMPUTED_VALUE"""),44446.0)</f>
        <v>44446</v>
      </c>
      <c r="B507" s="1" t="str">
        <f>IFERROR(__xludf.DUMMYFUNCTION("""COMPUTED_VALUE"""),"The U.S. surpasses 40 million COVID-19 cases.")</f>
        <v>The U.S. surpasses 40 million COVID-19 cases.</v>
      </c>
      <c r="C507" s="1" t="str">
        <f>IFERROR(__xludf.DUMMYFUNCTION("""COMPUTED_VALUE"""),"Maximus")</f>
        <v>Maximus</v>
      </c>
      <c r="D507" s="3" t="str">
        <f>IFERROR(__xludf.DUMMYFUNCTION("""COMPUTED_VALUE"""),"https://storymaps.arcgis.com/stories/463f2d26aca94edda07753fe31f61f11")</f>
        <v>https://storymaps.arcgis.com/stories/463f2d26aca94edda07753fe31f61f11</v>
      </c>
      <c r="E507" s="1"/>
      <c r="F507" s="1"/>
      <c r="G507" s="1"/>
      <c r="H507" s="1"/>
      <c r="I507" s="1"/>
    </row>
    <row r="508">
      <c r="A508" s="2">
        <f>IFERROR(__xludf.DUMMYFUNCTION("""COMPUTED_VALUE"""),44447.0)</f>
        <v>44447</v>
      </c>
      <c r="B508" s="1" t="str">
        <f>IFERROR(__xludf.DUMMYFUNCTION("""COMPUTED_VALUE"""),"U.S. records 650,000 COVID-19 deaths.")</f>
        <v>U.S. records 650,000 COVID-19 deaths.</v>
      </c>
      <c r="C508" s="1" t="str">
        <f>IFERROR(__xludf.DUMMYFUNCTION("""COMPUTED_VALUE"""),"Maximus")</f>
        <v>Maximus</v>
      </c>
      <c r="D508" s="3" t="str">
        <f>IFERROR(__xludf.DUMMYFUNCTION("""COMPUTED_VALUE"""),"https://storymaps.arcgis.com/stories/463f2d26aca94edda07753fe31f61f11")</f>
        <v>https://storymaps.arcgis.com/stories/463f2d26aca94edda07753fe31f61f11</v>
      </c>
      <c r="E508" s="1"/>
      <c r="F508" s="1"/>
      <c r="G508" s="1"/>
      <c r="H508" s="1"/>
      <c r="I508" s="1"/>
    </row>
    <row r="509">
      <c r="A509" s="2">
        <f>IFERROR(__xludf.DUMMYFUNCTION("""COMPUTED_VALUE"""),44448.0)</f>
        <v>44448</v>
      </c>
      <c r="B509" s="1" t="str">
        <f>IFERROR(__xludf.DUMMYFUNCTION("""COMPUTED_VALUE"""),"POTUS announces a new plan requiring more Americans to be vaccinated. Among the several actions are an Executive Order requiring COVID-19 vaccination for all federal employees, subject to such exceptions as required by law, and an Executive Order requirin"&amp;"g federal contractors to do the same.")</f>
        <v>POTUS announces a new plan requiring more Americans to be vaccinated. Among the several actions are an Executive Order requiring COVID-19 vaccination for all federal employees, subject to such exceptions as required by law, and an Executive Order requiring federal contractors to do the same.</v>
      </c>
      <c r="C509" s="1" t="str">
        <f>IFERROR(__xludf.DUMMYFUNCTION("""COMPUTED_VALUE"""),"US Department of Defense")</f>
        <v>US Department of Defense</v>
      </c>
      <c r="D509" s="3" t="str">
        <f>IFERROR(__xludf.DUMMYFUNCTION("""COMPUTED_VALUE"""),"https://www.defense.gov/Explore/Spotlight/Coronavirus-DOD-Response/Timeline/")</f>
        <v>https://www.defense.gov/Explore/Spotlight/Coronavirus-DOD-Response/Timeline/</v>
      </c>
      <c r="E509" s="1"/>
      <c r="F509" s="1"/>
      <c r="G509" s="1"/>
      <c r="H509" s="1"/>
      <c r="I509" s="1"/>
    </row>
    <row r="510">
      <c r="A510" s="2">
        <f>IFERROR(__xludf.DUMMYFUNCTION("""COMPUTED_VALUE"""),44454.0)</f>
        <v>44454</v>
      </c>
      <c r="B510" s="1" t="str">
        <f>IFERROR(__xludf.DUMMYFUNCTION("""COMPUTED_VALUE"""),"Tracking data from Johns Hopkins University reveals that 1 out of every 500 U.S. residents has died from COVID-19.")</f>
        <v>Tracking data from Johns Hopkins University reveals that 1 out of every 500 U.S. residents has died from COVID-19.</v>
      </c>
      <c r="C510" s="1" t="str">
        <f>IFERROR(__xludf.DUMMYFUNCTION("""COMPUTED_VALUE"""),"Maximus")</f>
        <v>Maximus</v>
      </c>
      <c r="D510" s="3" t="str">
        <f>IFERROR(__xludf.DUMMYFUNCTION("""COMPUTED_VALUE"""),"https://storymaps.arcgis.com/stories/463f2d26aca94edda07753fe31f61f11")</f>
        <v>https://storymaps.arcgis.com/stories/463f2d26aca94edda07753fe31f61f11</v>
      </c>
      <c r="E510" s="1"/>
      <c r="F510" s="1"/>
      <c r="G510" s="1"/>
      <c r="H510" s="1"/>
      <c r="I510" s="1"/>
    </row>
    <row r="511">
      <c r="A511" s="2">
        <f>IFERROR(__xludf.DUMMYFUNCTION("""COMPUTED_VALUE"""),44456.0)</f>
        <v>44456</v>
      </c>
      <c r="B511" s="1" t="str">
        <f>IFERROR(__xludf.DUMMYFUNCTION("""COMPUTED_VALUE"""),"The FDA advisory panel recommends COVID-19 booster dose only for Americans 65 and older and face a high risk of severe illness.")</f>
        <v>The FDA advisory panel recommends COVID-19 booster dose only for Americans 65 and older and face a high risk of severe illness.</v>
      </c>
      <c r="C511" s="1" t="str">
        <f>IFERROR(__xludf.DUMMYFUNCTION("""COMPUTED_VALUE"""),"Maximus")</f>
        <v>Maximus</v>
      </c>
      <c r="D511" s="3" t="str">
        <f>IFERROR(__xludf.DUMMYFUNCTION("""COMPUTED_VALUE"""),"https://storymaps.arcgis.com/stories/463f2d26aca94edda07753fe31f61f11")</f>
        <v>https://storymaps.arcgis.com/stories/463f2d26aca94edda07753fe31f61f11</v>
      </c>
      <c r="E511" s="1"/>
      <c r="F511" s="1"/>
      <c r="G511" s="1"/>
      <c r="H511" s="1"/>
      <c r="I511" s="1"/>
    </row>
    <row r="512">
      <c r="A512" s="2">
        <f>IFERROR(__xludf.DUMMYFUNCTION("""COMPUTED_VALUE"""),44459.0)</f>
        <v>44459</v>
      </c>
      <c r="B512" s="1" t="str">
        <f>IFERROR(__xludf.DUMMYFUNCTION("""COMPUTED_VALUE"""),"The U.S. records more than 675,000 deaths from the COVID-19 pandemic, which surpasses the 1918 flu pandemic.")</f>
        <v>The U.S. records more than 675,000 deaths from the COVID-19 pandemic, which surpasses the 1918 flu pandemic.</v>
      </c>
      <c r="C512" s="1" t="str">
        <f>IFERROR(__xludf.DUMMYFUNCTION("""COMPUTED_VALUE"""),"Maximus")</f>
        <v>Maximus</v>
      </c>
      <c r="D512" s="3" t="str">
        <f>IFERROR(__xludf.DUMMYFUNCTION("""COMPUTED_VALUE"""),"https://storymaps.arcgis.com/stories/463f2d26aca94edda07753fe31f61f11")</f>
        <v>https://storymaps.arcgis.com/stories/463f2d26aca94edda07753fe31f61f11</v>
      </c>
      <c r="E512" s="1"/>
      <c r="F512" s="1"/>
      <c r="G512" s="1"/>
      <c r="H512" s="1"/>
      <c r="I512" s="1"/>
    </row>
    <row r="513">
      <c r="A513" s="2">
        <f>IFERROR(__xludf.DUMMYFUNCTION("""COMPUTED_VALUE"""),44460.0)</f>
        <v>44460</v>
      </c>
      <c r="B513" s="1" t="str">
        <f>IFERROR(__xludf.DUMMYFUNCTION("""COMPUTED_VALUE"""),"Johnson &amp; Johnson says the COVID-19 booster shot is 94% effective when administered two months after the first dose.")</f>
        <v>Johnson &amp; Johnson says the COVID-19 booster shot is 94% effective when administered two months after the first dose.</v>
      </c>
      <c r="C513" s="1" t="str">
        <f>IFERROR(__xludf.DUMMYFUNCTION("""COMPUTED_VALUE"""),"Maximus")</f>
        <v>Maximus</v>
      </c>
      <c r="D513" s="3" t="str">
        <f>IFERROR(__xludf.DUMMYFUNCTION("""COMPUTED_VALUE"""),"https://storymaps.arcgis.com/stories/463f2d26aca94edda07753fe31f61f11")</f>
        <v>https://storymaps.arcgis.com/stories/463f2d26aca94edda07753fe31f61f11</v>
      </c>
      <c r="E513" s="1"/>
      <c r="F513" s="1"/>
      <c r="G513" s="1"/>
      <c r="H513" s="1"/>
      <c r="I513" s="1"/>
    </row>
    <row r="514">
      <c r="A514" s="2">
        <f>IFERROR(__xludf.DUMMYFUNCTION("""COMPUTED_VALUE"""),44461.0)</f>
        <v>44461</v>
      </c>
      <c r="B514" s="1" t="str">
        <f>IFERROR(__xludf.DUMMYFUNCTION("""COMPUTED_VALUE"""),"Food and Drug Administration authorizes booster dose of Pfizer-BioNTech COVID-19 vaccine for certain populations.")</f>
        <v>Food and Drug Administration authorizes booster dose of Pfizer-BioNTech COVID-19 vaccine for certain populations.</v>
      </c>
      <c r="C514" s="1" t="str">
        <f>IFERROR(__xludf.DUMMYFUNCTION("""COMPUTED_VALUE"""),"US Department of Defense")</f>
        <v>US Department of Defense</v>
      </c>
      <c r="D514" s="3" t="str">
        <f>IFERROR(__xludf.DUMMYFUNCTION("""COMPUTED_VALUE"""),"https://www.defense.gov/Explore/Spotlight/Coronavirus-DOD-Response/Timeline/")</f>
        <v>https://www.defense.gov/Explore/Spotlight/Coronavirus-DOD-Response/Timeline/</v>
      </c>
      <c r="E514" s="1"/>
      <c r="F514" s="1"/>
      <c r="G514" s="1"/>
      <c r="H514" s="1"/>
      <c r="I514" s="1"/>
    </row>
    <row r="515">
      <c r="A515" s="2">
        <f>IFERROR(__xludf.DUMMYFUNCTION("""COMPUTED_VALUE"""),44470.0)</f>
        <v>44470</v>
      </c>
      <c r="B515" s="1" t="str">
        <f>IFERROR(__xludf.DUMMYFUNCTION("""COMPUTED_VALUE"""),"Merck reports its COVID-19 antiviral drug reduces the risk of hospitalization by about 50%.")</f>
        <v>Merck reports its COVID-19 antiviral drug reduces the risk of hospitalization by about 50%.</v>
      </c>
      <c r="C515" s="1" t="str">
        <f>IFERROR(__xludf.DUMMYFUNCTION("""COMPUTED_VALUE"""),"Maximus")</f>
        <v>Maximus</v>
      </c>
      <c r="D515" s="3" t="str">
        <f>IFERROR(__xludf.DUMMYFUNCTION("""COMPUTED_VALUE"""),"https://storymaps.arcgis.com/stories/463f2d26aca94edda07753fe31f61f11")</f>
        <v>https://storymaps.arcgis.com/stories/463f2d26aca94edda07753fe31f61f11</v>
      </c>
      <c r="E515" s="1"/>
      <c r="F515" s="1"/>
      <c r="G515" s="1"/>
      <c r="H515" s="1"/>
      <c r="I515" s="1"/>
    </row>
    <row r="516">
      <c r="A516" s="2">
        <f>IFERROR(__xludf.DUMMYFUNCTION("""COMPUTED_VALUE"""),44471.0)</f>
        <v>44471</v>
      </c>
      <c r="B516" s="1" t="str">
        <f>IFERROR(__xludf.DUMMYFUNCTION("""COMPUTED_VALUE"""),"COVID-19 deaths in the U.S. eclipses 700,000.")</f>
        <v>COVID-19 deaths in the U.S. eclipses 700,000.</v>
      </c>
      <c r="C516" s="1" t="str">
        <f>IFERROR(__xludf.DUMMYFUNCTION("""COMPUTED_VALUE"""),"Maximus")</f>
        <v>Maximus</v>
      </c>
      <c r="D516" s="3" t="str">
        <f>IFERROR(__xludf.DUMMYFUNCTION("""COMPUTED_VALUE"""),"https://storymaps.arcgis.com/stories/463f2d26aca94edda07753fe31f61f11")</f>
        <v>https://storymaps.arcgis.com/stories/463f2d26aca94edda07753fe31f61f11</v>
      </c>
      <c r="E516" s="1"/>
      <c r="F516" s="1"/>
      <c r="G516" s="1"/>
      <c r="H516" s="1"/>
      <c r="I516" s="1"/>
    </row>
    <row r="517">
      <c r="A517" s="2">
        <f>IFERROR(__xludf.DUMMYFUNCTION("""COMPUTED_VALUE"""),44475.0)</f>
        <v>44475</v>
      </c>
      <c r="B517" s="1" t="str">
        <f>IFERROR(__xludf.DUMMYFUNCTION("""COMPUTED_VALUE"""),"The White House announces a $1 billion purchase of at-home rapid coronavirus tests to quadruple the number of tests available to Americans by December")</f>
        <v>The White House announces a $1 billion purchase of at-home rapid coronavirus tests to quadruple the number of tests available to Americans by December</v>
      </c>
      <c r="C517" s="1" t="str">
        <f>IFERROR(__xludf.DUMMYFUNCTION("""COMPUTED_VALUE"""),"Maximus")</f>
        <v>Maximus</v>
      </c>
      <c r="D517" s="3" t="str">
        <f>IFERROR(__xludf.DUMMYFUNCTION("""COMPUTED_VALUE"""),"https://storymaps.arcgis.com/stories/463f2d26aca94edda07753fe31f61f11")</f>
        <v>https://storymaps.arcgis.com/stories/463f2d26aca94edda07753fe31f61f11</v>
      </c>
      <c r="E517" s="1"/>
      <c r="F517" s="1"/>
      <c r="G517" s="1"/>
      <c r="H517" s="1"/>
      <c r="I517" s="1"/>
    </row>
    <row r="518">
      <c r="A518" s="2">
        <f>IFERROR(__xludf.DUMMYFUNCTION("""COMPUTED_VALUE"""),44476.0)</f>
        <v>44476</v>
      </c>
      <c r="B518" s="1" t="str">
        <f>IFERROR(__xludf.DUMMYFUNCTION("""COMPUTED_VALUE"""),"Pfizer and BioNTech seek FDA authorization of COVID-19 vaccine for children ages 5 to 11. ")</f>
        <v>Pfizer and BioNTech seek FDA authorization of COVID-19 vaccine for children ages 5 to 11. </v>
      </c>
      <c r="C518" s="1" t="str">
        <f>IFERROR(__xludf.DUMMYFUNCTION("""COMPUTED_VALUE"""),"Maximus")</f>
        <v>Maximus</v>
      </c>
      <c r="D518" s="3" t="str">
        <f>IFERROR(__xludf.DUMMYFUNCTION("""COMPUTED_VALUE"""),"https://storymaps.arcgis.com/stories/463f2d26aca94edda07753fe31f61f11")</f>
        <v>https://storymaps.arcgis.com/stories/463f2d26aca94edda07753fe31f61f11</v>
      </c>
      <c r="E518" s="1"/>
      <c r="F518" s="1"/>
      <c r="G518" s="1"/>
      <c r="H518" s="1"/>
      <c r="I518" s="1"/>
    </row>
    <row r="519">
      <c r="A519" s="2">
        <f>IFERROR(__xludf.DUMMYFUNCTION("""COMPUTED_VALUE"""),44481.0)</f>
        <v>44481</v>
      </c>
      <c r="B519" s="1" t="str">
        <f>IFERROR(__xludf.DUMMYFUNCTION("""COMPUTED_VALUE"""),"The U.S. announces it will reopen its land borders to fully vaccinated travelers starting November.")</f>
        <v>The U.S. announces it will reopen its land borders to fully vaccinated travelers starting November.</v>
      </c>
      <c r="C519" s="1" t="str">
        <f>IFERROR(__xludf.DUMMYFUNCTION("""COMPUTED_VALUE"""),"Maximus")</f>
        <v>Maximus</v>
      </c>
      <c r="D519" s="3" t="str">
        <f>IFERROR(__xludf.DUMMYFUNCTION("""COMPUTED_VALUE"""),"https://storymaps.arcgis.com/stories/463f2d26aca94edda07753fe31f61f11")</f>
        <v>https://storymaps.arcgis.com/stories/463f2d26aca94edda07753fe31f61f11</v>
      </c>
      <c r="E519" s="1"/>
      <c r="F519" s="1"/>
      <c r="G519" s="1"/>
      <c r="H519" s="1"/>
      <c r="I519" s="1"/>
    </row>
    <row r="520">
      <c r="A520" s="2">
        <f>IFERROR(__xludf.DUMMYFUNCTION("""COMPUTED_VALUE"""),44482.0)</f>
        <v>44482</v>
      </c>
      <c r="B520" s="1" t="str">
        <f>IFERROR(__xludf.DUMMYFUNCTION("""COMPUTED_VALUE"""),"The White House reports that one-third of older Americans have received COVID-19 boosters.")</f>
        <v>The White House reports that one-third of older Americans have received COVID-19 boosters.</v>
      </c>
      <c r="C520" s="1" t="str">
        <f>IFERROR(__xludf.DUMMYFUNCTION("""COMPUTED_VALUE"""),"Maximus")</f>
        <v>Maximus</v>
      </c>
      <c r="D520" s="3" t="str">
        <f>IFERROR(__xludf.DUMMYFUNCTION("""COMPUTED_VALUE"""),"https://storymaps.arcgis.com/stories/463f2d26aca94edda07753fe31f61f11")</f>
        <v>https://storymaps.arcgis.com/stories/463f2d26aca94edda07753fe31f61f11</v>
      </c>
      <c r="E520" s="1"/>
      <c r="F520" s="1"/>
      <c r="G520" s="1"/>
      <c r="H520" s="1"/>
      <c r="I520" s="1"/>
    </row>
    <row r="521">
      <c r="A521" s="2">
        <f>IFERROR(__xludf.DUMMYFUNCTION("""COMPUTED_VALUE"""),44489.0)</f>
        <v>44489</v>
      </c>
      <c r="B521" s="1" t="str">
        <f>IFERROR(__xludf.DUMMYFUNCTION("""COMPUTED_VALUE"""),"Food and Drug Administration authorizes booster dose of Moderna and Johnson and Johnson COVID-19 vaccines for eligible populations.")</f>
        <v>Food and Drug Administration authorizes booster dose of Moderna and Johnson and Johnson COVID-19 vaccines for eligible populations.</v>
      </c>
      <c r="C521" s="1" t="str">
        <f>IFERROR(__xludf.DUMMYFUNCTION("""COMPUTED_VALUE"""),"US Department of Defense")</f>
        <v>US Department of Defense</v>
      </c>
      <c r="D521" s="3" t="str">
        <f>IFERROR(__xludf.DUMMYFUNCTION("""COMPUTED_VALUE"""),"https://www.defense.gov/Explore/Spotlight/Coronavirus-DOD-Response/Timeline/")</f>
        <v>https://www.defense.gov/Explore/Spotlight/Coronavirus-DOD-Response/Timeline/</v>
      </c>
      <c r="E521" s="1"/>
      <c r="F521" s="1"/>
      <c r="G521" s="1"/>
      <c r="H521" s="1"/>
      <c r="I521" s="1"/>
    </row>
    <row r="522">
      <c r="A522" s="2">
        <f>IFERROR(__xludf.DUMMYFUNCTION("""COMPUTED_VALUE"""),44489.0)</f>
        <v>44489</v>
      </c>
      <c r="B522" s="1" t="str">
        <f>IFERROR(__xludf.DUMMYFUNCTION("""COMPUTED_VALUE"""),"POTUS announces a plan that, if a vaccine is authorized for children ages 5-11, it is quickly distributed and made conveniently and equitably available to families across the country.")</f>
        <v>POTUS announces a plan that, if a vaccine is authorized for children ages 5-11, it is quickly distributed and made conveniently and equitably available to families across the country.</v>
      </c>
      <c r="C522" s="1" t="str">
        <f>IFERROR(__xludf.DUMMYFUNCTION("""COMPUTED_VALUE"""),"US Department of Defense")</f>
        <v>US Department of Defense</v>
      </c>
      <c r="D522" s="3" t="str">
        <f>IFERROR(__xludf.DUMMYFUNCTION("""COMPUTED_VALUE"""),"https://www.defense.gov/Explore/Spotlight/Coronavirus-DOD-Response/Timeline/")</f>
        <v>https://www.defense.gov/Explore/Spotlight/Coronavirus-DOD-Response/Timeline/</v>
      </c>
      <c r="E522" s="1"/>
      <c r="F522" s="1"/>
      <c r="G522" s="1"/>
      <c r="H522" s="1"/>
      <c r="I522" s="1"/>
    </row>
    <row r="523">
      <c r="A523" s="2">
        <f>IFERROR(__xludf.DUMMYFUNCTION("""COMPUTED_VALUE"""),44491.0)</f>
        <v>44491</v>
      </c>
      <c r="B523" s="1" t="str">
        <f>IFERROR(__xludf.DUMMYFUNCTION("""COMPUTED_VALUE"""),"The FDA releases a study showing that the Pfizer vaccine is 91% effective in children ages 5 to 11.")</f>
        <v>The FDA releases a study showing that the Pfizer vaccine is 91% effective in children ages 5 to 11.</v>
      </c>
      <c r="C523" s="1" t="str">
        <f>IFERROR(__xludf.DUMMYFUNCTION("""COMPUTED_VALUE"""),"Maximus")</f>
        <v>Maximus</v>
      </c>
      <c r="D523" s="3" t="str">
        <f>IFERROR(__xludf.DUMMYFUNCTION("""COMPUTED_VALUE"""),"https://storymaps.arcgis.com/stories/463f2d26aca94edda07753fe31f61f11")</f>
        <v>https://storymaps.arcgis.com/stories/463f2d26aca94edda07753fe31f61f11</v>
      </c>
      <c r="E523" s="1"/>
      <c r="F523" s="1"/>
      <c r="G523" s="1"/>
      <c r="H523" s="1"/>
      <c r="I523" s="1"/>
    </row>
    <row r="524">
      <c r="A524" s="2">
        <f>IFERROR(__xludf.DUMMYFUNCTION("""COMPUTED_VALUE"""),44494.0)</f>
        <v>44494</v>
      </c>
      <c r="B524" s="1" t="str">
        <f>IFERROR(__xludf.DUMMYFUNCTION("""COMPUTED_VALUE"""),"POTUS announces a new international air travel policy, to take effect starting on November 8, that requires foreign national travelers to the United States to be fully vaccinated, with only limited exceptions. The updated travel guidelines also include ne"&amp;"w protocols around testing.")</f>
        <v>POTUS announces a new international air travel policy, to take effect starting on November 8, that requires foreign national travelers to the United States to be fully vaccinated, with only limited exceptions. The updated travel guidelines also include new protocols around testing.</v>
      </c>
      <c r="C524" s="1" t="str">
        <f>IFERROR(__xludf.DUMMYFUNCTION("""COMPUTED_VALUE"""),"US Department of Defense")</f>
        <v>US Department of Defense</v>
      </c>
      <c r="D524" s="3" t="str">
        <f>IFERROR(__xludf.DUMMYFUNCTION("""COMPUTED_VALUE"""),"https://www.defense.gov/Explore/Spotlight/Coronavirus-DOD-Response/Timeline/")</f>
        <v>https://www.defense.gov/Explore/Spotlight/Coronavirus-DOD-Response/Timeline/</v>
      </c>
      <c r="E524" s="1"/>
      <c r="F524" s="1"/>
      <c r="G524" s="1"/>
      <c r="H524" s="1"/>
      <c r="I524" s="1"/>
    </row>
    <row r="525">
      <c r="A525" s="2">
        <f>IFERROR(__xludf.DUMMYFUNCTION("""COMPUTED_VALUE"""),44501.0)</f>
        <v>44501</v>
      </c>
      <c r="B525" s="1" t="str">
        <f>IFERROR(__xludf.DUMMYFUNCTION("""COMPUTED_VALUE"""),"Global COVID-19 related deaths surpass 5M.")</f>
        <v>Global COVID-19 related deaths surpass 5M.</v>
      </c>
      <c r="C525" s="1" t="str">
        <f>IFERROR(__xludf.DUMMYFUNCTION("""COMPUTED_VALUE"""),"US Department of Defense")</f>
        <v>US Department of Defense</v>
      </c>
      <c r="D525" s="3" t="str">
        <f>IFERROR(__xludf.DUMMYFUNCTION("""COMPUTED_VALUE"""),"https://www.defense.gov/Explore/Spotlight/Coronavirus-DOD-Response/Timeline/")</f>
        <v>https://www.defense.gov/Explore/Spotlight/Coronavirus-DOD-Response/Timeline/</v>
      </c>
      <c r="E525" s="1"/>
      <c r="F525" s="1"/>
      <c r="G525" s="1"/>
      <c r="H525" s="1"/>
      <c r="I525" s="1"/>
    </row>
    <row r="526">
      <c r="A526" s="2">
        <f>IFERROR(__xludf.DUMMYFUNCTION("""COMPUTED_VALUE"""),44502.0)</f>
        <v>44502</v>
      </c>
      <c r="B526" s="1" t="str">
        <f>IFERROR(__xludf.DUMMYFUNCTION("""COMPUTED_VALUE"""),"Centers for Disease Control and Prevention updates its guidance and recommends that everyone ages 5 and older get a COVID-19 vaccine.")</f>
        <v>Centers for Disease Control and Prevention updates its guidance and recommends that everyone ages 5 and older get a COVID-19 vaccine.</v>
      </c>
      <c r="C526" s="1" t="str">
        <f>IFERROR(__xludf.DUMMYFUNCTION("""COMPUTED_VALUE"""),"US Department of Defense")</f>
        <v>US Department of Defense</v>
      </c>
      <c r="D526" s="3" t="str">
        <f>IFERROR(__xludf.DUMMYFUNCTION("""COMPUTED_VALUE"""),"https://www.defense.gov/Explore/Spotlight/Coronavirus-DOD-Response/Timeline/")</f>
        <v>https://www.defense.gov/Explore/Spotlight/Coronavirus-DOD-Response/Timeline/</v>
      </c>
      <c r="E526" s="1"/>
      <c r="F526" s="1"/>
      <c r="G526" s="1"/>
      <c r="H526" s="1"/>
      <c r="I526" s="1"/>
    </row>
    <row r="527">
      <c r="A527" s="2">
        <f>IFERROR(__xludf.DUMMYFUNCTION("""COMPUTED_VALUE"""),44504.0)</f>
        <v>44504</v>
      </c>
      <c r="B527" s="1" t="str">
        <f>IFERROR(__xludf.DUMMYFUNCTION("""COMPUTED_VALUE"""),"The Occupational Safety and Health Administration (OSHA) issues a vaccination rule outlining COVID-19 vaccination requirements for employers with 100 or more employees.")</f>
        <v>The Occupational Safety and Health Administration (OSHA) issues a vaccination rule outlining COVID-19 vaccination requirements for employers with 100 or more employees.</v>
      </c>
      <c r="C527" s="1" t="str">
        <f>IFERROR(__xludf.DUMMYFUNCTION("""COMPUTED_VALUE"""),"Maximus")</f>
        <v>Maximus</v>
      </c>
      <c r="D527" s="3" t="str">
        <f>IFERROR(__xludf.DUMMYFUNCTION("""COMPUTED_VALUE"""),"https://storymaps.arcgis.com/stories/463f2d26aca94edda07753fe31f61f11")</f>
        <v>https://storymaps.arcgis.com/stories/463f2d26aca94edda07753fe31f61f11</v>
      </c>
      <c r="E527" s="1"/>
      <c r="F527" s="1"/>
      <c r="G527" s="1"/>
      <c r="H527" s="1"/>
      <c r="I527" s="1"/>
    </row>
    <row r="528">
      <c r="A528" s="2">
        <f>IFERROR(__xludf.DUMMYFUNCTION("""COMPUTED_VALUE"""),44505.0)</f>
        <v>44505</v>
      </c>
      <c r="B528" s="1" t="str">
        <f>IFERROR(__xludf.DUMMYFUNCTION("""COMPUTED_VALUE"""),"Pfizer announces its experimental COVID-19 antiviral pill reduced the risk of hospitalization or death by 89%.")</f>
        <v>Pfizer announces its experimental COVID-19 antiviral pill reduced the risk of hospitalization or death by 89%.</v>
      </c>
      <c r="C528" s="1" t="str">
        <f>IFERROR(__xludf.DUMMYFUNCTION("""COMPUTED_VALUE"""),"Maximus")</f>
        <v>Maximus</v>
      </c>
      <c r="D528" s="3" t="str">
        <f>IFERROR(__xludf.DUMMYFUNCTION("""COMPUTED_VALUE"""),"https://storymaps.arcgis.com/stories/463f2d26aca94edda07753fe31f61f11")</f>
        <v>https://storymaps.arcgis.com/stories/463f2d26aca94edda07753fe31f61f11</v>
      </c>
      <c r="E528" s="1"/>
      <c r="F528" s="1"/>
      <c r="G528" s="1"/>
      <c r="H528" s="1"/>
      <c r="I528" s="1"/>
    </row>
    <row r="529">
      <c r="A529" s="2">
        <f>IFERROR(__xludf.DUMMYFUNCTION("""COMPUTED_VALUE"""),44508.0)</f>
        <v>44508</v>
      </c>
      <c r="B529" s="1" t="str">
        <f>IFERROR(__xludf.DUMMYFUNCTION("""COMPUTED_VALUE"""),"The U.S. lifts most COVD-related restrictions on non-essential travelers from abroad")</f>
        <v>The U.S. lifts most COVD-related restrictions on non-essential travelers from abroad</v>
      </c>
      <c r="C529" s="1" t="str">
        <f>IFERROR(__xludf.DUMMYFUNCTION("""COMPUTED_VALUE"""),"Maximus")</f>
        <v>Maximus</v>
      </c>
      <c r="D529" s="3" t="str">
        <f>IFERROR(__xludf.DUMMYFUNCTION("""COMPUTED_VALUE"""),"https://storymaps.arcgis.com/stories/463f2d26aca94edda07753fe31f61f11")</f>
        <v>https://storymaps.arcgis.com/stories/463f2d26aca94edda07753fe31f61f11</v>
      </c>
      <c r="E529" s="1"/>
      <c r="F529" s="1"/>
      <c r="G529" s="1"/>
      <c r="H529" s="1"/>
      <c r="I529" s="1"/>
    </row>
    <row r="530">
      <c r="A530" s="2">
        <f>IFERROR(__xludf.DUMMYFUNCTION("""COMPUTED_VALUE"""),44519.0)</f>
        <v>44519</v>
      </c>
      <c r="B530" s="1" t="str">
        <f>IFERROR(__xludf.DUMMYFUNCTION("""COMPUTED_VALUE"""),"Centers for Disease Control and Prevention updates its guidance and indicates that everyone 18 years and older may get a COVID-19 booster.")</f>
        <v>Centers for Disease Control and Prevention updates its guidance and indicates that everyone 18 years and older may get a COVID-19 booster.</v>
      </c>
      <c r="C530" s="1" t="str">
        <f>IFERROR(__xludf.DUMMYFUNCTION("""COMPUTED_VALUE"""),"US Department of Defense")</f>
        <v>US Department of Defense</v>
      </c>
      <c r="D530" s="3" t="str">
        <f>IFERROR(__xludf.DUMMYFUNCTION("""COMPUTED_VALUE"""),"https://www.defense.gov/Explore/Spotlight/Coronavirus-DOD-Response/Timeline/")</f>
        <v>https://www.defense.gov/Explore/Spotlight/Coronavirus-DOD-Response/Timeline/</v>
      </c>
      <c r="E530" s="1"/>
      <c r="F530" s="1"/>
      <c r="G530" s="1"/>
      <c r="H530" s="1"/>
      <c r="I530" s="1"/>
    </row>
    <row r="531">
      <c r="A531" s="2">
        <f>IFERROR(__xludf.DUMMYFUNCTION("""COMPUTED_VALUE"""),44520.0)</f>
        <v>44520</v>
      </c>
      <c r="B531" s="1" t="str">
        <f>IFERROR(__xludf.DUMMYFUNCTION("""COMPUTED_VALUE"""),"The U.S. records a total of 385,348 COVID-19 deaths in 2021, surpassing the total deaths recorded last year.")</f>
        <v>The U.S. records a total of 385,348 COVID-19 deaths in 2021, surpassing the total deaths recorded last year.</v>
      </c>
      <c r="C531" s="1" t="str">
        <f>IFERROR(__xludf.DUMMYFUNCTION("""COMPUTED_VALUE"""),"Maximus")</f>
        <v>Maximus</v>
      </c>
      <c r="D531" s="3" t="str">
        <f>IFERROR(__xludf.DUMMYFUNCTION("""COMPUTED_VALUE"""),"https://storymaps.arcgis.com/stories/463f2d26aca94edda07753fe31f61f11")</f>
        <v>https://storymaps.arcgis.com/stories/463f2d26aca94edda07753fe31f61f11</v>
      </c>
      <c r="E531" s="1"/>
      <c r="F531" s="1"/>
      <c r="G531" s="1"/>
      <c r="H531" s="1"/>
      <c r="I531" s="1"/>
    </row>
    <row r="532">
      <c r="A532" s="2">
        <f>IFERROR(__xludf.DUMMYFUNCTION("""COMPUTED_VALUE"""),44529.0)</f>
        <v>44529</v>
      </c>
      <c r="B532" s="1" t="str">
        <f>IFERROR(__xludf.DUMMYFUNCTION("""COMPUTED_VALUE"""),"Effective today, entry into the United States of non-U.S. noncitizens who were physically present from eight countries in southern Africa is suspended as a precautionary measure based on the Omicron COVID-19 variant.")</f>
        <v>Effective today, entry into the United States of non-U.S. noncitizens who were physically present from eight countries in southern Africa is suspended as a precautionary measure based on the Omicron COVID-19 variant.</v>
      </c>
      <c r="C532" s="1" t="str">
        <f>IFERROR(__xludf.DUMMYFUNCTION("""COMPUTED_VALUE"""),"US Department of Defense")</f>
        <v>US Department of Defense</v>
      </c>
      <c r="D532" s="3" t="str">
        <f>IFERROR(__xludf.DUMMYFUNCTION("""COMPUTED_VALUE"""),"https://www.defense.gov/Explore/Spotlight/Coronavirus-DOD-Response/Timeline/")</f>
        <v>https://www.defense.gov/Explore/Spotlight/Coronavirus-DOD-Response/Timeline/</v>
      </c>
      <c r="E532" s="1"/>
      <c r="F532" s="1"/>
      <c r="G532" s="1"/>
      <c r="H532" s="1"/>
      <c r="I532" s="1"/>
    </row>
    <row r="533">
      <c r="A533" s="2">
        <f>IFERROR(__xludf.DUMMYFUNCTION("""COMPUTED_VALUE"""),44531.0)</f>
        <v>44531</v>
      </c>
      <c r="B533" s="1" t="str">
        <f>IFERROR(__xludf.DUMMYFUNCTION("""COMPUTED_VALUE"""),"The US detects its first confirmed case of the Omicron variant in California.")</f>
        <v>The US detects its first confirmed case of the Omicron variant in California.</v>
      </c>
      <c r="C533" s="1" t="str">
        <f>IFERROR(__xludf.DUMMYFUNCTION("""COMPUTED_VALUE"""),"Maximus")</f>
        <v>Maximus</v>
      </c>
      <c r="D533" s="3" t="str">
        <f>IFERROR(__xludf.DUMMYFUNCTION("""COMPUTED_VALUE"""),"https://storymaps.arcgis.com/stories/463f2d26aca94edda07753fe31f61f11")</f>
        <v>https://storymaps.arcgis.com/stories/463f2d26aca94edda07753fe31f61f11</v>
      </c>
      <c r="E533" s="1"/>
      <c r="F533" s="1"/>
      <c r="G533" s="1"/>
      <c r="H533" s="1"/>
      <c r="I533" s="1"/>
    </row>
    <row r="534">
      <c r="A534" s="2">
        <f>IFERROR(__xludf.DUMMYFUNCTION("""COMPUTED_VALUE"""),44532.0)</f>
        <v>44532</v>
      </c>
      <c r="B534" s="1" t="str">
        <f>IFERROR(__xludf.DUMMYFUNCTION("""COMPUTED_VALUE"""),"POTUS announces a plan to battle COVID-19 this winter with five key actions: expanding the nationwide booster campaign, launching new family vaccination clinics, making free at-home tests more available, increasing surge response teams, and accelerating e"&amp;"fforts to vaccinate the rest of the world and strengthen rules for international travelers coming to the United States.")</f>
        <v>POTUS announces a plan to battle COVID-19 this winter with five key actions: expanding the nationwide booster campaign, launching new family vaccination clinics, making free at-home tests more available, increasing surge response teams, and accelerating efforts to vaccinate the rest of the world and strengthen rules for international travelers coming to the United States.</v>
      </c>
      <c r="C534" s="1" t="str">
        <f>IFERROR(__xludf.DUMMYFUNCTION("""COMPUTED_VALUE"""),"US Department of Defense")</f>
        <v>US Department of Defense</v>
      </c>
      <c r="D534" s="3" t="str">
        <f>IFERROR(__xludf.DUMMYFUNCTION("""COMPUTED_VALUE"""),"https://www.defense.gov/Explore/Spotlight/Coronavirus-DOD-Response/Timeline/")</f>
        <v>https://www.defense.gov/Explore/Spotlight/Coronavirus-DOD-Response/Timeline/</v>
      </c>
      <c r="E534" s="1"/>
      <c r="F534" s="1"/>
      <c r="G534" s="1"/>
      <c r="H534" s="1"/>
      <c r="I534" s="1"/>
    </row>
    <row r="535">
      <c r="A535" s="2">
        <f>IFERROR(__xludf.DUMMYFUNCTION("""COMPUTED_VALUE"""),44538.0)</f>
        <v>44538</v>
      </c>
      <c r="B535" s="1" t="str">
        <f>IFERROR(__xludf.DUMMYFUNCTION("""COMPUTED_VALUE"""),"Pfizer announces that its COVID-19 booster shot provides significant protection against the omicron variant.")</f>
        <v>Pfizer announces that its COVID-19 booster shot provides significant protection against the omicron variant.</v>
      </c>
      <c r="C535" s="1" t="str">
        <f>IFERROR(__xludf.DUMMYFUNCTION("""COMPUTED_VALUE"""),"Maximus")</f>
        <v>Maximus</v>
      </c>
      <c r="D535" s="3" t="str">
        <f>IFERROR(__xludf.DUMMYFUNCTION("""COMPUTED_VALUE"""),"https://storymaps.arcgis.com/stories/463f2d26aca94edda07753fe31f61f11")</f>
        <v>https://storymaps.arcgis.com/stories/463f2d26aca94edda07753fe31f61f11</v>
      </c>
      <c r="E535" s="1"/>
      <c r="F535" s="1"/>
      <c r="G535" s="1"/>
      <c r="H535" s="1"/>
      <c r="I535" s="1"/>
    </row>
    <row r="536">
      <c r="A536" s="2">
        <f>IFERROR(__xludf.DUMMYFUNCTION("""COMPUTED_VALUE"""),44539.0)</f>
        <v>44539</v>
      </c>
      <c r="B536" s="1" t="str">
        <f>IFERROR(__xludf.DUMMYFUNCTION("""COMPUTED_VALUE"""),"Food and Drug Administration expands eligibility for Pfizer-BioTech COVID-19 boosters to 16- and 17- year olds.")</f>
        <v>Food and Drug Administration expands eligibility for Pfizer-BioTech COVID-19 boosters to 16- and 17- year olds.</v>
      </c>
      <c r="C536" s="1" t="str">
        <f>IFERROR(__xludf.DUMMYFUNCTION("""COMPUTED_VALUE"""),"US Department of Defense")</f>
        <v>US Department of Defense</v>
      </c>
      <c r="D536" s="3" t="str">
        <f>IFERROR(__xludf.DUMMYFUNCTION("""COMPUTED_VALUE"""),"https://www.defense.gov/Explore/Spotlight/Coronavirus-DOD-Response/Timeline/")</f>
        <v>https://www.defense.gov/Explore/Spotlight/Coronavirus-DOD-Response/Timeline/</v>
      </c>
      <c r="E536" s="1"/>
      <c r="F536" s="1"/>
      <c r="G536" s="1"/>
      <c r="H536" s="1"/>
      <c r="I536" s="1"/>
    </row>
    <row r="537">
      <c r="A537" s="2">
        <f>IFERROR(__xludf.DUMMYFUNCTION("""COMPUTED_VALUE"""),44540.0)</f>
        <v>44540</v>
      </c>
      <c r="B537" s="1" t="str">
        <f>IFERROR(__xludf.DUMMYFUNCTION("""COMPUTED_VALUE"""),"The CDC reports that the first few cases of omicron COVID cases in the U.S. have been mostly mild.")</f>
        <v>The CDC reports that the first few cases of omicron COVID cases in the U.S. have been mostly mild.</v>
      </c>
      <c r="C537" s="1" t="str">
        <f>IFERROR(__xludf.DUMMYFUNCTION("""COMPUTED_VALUE"""),"Maximus")</f>
        <v>Maximus</v>
      </c>
      <c r="D537" s="3" t="str">
        <f>IFERROR(__xludf.DUMMYFUNCTION("""COMPUTED_VALUE"""),"https://storymaps.arcgis.com/stories/463f2d26aca94edda07753fe31f61f11")</f>
        <v>https://storymaps.arcgis.com/stories/463f2d26aca94edda07753fe31f61f11</v>
      </c>
      <c r="E537" s="1"/>
      <c r="F537" s="1"/>
      <c r="G537" s="1"/>
      <c r="H537" s="1"/>
      <c r="I537" s="1"/>
    </row>
    <row r="538">
      <c r="A538" s="2">
        <f>IFERROR(__xludf.DUMMYFUNCTION("""COMPUTED_VALUE"""),44543.0)</f>
        <v>44543</v>
      </c>
      <c r="B538" s="1" t="str">
        <f>IFERROR(__xludf.DUMMYFUNCTION("""COMPUTED_VALUE"""),"The U.S. surpasses 800,000 COVID-19 deaths.")</f>
        <v>The U.S. surpasses 800,000 COVID-19 deaths.</v>
      </c>
      <c r="C538" s="1" t="str">
        <f>IFERROR(__xludf.DUMMYFUNCTION("""COMPUTED_VALUE"""),"Maximus")</f>
        <v>Maximus</v>
      </c>
      <c r="D538" s="3" t="str">
        <f>IFERROR(__xludf.DUMMYFUNCTION("""COMPUTED_VALUE"""),"https://storymaps.arcgis.com/stories/463f2d26aca94edda07753fe31f61f11")</f>
        <v>https://storymaps.arcgis.com/stories/463f2d26aca94edda07753fe31f61f11</v>
      </c>
      <c r="E538" s="1"/>
      <c r="F538" s="1"/>
      <c r="G538" s="1"/>
      <c r="H538" s="1"/>
      <c r="I538" s="1"/>
    </row>
    <row r="539">
      <c r="A539" s="2">
        <f>IFERROR(__xludf.DUMMYFUNCTION("""COMPUTED_VALUE"""),44544.0)</f>
        <v>44544</v>
      </c>
      <c r="B539" s="1" t="str">
        <f>IFERROR(__xludf.DUMMYFUNCTION("""COMPUTED_VALUE"""),"Pfizer announces its antiviral drug Paxlovid sharply reduces severe COVID-19 illnesses and works against the omicron variant.")</f>
        <v>Pfizer announces its antiviral drug Paxlovid sharply reduces severe COVID-19 illnesses and works against the omicron variant.</v>
      </c>
      <c r="C539" s="1" t="str">
        <f>IFERROR(__xludf.DUMMYFUNCTION("""COMPUTED_VALUE"""),"Maximus")</f>
        <v>Maximus</v>
      </c>
      <c r="D539" s="3" t="str">
        <f>IFERROR(__xludf.DUMMYFUNCTION("""COMPUTED_VALUE"""),"https://storymaps.arcgis.com/stories/463f2d26aca94edda07753fe31f61f11")</f>
        <v>https://storymaps.arcgis.com/stories/463f2d26aca94edda07753fe31f61f11</v>
      </c>
      <c r="E539" s="1"/>
      <c r="F539" s="1"/>
      <c r="G539" s="1"/>
      <c r="H539" s="1"/>
      <c r="I539" s="1"/>
    </row>
    <row r="540">
      <c r="A540" s="2">
        <f>IFERROR(__xludf.DUMMYFUNCTION("""COMPUTED_VALUE"""),44544.0)</f>
        <v>44544</v>
      </c>
      <c r="B540" s="1" t="str">
        <f>IFERROR(__xludf.DUMMYFUNCTION("""COMPUTED_VALUE"""),"The CDC says that the omicron variant now accounts for 3% of new COVID-19 cases in the U.S., rising from less than 0.1% in early December.")</f>
        <v>The CDC says that the omicron variant now accounts for 3% of new COVID-19 cases in the U.S., rising from less than 0.1% in early December.</v>
      </c>
      <c r="C540" s="1" t="str">
        <f>IFERROR(__xludf.DUMMYFUNCTION("""COMPUTED_VALUE"""),"Maximus")</f>
        <v>Maximus</v>
      </c>
      <c r="D540" s="3" t="str">
        <f>IFERROR(__xludf.DUMMYFUNCTION("""COMPUTED_VALUE"""),"https://storymaps.arcgis.com/stories/463f2d26aca94edda07753fe31f61f11")</f>
        <v>https://storymaps.arcgis.com/stories/463f2d26aca94edda07753fe31f61f11</v>
      </c>
      <c r="E540" s="1"/>
      <c r="F540" s="1"/>
      <c r="G540" s="1"/>
      <c r="H540" s="1"/>
      <c r="I540" s="1"/>
    </row>
    <row r="541">
      <c r="A541" s="2">
        <f>IFERROR(__xludf.DUMMYFUNCTION("""COMPUTED_VALUE"""),44546.0)</f>
        <v>44546</v>
      </c>
      <c r="B541" s="1" t="str">
        <f>IFERROR(__xludf.DUMMYFUNCTION("""COMPUTED_VALUE"""),"The CDC advisers discourage Johnson &amp; Johnson vaccine due to its rare blood clotting risk.")</f>
        <v>The CDC advisers discourage Johnson &amp; Johnson vaccine due to its rare blood clotting risk.</v>
      </c>
      <c r="C541" s="1" t="str">
        <f>IFERROR(__xludf.DUMMYFUNCTION("""COMPUTED_VALUE"""),"Maximus")</f>
        <v>Maximus</v>
      </c>
      <c r="D541" s="3" t="str">
        <f>IFERROR(__xludf.DUMMYFUNCTION("""COMPUTED_VALUE"""),"https://storymaps.arcgis.com/stories/463f2d26aca94edda07753fe31f61f11")</f>
        <v>https://storymaps.arcgis.com/stories/463f2d26aca94edda07753fe31f61f11</v>
      </c>
      <c r="E541" s="1"/>
      <c r="F541" s="1"/>
      <c r="G541" s="1"/>
      <c r="H541" s="1"/>
      <c r="I541" s="1"/>
    </row>
    <row r="542">
      <c r="A542" s="2">
        <f>IFERROR(__xludf.DUMMYFUNCTION("""COMPUTED_VALUE"""),44551.0)</f>
        <v>44551</v>
      </c>
      <c r="B542" s="1" t="str">
        <f>IFERROR(__xludf.DUMMYFUNCTION("""COMPUTED_VALUE"""),"POTUS announces actions to battle the Omicron COVID-19 variant: increasing support for hospitals, offering robust access to free testing, and expanding capacity to get shots in arms.")</f>
        <v>POTUS announces actions to battle the Omicron COVID-19 variant: increasing support for hospitals, offering robust access to free testing, and expanding capacity to get shots in arms.</v>
      </c>
      <c r="C542" s="1" t="str">
        <f>IFERROR(__xludf.DUMMYFUNCTION("""COMPUTED_VALUE"""),"US Department of Defense")</f>
        <v>US Department of Defense</v>
      </c>
      <c r="D542" s="3" t="str">
        <f>IFERROR(__xludf.DUMMYFUNCTION("""COMPUTED_VALUE"""),"https://www.defense.gov/Explore/Spotlight/Coronavirus-DOD-Response/Timeline/")</f>
        <v>https://www.defense.gov/Explore/Spotlight/Coronavirus-DOD-Response/Timeline/</v>
      </c>
      <c r="E542" s="1"/>
      <c r="F542" s="1"/>
      <c r="G542" s="1"/>
      <c r="H542" s="1"/>
      <c r="I542" s="1"/>
    </row>
    <row r="543">
      <c r="A543" s="2">
        <f>IFERROR(__xludf.DUMMYFUNCTION("""COMPUTED_VALUE"""),44552.0)</f>
        <v>44552</v>
      </c>
      <c r="B543" s="1" t="str">
        <f>IFERROR(__xludf.DUMMYFUNCTION("""COMPUTED_VALUE"""),"Food and Drug Administration authorizes for emergency use the first oral antiviral for treating COVID-19.")</f>
        <v>Food and Drug Administration authorizes for emergency use the first oral antiviral for treating COVID-19.</v>
      </c>
      <c r="C543" s="1" t="str">
        <f>IFERROR(__xludf.DUMMYFUNCTION("""COMPUTED_VALUE"""),"US Department of Defense")</f>
        <v>US Department of Defense</v>
      </c>
      <c r="D543" s="3" t="str">
        <f>IFERROR(__xludf.DUMMYFUNCTION("""COMPUTED_VALUE"""),"https://www.defense.gov/Explore/Spotlight/Coronavirus-DOD-Response/Timeline/")</f>
        <v>https://www.defense.gov/Explore/Spotlight/Coronavirus-DOD-Response/Timeline/</v>
      </c>
      <c r="E543" s="1"/>
      <c r="F543" s="1"/>
      <c r="G543" s="1"/>
      <c r="H543" s="1"/>
      <c r="I543" s="1"/>
    </row>
    <row r="544">
      <c r="A544" s="2">
        <f>IFERROR(__xludf.DUMMYFUNCTION("""COMPUTED_VALUE"""),44553.0)</f>
        <v>44553</v>
      </c>
      <c r="B544" s="1" t="str">
        <f>IFERROR(__xludf.DUMMYFUNCTION("""COMPUTED_VALUE"""),"Food and Drug Administration authorizes additional oral antiviral for treatment of COVID-19 in certain adults for emergency use.")</f>
        <v>Food and Drug Administration authorizes additional oral antiviral for treatment of COVID-19 in certain adults for emergency use.</v>
      </c>
      <c r="C544" s="1" t="str">
        <f>IFERROR(__xludf.DUMMYFUNCTION("""COMPUTED_VALUE"""),"US Department of Defense")</f>
        <v>US Department of Defense</v>
      </c>
      <c r="D544" s="3" t="str">
        <f>IFERROR(__xludf.DUMMYFUNCTION("""COMPUTED_VALUE"""),"https://www.defense.gov/Explore/Spotlight/Coronavirus-DOD-Response/Timeline/")</f>
        <v>https://www.defense.gov/Explore/Spotlight/Coronavirus-DOD-Response/Timeline/</v>
      </c>
      <c r="E544" s="1"/>
      <c r="F544" s="1"/>
      <c r="G544" s="1"/>
      <c r="H544" s="1"/>
      <c r="I544" s="1"/>
    </row>
    <row r="545">
      <c r="A545" s="2">
        <f>IFERROR(__xludf.DUMMYFUNCTION("""COMPUTED_VALUE"""),44557.0)</f>
        <v>44557</v>
      </c>
      <c r="B545" s="1" t="str">
        <f>IFERROR(__xludf.DUMMYFUNCTION("""COMPUTED_VALUE"""),"Centers for Disease Control and Prevention updates its guidance and shortens the recommended COVID-19 isolation and quarantine period for the general population.")</f>
        <v>Centers for Disease Control and Prevention updates its guidance and shortens the recommended COVID-19 isolation and quarantine period for the general population.</v>
      </c>
      <c r="C545" s="1" t="str">
        <f>IFERROR(__xludf.DUMMYFUNCTION("""COMPUTED_VALUE"""),"US Department of Defense")</f>
        <v>US Department of Defense</v>
      </c>
      <c r="D545" s="3" t="str">
        <f>IFERROR(__xludf.DUMMYFUNCTION("""COMPUTED_VALUE"""),"https://www.defense.gov/Explore/Spotlight/Coronavirus-DOD-Response/Timeline/")</f>
        <v>https://www.defense.gov/Explore/Spotlight/Coronavirus-DOD-Response/Timeline/</v>
      </c>
      <c r="E545" s="1"/>
      <c r="F545" s="1"/>
      <c r="G545" s="1"/>
      <c r="H545" s="1"/>
      <c r="I545" s="1"/>
    </row>
    <row r="546">
      <c r="A546" s="2">
        <f>IFERROR(__xludf.DUMMYFUNCTION("""COMPUTED_VALUE"""),44558.0)</f>
        <v>44558</v>
      </c>
      <c r="B546" s="1" t="str">
        <f>IFERROR(__xludf.DUMMYFUNCTION("""COMPUTED_VALUE"""),"The daily COVID-19 cases in the U.S. hit an all-time high.")</f>
        <v>The daily COVID-19 cases in the U.S. hit an all-time high.</v>
      </c>
      <c r="C546" s="1" t="str">
        <f>IFERROR(__xludf.DUMMYFUNCTION("""COMPUTED_VALUE"""),"Maximus")</f>
        <v>Maximus</v>
      </c>
      <c r="D546" s="3" t="str">
        <f>IFERROR(__xludf.DUMMYFUNCTION("""COMPUTED_VALUE"""),"https://storymaps.arcgis.com/stories/463f2d26aca94edda07753fe31f61f11")</f>
        <v>https://storymaps.arcgis.com/stories/463f2d26aca94edda07753fe31f61f11</v>
      </c>
      <c r="E546" s="1"/>
      <c r="F546" s="1"/>
      <c r="G546" s="1"/>
      <c r="H546" s="1"/>
      <c r="I546" s="1"/>
    </row>
    <row r="547">
      <c r="A547" s="2">
        <f>IFERROR(__xludf.DUMMYFUNCTION("""COMPUTED_VALUE"""),44560.0)</f>
        <v>44560</v>
      </c>
      <c r="B547" s="1" t="str">
        <f>IFERROR(__xludf.DUMMYFUNCTION("""COMPUTED_VALUE"""),"A study shows that the Johnson &amp; Johnson COVID-19 vaccine booster demonstrates 85% effectiveness against hospitalization caused by the omicron variant.")</f>
        <v>A study shows that the Johnson &amp; Johnson COVID-19 vaccine booster demonstrates 85% effectiveness against hospitalization caused by the omicron variant.</v>
      </c>
      <c r="C547" s="1" t="str">
        <f>IFERROR(__xludf.DUMMYFUNCTION("""COMPUTED_VALUE"""),"Maximus")</f>
        <v>Maximus</v>
      </c>
      <c r="D547" s="3" t="str">
        <f>IFERROR(__xludf.DUMMYFUNCTION("""COMPUTED_VALUE"""),"https://storymaps.arcgis.com/stories/463f2d26aca94edda07753fe31f61f11")</f>
        <v>https://storymaps.arcgis.com/stories/463f2d26aca94edda07753fe31f61f11</v>
      </c>
      <c r="E547" s="1"/>
      <c r="F547" s="1"/>
      <c r="G547" s="1"/>
      <c r="H547" s="1"/>
      <c r="I547" s="1"/>
    </row>
    <row r="548">
      <c r="A548" s="2">
        <f>IFERROR(__xludf.DUMMYFUNCTION("""COMPUTED_VALUE"""),44564.0)</f>
        <v>44564</v>
      </c>
      <c r="B548" s="1" t="str">
        <f>IFERROR(__xludf.DUMMYFUNCTION("""COMPUTED_VALUE"""),"Food and Drug Administration amends emergency use authorization for the Pfizer-BioNTech COVID-19 vaccine to expand the use of a single booster to include persons 12 through 15 years of age; shorten the time between completion of primary vaccination and bo"&amp;"oster to at least five months; and allow for a third primary series dose for certain immunocompromised children ages 5 through 11.")</f>
        <v>Food and Drug Administration amends emergency use authorization for the Pfizer-BioNTech COVID-19 vaccine to expand the use of a single booster to include persons 12 through 15 years of age; shorten the time between completion of primary vaccination and booster to at least five months; and allow for a third primary series dose for certain immunocompromised children ages 5 through 11.</v>
      </c>
      <c r="C548" s="1" t="str">
        <f>IFERROR(__xludf.DUMMYFUNCTION("""COMPUTED_VALUE"""),"US Department of Defense")</f>
        <v>US Department of Defense</v>
      </c>
      <c r="D548" s="3" t="str">
        <f>IFERROR(__xludf.DUMMYFUNCTION("""COMPUTED_VALUE"""),"https://www.defense.gov/Explore/Spotlight/Coronavirus-DOD-Response/Timeline/")</f>
        <v>https://www.defense.gov/Explore/Spotlight/Coronavirus-DOD-Response/Timeline/</v>
      </c>
      <c r="E548" s="1"/>
      <c r="F548" s="1"/>
      <c r="G548" s="1"/>
      <c r="H548" s="1"/>
      <c r="I548" s="1"/>
    </row>
    <row r="549">
      <c r="A549" s="2">
        <f>IFERROR(__xludf.DUMMYFUNCTION("""COMPUTED_VALUE"""),44564.0)</f>
        <v>44564</v>
      </c>
      <c r="B549" s="1" t="str">
        <f>IFERROR(__xludf.DUMMYFUNCTION("""COMPUTED_VALUE"""),"The U.S. reports a record single-day number of daily COVID-19 cases, with more than 1 million new infections.")</f>
        <v>The U.S. reports a record single-day number of daily COVID-19 cases, with more than 1 million new infections.</v>
      </c>
      <c r="C549" s="1" t="str">
        <f>IFERROR(__xludf.DUMMYFUNCTION("""COMPUTED_VALUE"""),"Maximus")</f>
        <v>Maximus</v>
      </c>
      <c r="D549" s="3" t="str">
        <f>IFERROR(__xludf.DUMMYFUNCTION("""COMPUTED_VALUE"""),"https://storymaps.arcgis.com/stories/463f2d26aca94edda07753fe31f61f11")</f>
        <v>https://storymaps.arcgis.com/stories/463f2d26aca94edda07753fe31f61f11</v>
      </c>
      <c r="E549" s="1"/>
      <c r="F549" s="1"/>
      <c r="G549" s="1"/>
      <c r="H549" s="1"/>
      <c r="I549" s="1"/>
    </row>
    <row r="550">
      <c r="A550" s="2">
        <f>IFERROR(__xludf.DUMMYFUNCTION("""COMPUTED_VALUE"""),44565.0)</f>
        <v>44565</v>
      </c>
      <c r="B550" s="1" t="str">
        <f>IFERROR(__xludf.DUMMYFUNCTION("""COMPUTED_VALUE"""),"Centers for Disease Control and Prevention updates its guidance and recommends a Pfizer booster at 5 months, and an additional primary dose for certain immunocompromised children.")</f>
        <v>Centers for Disease Control and Prevention updates its guidance and recommends a Pfizer booster at 5 months, and an additional primary dose for certain immunocompromised children.</v>
      </c>
      <c r="C550" s="1" t="str">
        <f>IFERROR(__xludf.DUMMYFUNCTION("""COMPUTED_VALUE"""),"US Department of Defense")</f>
        <v>US Department of Defense</v>
      </c>
      <c r="D550" s="3" t="str">
        <f>IFERROR(__xludf.DUMMYFUNCTION("""COMPUTED_VALUE"""),"https://www.defense.gov/Explore/Spotlight/Coronavirus-DOD-Response/Timeline/")</f>
        <v>https://www.defense.gov/Explore/Spotlight/Coronavirus-DOD-Response/Timeline/</v>
      </c>
      <c r="E550" s="1"/>
      <c r="F550" s="1"/>
      <c r="G550" s="1"/>
      <c r="H550" s="1"/>
      <c r="I550" s="1"/>
    </row>
    <row r="551">
      <c r="A551" s="2">
        <f>IFERROR(__xludf.DUMMYFUNCTION("""COMPUTED_VALUE"""),44566.0)</f>
        <v>44566</v>
      </c>
      <c r="B551" s="1" t="str">
        <f>IFERROR(__xludf.DUMMYFUNCTION("""COMPUTED_VALUE"""),"Centers for Disease Control and Prevention expands booster shot eligibility and strengthens recommendations for 12-17 year olds.")</f>
        <v>Centers for Disease Control and Prevention expands booster shot eligibility and strengthens recommendations for 12-17 year olds.</v>
      </c>
      <c r="C551" s="1" t="str">
        <f>IFERROR(__xludf.DUMMYFUNCTION("""COMPUTED_VALUE"""),"US Department of Defense")</f>
        <v>US Department of Defense</v>
      </c>
      <c r="D551" s="3" t="str">
        <f>IFERROR(__xludf.DUMMYFUNCTION("""COMPUTED_VALUE"""),"https://www.defense.gov/Explore/Spotlight/Coronavirus-DOD-Response/Timeline/")</f>
        <v>https://www.defense.gov/Explore/Spotlight/Coronavirus-DOD-Response/Timeline/</v>
      </c>
      <c r="E551" s="1"/>
      <c r="F551" s="1"/>
      <c r="G551" s="1"/>
      <c r="H551" s="1"/>
      <c r="I551" s="1"/>
    </row>
    <row r="552">
      <c r="A552" s="2">
        <f>IFERROR(__xludf.DUMMYFUNCTION("""COMPUTED_VALUE"""),44571.0)</f>
        <v>44571</v>
      </c>
      <c r="B552" s="1" t="str">
        <f>IFERROR(__xludf.DUMMYFUNCTION("""COMPUTED_VALUE"""),"The U.S. records more than 145,000 COVID-19 hospitalizations – the highest since the pandemic began. ")</f>
        <v>The U.S. records more than 145,000 COVID-19 hospitalizations – the highest since the pandemic began. </v>
      </c>
      <c r="C552" s="1" t="str">
        <f>IFERROR(__xludf.DUMMYFUNCTION("""COMPUTED_VALUE"""),"Maximus")</f>
        <v>Maximus</v>
      </c>
      <c r="D552" s="3" t="str">
        <f>IFERROR(__xludf.DUMMYFUNCTION("""COMPUTED_VALUE"""),"https://storymaps.arcgis.com/stories/463f2d26aca94edda07753fe31f61f11")</f>
        <v>https://storymaps.arcgis.com/stories/463f2d26aca94edda07753fe31f61f11</v>
      </c>
      <c r="E552" s="1"/>
      <c r="F552" s="1"/>
      <c r="G552" s="1"/>
      <c r="H552" s="1"/>
      <c r="I552" s="1"/>
    </row>
    <row r="553">
      <c r="A553" s="2">
        <f>IFERROR(__xludf.DUMMYFUNCTION("""COMPUTED_VALUE"""),44571.0)</f>
        <v>44571</v>
      </c>
      <c r="B553" s="1" t="str">
        <f>IFERROR(__xludf.DUMMYFUNCTION("""COMPUTED_VALUE"""),"The U.S. is now averaging more than 700,000 cases of the coronavirus every day - a record.")</f>
        <v>The U.S. is now averaging more than 700,000 cases of the coronavirus every day - a record.</v>
      </c>
      <c r="C553" s="1" t="str">
        <f>IFERROR(__xludf.DUMMYFUNCTION("""COMPUTED_VALUE"""),"NPR")</f>
        <v>NPR</v>
      </c>
      <c r="D553" s="3" t="str">
        <f>IFERROR(__xludf.DUMMYFUNCTION("""COMPUTED_VALUE"""),"https://www.npr.org/2022/01/10/1071766924/there-is-a-record-number-of-new-covid-cases-as-well-as-hospitalizations")</f>
        <v>https://www.npr.org/2022/01/10/1071766924/there-is-a-record-number-of-new-covid-cases-as-well-as-hospitalizations</v>
      </c>
      <c r="E553" s="1"/>
      <c r="F553" s="1"/>
      <c r="G553" s="1"/>
      <c r="H553" s="1"/>
      <c r="I553" s="1"/>
    </row>
    <row r="554">
      <c r="A554" s="2">
        <f>IFERROR(__xludf.DUMMYFUNCTION("""COMPUTED_VALUE"""),44571.0)</f>
        <v>44571</v>
      </c>
      <c r="B554" s="1" t="str">
        <f>IFERROR(__xludf.DUMMYFUNCTION("""COMPUTED_VALUE"""),"In the US, about 825 kids are being admitted to the hospital per day with COVID right now. This is a 40% increase compared to the prior week")</f>
        <v>In the US, about 825 kids are being admitted to the hospital per day with COVID right now. This is a 40% increase compared to the prior week</v>
      </c>
      <c r="C554" s="1" t="str">
        <f>IFERROR(__xludf.DUMMYFUNCTION("""COMPUTED_VALUE"""),"NPR")</f>
        <v>NPR</v>
      </c>
      <c r="D554" s="3" t="str">
        <f>IFERROR(__xludf.DUMMYFUNCTION("""COMPUTED_VALUE"""),"https://www.npr.org/2022/01/10/1071766924/there-is-a-record-number-of-new-covid-cases-as-well-as-hospitalizations")</f>
        <v>https://www.npr.org/2022/01/10/1071766924/there-is-a-record-number-of-new-covid-cases-as-well-as-hospitalizations</v>
      </c>
      <c r="E554" s="1"/>
      <c r="F554" s="1"/>
      <c r="G554" s="1"/>
      <c r="H554" s="1"/>
      <c r="I554" s="1"/>
    </row>
    <row r="555">
      <c r="A555" s="2">
        <f>IFERROR(__xludf.DUMMYFUNCTION("""COMPUTED_VALUE"""),44572.0)</f>
        <v>44572</v>
      </c>
      <c r="B555" s="1" t="str">
        <f>IFERROR(__xludf.DUMMYFUNCTION("""COMPUTED_VALUE"""),"The omicron-driven surge has sent COVID-19 hospitalizations skyrocketing across the U.S., reaching a new pandemic high this week with 145,982 patients hospitalized.")</f>
        <v>The omicron-driven surge has sent COVID-19 hospitalizations skyrocketing across the U.S., reaching a new pandemic high this week with 145,982 patients hospitalized.</v>
      </c>
      <c r="C555" s="1" t="str">
        <f>IFERROR(__xludf.DUMMYFUNCTION("""COMPUTED_VALUE"""),"NPR")</f>
        <v>NPR</v>
      </c>
      <c r="D555" s="3" t="str">
        <f>IFERROR(__xludf.DUMMYFUNCTION("""COMPUTED_VALUE"""),"https://www.npr.org/sections/health-shots/2022/01/11/1071568846/u-s-covid-hospitalizations-hit-new-record-high-raising-risks-for-patients")</f>
        <v>https://www.npr.org/sections/health-shots/2022/01/11/1071568846/u-s-covid-hospitalizations-hit-new-record-high-raising-risks-for-patients</v>
      </c>
      <c r="E555" s="1"/>
      <c r="F555" s="1"/>
      <c r="G555" s="1"/>
      <c r="H555" s="1"/>
      <c r="I555" s="1"/>
    </row>
    <row r="556">
      <c r="A556" s="2">
        <f>IFERROR(__xludf.DUMMYFUNCTION("""COMPUTED_VALUE"""),44572.0)</f>
        <v>44572</v>
      </c>
      <c r="B556" s="1" t="str">
        <f>IFERROR(__xludf.DUMMYFUNCTION("""COMPUTED_VALUE"""),"Patients with COVID now fill about 30% of ICU beds in the nation and pediatric COVID hospitalizations are also at the highest rate of the pandemic.")</f>
        <v>Patients with COVID now fill about 30% of ICU beds in the nation and pediatric COVID hospitalizations are also at the highest rate of the pandemic.</v>
      </c>
      <c r="C556" s="1" t="str">
        <f>IFERROR(__xludf.DUMMYFUNCTION("""COMPUTED_VALUE"""),"NPR")</f>
        <v>NPR</v>
      </c>
      <c r="D556" s="3" t="str">
        <f>IFERROR(__xludf.DUMMYFUNCTION("""COMPUTED_VALUE"""),"https://www.npr.org/sections/health-shots/2022/01/11/1071568846/u-s-covid-hospitalizations-hit-new-record-high-raising-risks-for-patients")</f>
        <v>https://www.npr.org/sections/health-shots/2022/01/11/1071568846/u-s-covid-hospitalizations-hit-new-record-high-raising-risks-for-patients</v>
      </c>
      <c r="E556" s="1"/>
      <c r="F556" s="1"/>
      <c r="G556" s="1"/>
      <c r="H556" s="1"/>
      <c r="I556" s="1"/>
    </row>
    <row r="557">
      <c r="A557" s="2">
        <f>IFERROR(__xludf.DUMMYFUNCTION("""COMPUTED_VALUE"""),44574.0)</f>
        <v>44574</v>
      </c>
      <c r="B557" s="1" t="str">
        <f>IFERROR(__xludf.DUMMYFUNCTION("""COMPUTED_VALUE"""),"SCOTUS grants POTUS’ request to uphold a COVID-19 vaccine mandate for health care workers in facilities that receive federal funding. SCOTUS puts a vaccine-or-test mandate for large businesses on hold, while litigation over it continues in the lower court"&amp;"s.")</f>
        <v>SCOTUS grants POTUS’ request to uphold a COVID-19 vaccine mandate for health care workers in facilities that receive federal funding. SCOTUS puts a vaccine-or-test mandate for large businesses on hold, while litigation over it continues in the lower courts.</v>
      </c>
      <c r="C557" s="1" t="str">
        <f>IFERROR(__xludf.DUMMYFUNCTION("""COMPUTED_VALUE"""),"US Department of Defense")</f>
        <v>US Department of Defense</v>
      </c>
      <c r="D557" s="3" t="str">
        <f>IFERROR(__xludf.DUMMYFUNCTION("""COMPUTED_VALUE"""),"https://www.defense.gov/Explore/Spotlight/Coronavirus-DOD-Response/Timeline/")</f>
        <v>https://www.defense.gov/Explore/Spotlight/Coronavirus-DOD-Response/Timeline/</v>
      </c>
      <c r="E557" s="1"/>
      <c r="F557" s="1"/>
      <c r="G557" s="1"/>
      <c r="H557" s="1"/>
      <c r="I557" s="1"/>
    </row>
    <row r="558">
      <c r="A558" s="2">
        <f>IFERROR(__xludf.DUMMYFUNCTION("""COMPUTED_VALUE"""),44574.0)</f>
        <v>44574</v>
      </c>
      <c r="B558" s="1" t="str">
        <f>IFERROR(__xludf.DUMMYFUNCTION("""COMPUTED_VALUE"""),"POTUS announces he is directing the procurement of an additional 500M COVID-19 tests for free distribution.")</f>
        <v>POTUS announces he is directing the procurement of an additional 500M COVID-19 tests for free distribution.</v>
      </c>
      <c r="C558" s="1" t="str">
        <f>IFERROR(__xludf.DUMMYFUNCTION("""COMPUTED_VALUE"""),"US Department of Defense")</f>
        <v>US Department of Defense</v>
      </c>
      <c r="D558" s="3" t="str">
        <f>IFERROR(__xludf.DUMMYFUNCTION("""COMPUTED_VALUE"""),"https://www.defense.gov/Explore/Spotlight/Coronavirus-DOD-Response/Timeline/")</f>
        <v>https://www.defense.gov/Explore/Spotlight/Coronavirus-DOD-Response/Timeline/</v>
      </c>
      <c r="E558" s="1"/>
      <c r="F558" s="1"/>
      <c r="G558" s="1"/>
      <c r="H558" s="1"/>
      <c r="I558" s="1"/>
    </row>
    <row r="559">
      <c r="A559" s="2">
        <f>IFERROR(__xludf.DUMMYFUNCTION("""COMPUTED_VALUE"""),44576.0)</f>
        <v>44576</v>
      </c>
      <c r="B559" s="1" t="str">
        <f>IFERROR(__xludf.DUMMYFUNCTION("""COMPUTED_VALUE"""),"Administration requires insurance companies and group health plans to cover the cost of over-the-counter, at-home COVID-19 tests, so people with private health coverage can get them for free starting today.")</f>
        <v>Administration requires insurance companies and group health plans to cover the cost of over-the-counter, at-home COVID-19 tests, so people with private health coverage can get them for free starting today.</v>
      </c>
      <c r="C559" s="1" t="str">
        <f>IFERROR(__xludf.DUMMYFUNCTION("""COMPUTED_VALUE"""),"US Department of Defense")</f>
        <v>US Department of Defense</v>
      </c>
      <c r="D559" s="3" t="str">
        <f>IFERROR(__xludf.DUMMYFUNCTION("""COMPUTED_VALUE"""),"https://www.defense.gov/Explore/Spotlight/Coronavirus-DOD-Response/Timeline/")</f>
        <v>https://www.defense.gov/Explore/Spotlight/Coronavirus-DOD-Response/Timeline/</v>
      </c>
      <c r="E559" s="1"/>
      <c r="F559" s="1"/>
      <c r="G559" s="1"/>
      <c r="H559" s="1"/>
      <c r="I559" s="1"/>
    </row>
    <row r="560">
      <c r="A560" s="2">
        <f>IFERROR(__xludf.DUMMYFUNCTION("""COMPUTED_VALUE"""),44580.0)</f>
        <v>44580</v>
      </c>
      <c r="B560" s="1" t="str">
        <f>IFERROR(__xludf.DUMMYFUNCTION("""COMPUTED_VALUE"""),"Administration officially launches program to mail at-home COVID-19 tests directly to American households via a new website, COVIDTests.gov; a call line will also be made available.")</f>
        <v>Administration officially launches program to mail at-home COVID-19 tests directly to American households via a new website, COVIDTests.gov; a call line will also be made available.</v>
      </c>
      <c r="C560" s="1" t="str">
        <f>IFERROR(__xludf.DUMMYFUNCTION("""COMPUTED_VALUE"""),"US Department of Defense")</f>
        <v>US Department of Defense</v>
      </c>
      <c r="D560" s="3" t="str">
        <f>IFERROR(__xludf.DUMMYFUNCTION("""COMPUTED_VALUE"""),"https://www.defense.gov/Explore/Spotlight/Coronavirus-DOD-Response/Timeline/")</f>
        <v>https://www.defense.gov/Explore/Spotlight/Coronavirus-DOD-Response/Timeline/</v>
      </c>
      <c r="E560" s="1"/>
      <c r="F560" s="1"/>
      <c r="G560" s="1"/>
      <c r="H560" s="1"/>
      <c r="I560" s="1"/>
    </row>
    <row r="561">
      <c r="A561" s="2">
        <f>IFERROR(__xludf.DUMMYFUNCTION("""COMPUTED_VALUE"""),44580.0)</f>
        <v>44580</v>
      </c>
      <c r="B561" s="1" t="str">
        <f>IFERROR(__xludf.DUMMYFUNCTION("""COMPUTED_VALUE"""),"President Biden announces a plan to give out 400 million free N95 masks.")</f>
        <v>President Biden announces a plan to give out 400 million free N95 masks.</v>
      </c>
      <c r="C561" s="1" t="str">
        <f>IFERROR(__xludf.DUMMYFUNCTION("""COMPUTED_VALUE"""),"Maximus")</f>
        <v>Maximus</v>
      </c>
      <c r="D561" s="3" t="str">
        <f>IFERROR(__xludf.DUMMYFUNCTION("""COMPUTED_VALUE"""),"https://storymaps.arcgis.com/stories/463f2d26aca94edda07753fe31f61f11")</f>
        <v>https://storymaps.arcgis.com/stories/463f2d26aca94edda07753fe31f61f11</v>
      </c>
      <c r="E561" s="1"/>
      <c r="F561" s="1"/>
      <c r="G561" s="1"/>
      <c r="H561" s="1"/>
      <c r="I561" s="1"/>
    </row>
    <row r="562">
      <c r="A562" s="2">
        <f>IFERROR(__xludf.DUMMYFUNCTION("""COMPUTED_VALUE"""),44585.0)</f>
        <v>44585</v>
      </c>
      <c r="B562" s="1" t="str">
        <f>IFERROR(__xludf.DUMMYFUNCTION("""COMPUTED_VALUE"""),"The FDA limits the use of two COVID-19 antibody treatments due to the omicron variant.")</f>
        <v>The FDA limits the use of two COVID-19 antibody treatments due to the omicron variant.</v>
      </c>
      <c r="C562" s="1" t="str">
        <f>IFERROR(__xludf.DUMMYFUNCTION("""COMPUTED_VALUE"""),"Maximus")</f>
        <v>Maximus</v>
      </c>
      <c r="D562" s="3" t="str">
        <f>IFERROR(__xludf.DUMMYFUNCTION("""COMPUTED_VALUE"""),"https://storymaps.arcgis.com/stories/463f2d26aca94edda07753fe31f61f11")</f>
        <v>https://storymaps.arcgis.com/stories/463f2d26aca94edda07753fe31f61f11</v>
      </c>
      <c r="E562" s="1"/>
      <c r="F562" s="1"/>
      <c r="G562" s="1"/>
      <c r="H562" s="1"/>
      <c r="I562" s="1"/>
    </row>
    <row r="563">
      <c r="A563" s="2">
        <f>IFERROR(__xludf.DUMMYFUNCTION("""COMPUTED_VALUE"""),44586.0)</f>
        <v>44586</v>
      </c>
      <c r="B563" s="1" t="str">
        <f>IFERROR(__xludf.DUMMYFUNCTION("""COMPUTED_VALUE"""),"OSHA announces withdrawing the emergency enforcement of COVID-19 vaccinate-or-test mandate for large employers.")</f>
        <v>OSHA announces withdrawing the emergency enforcement of COVID-19 vaccinate-or-test mandate for large employers.</v>
      </c>
      <c r="C563" s="1" t="str">
        <f>IFERROR(__xludf.DUMMYFUNCTION("""COMPUTED_VALUE"""),"Maximus")</f>
        <v>Maximus</v>
      </c>
      <c r="D563" s="3" t="str">
        <f>IFERROR(__xludf.DUMMYFUNCTION("""COMPUTED_VALUE"""),"https://storymaps.arcgis.com/stories/463f2d26aca94edda07753fe31f61f11")</f>
        <v>https://storymaps.arcgis.com/stories/463f2d26aca94edda07753fe31f61f11</v>
      </c>
      <c r="E563" s="1"/>
      <c r="F563" s="1"/>
      <c r="G563" s="1"/>
      <c r="H563" s="1"/>
      <c r="I563" s="1"/>
    </row>
    <row r="564">
      <c r="A564" s="2">
        <f>IFERROR(__xludf.DUMMYFUNCTION("""COMPUTED_VALUE"""),44592.0)</f>
        <v>44592</v>
      </c>
      <c r="B564" s="1" t="str">
        <f>IFERROR(__xludf.DUMMYFUNCTION("""COMPUTED_VALUE"""),"Food and Drug Administration approves the second COVID-19 vaccine. Previously known as the Moderna vaccine; it will be marketed as Spikevax for COVID-19 prevention in individuals 18 years of age and older.")</f>
        <v>Food and Drug Administration approves the second COVID-19 vaccine. Previously known as the Moderna vaccine; it will be marketed as Spikevax for COVID-19 prevention in individuals 18 years of age and older.</v>
      </c>
      <c r="C564" s="1" t="str">
        <f>IFERROR(__xludf.DUMMYFUNCTION("""COMPUTED_VALUE"""),"US Department of Defense")</f>
        <v>US Department of Defense</v>
      </c>
      <c r="D564" s="3" t="str">
        <f>IFERROR(__xludf.DUMMYFUNCTION("""COMPUTED_VALUE"""),"https://www.defense.gov/Spotlights/Coronavirus-DOD-Response/Timeline/")</f>
        <v>https://www.defense.gov/Spotlights/Coronavirus-DOD-Response/Timeline/</v>
      </c>
      <c r="E564" s="1"/>
      <c r="F564" s="1"/>
      <c r="G564" s="1"/>
      <c r="H564" s="1"/>
      <c r="I564" s="1"/>
    </row>
    <row r="565">
      <c r="A565" s="2">
        <f>IFERROR(__xludf.DUMMYFUNCTION("""COMPUTED_VALUE"""),44596.0)</f>
        <v>44596</v>
      </c>
      <c r="B565" s="1" t="str">
        <f>IFERROR(__xludf.DUMMYFUNCTION("""COMPUTED_VALUE"""),"U.S. Covid Death Toll Surpasses 900,000")</f>
        <v>U.S. Covid Death Toll Surpasses 900,000</v>
      </c>
      <c r="C565" s="1" t="str">
        <f>IFERROR(__xludf.DUMMYFUNCTION("""COMPUTED_VALUE"""),"New York Times")</f>
        <v>New York Times</v>
      </c>
      <c r="D565" s="3" t="str">
        <f>IFERROR(__xludf.DUMMYFUNCTION("""COMPUTED_VALUE"""),"https://www.nytimes.com/2022/02/04/us/us-covid-deaths.html")</f>
        <v>https://www.nytimes.com/2022/02/04/us/us-covid-deaths.html</v>
      </c>
      <c r="E565" s="1"/>
      <c r="F565" s="1"/>
      <c r="G565" s="1"/>
      <c r="H565" s="1"/>
      <c r="I565" s="1"/>
    </row>
    <row r="566">
      <c r="A566" s="2">
        <f>IFERROR(__xludf.DUMMYFUNCTION("""COMPUTED_VALUE"""),44603.0)</f>
        <v>44603</v>
      </c>
      <c r="B566" s="1" t="str">
        <f>IFERROR(__xludf.DUMMYFUNCTION("""COMPUTED_VALUE"""),"Pfizer postpones the FDA request to use the COVID vaccine for kids under five years old. ")</f>
        <v>Pfizer postpones the FDA request to use the COVID vaccine for kids under five years old. </v>
      </c>
      <c r="C566" s="1" t="str">
        <f>IFERROR(__xludf.DUMMYFUNCTION("""COMPUTED_VALUE"""),"Maximus")</f>
        <v>Maximus</v>
      </c>
      <c r="D566" s="3" t="str">
        <f>IFERROR(__xludf.DUMMYFUNCTION("""COMPUTED_VALUE"""),"https://storymaps.arcgis.com/stories/463f2d26aca94edda07753fe31f61f11")</f>
        <v>https://storymaps.arcgis.com/stories/463f2d26aca94edda07753fe31f61f11</v>
      </c>
      <c r="E566" s="1"/>
      <c r="F566" s="1"/>
      <c r="G566" s="1"/>
      <c r="H566" s="1"/>
      <c r="I566" s="1"/>
    </row>
    <row r="567">
      <c r="A567" s="2">
        <f>IFERROR(__xludf.DUMMYFUNCTION("""COMPUTED_VALUE"""),44607.0)</f>
        <v>44607</v>
      </c>
      <c r="B567" s="1" t="str">
        <f>IFERROR(__xludf.DUMMYFUNCTION("""COMPUTED_VALUE"""),"Centers for Disease Control and Prevention updates its guidance regarding mask wearing based on risk.")</f>
        <v>Centers for Disease Control and Prevention updates its guidance regarding mask wearing based on risk.</v>
      </c>
      <c r="C567" s="1" t="str">
        <f>IFERROR(__xludf.DUMMYFUNCTION("""COMPUTED_VALUE"""),"US Department of Defense")</f>
        <v>US Department of Defense</v>
      </c>
      <c r="D567" s="3" t="str">
        <f>IFERROR(__xludf.DUMMYFUNCTION("""COMPUTED_VALUE"""),"https://www.defense.gov/Spotlights/Coronavirus-DOD-Response/Timeline/")</f>
        <v>https://www.defense.gov/Spotlights/Coronavirus-DOD-Response/Timeline/</v>
      </c>
      <c r="E567" s="1"/>
      <c r="F567" s="1"/>
      <c r="G567" s="1"/>
      <c r="H567" s="1"/>
      <c r="I567" s="1"/>
    </row>
    <row r="568">
      <c r="A568" s="2">
        <f>IFERROR(__xludf.DUMMYFUNCTION("""COMPUTED_VALUE"""),44614.0)</f>
        <v>44614</v>
      </c>
      <c r="B568" s="1" t="str">
        <f>IFERROR(__xludf.DUMMYFUNCTION("""COMPUTED_VALUE"""),"New COVID-19 cases plummet 90% from the U.S. pandemic high.")</f>
        <v>New COVID-19 cases plummet 90% from the U.S. pandemic high.</v>
      </c>
      <c r="C568" s="1" t="str">
        <f>IFERROR(__xludf.DUMMYFUNCTION("""COMPUTED_VALUE"""),"Maximus")</f>
        <v>Maximus</v>
      </c>
      <c r="D568" s="3" t="str">
        <f>IFERROR(__xludf.DUMMYFUNCTION("""COMPUTED_VALUE"""),"https://storymaps.arcgis.com/stories/463f2d26aca94edda07753fe31f61f11")</f>
        <v>https://storymaps.arcgis.com/stories/463f2d26aca94edda07753fe31f61f11</v>
      </c>
      <c r="E568" s="1"/>
      <c r="F568" s="1"/>
      <c r="G568" s="1"/>
      <c r="H568" s="1"/>
      <c r="I568" s="1"/>
    </row>
    <row r="569">
      <c r="A569" s="2">
        <f>IFERROR(__xludf.DUMMYFUNCTION("""COMPUTED_VALUE"""),44615.0)</f>
        <v>44615</v>
      </c>
      <c r="B569" s="1" t="str">
        <f>IFERROR(__xludf.DUMMYFUNCTION("""COMPUTED_VALUE"""),"The White House announces that 90% of free at-home COVID-19 tests have shipped.")</f>
        <v>The White House announces that 90% of free at-home COVID-19 tests have shipped.</v>
      </c>
      <c r="C569" s="1" t="str">
        <f>IFERROR(__xludf.DUMMYFUNCTION("""COMPUTED_VALUE"""),"Maximus")</f>
        <v>Maximus</v>
      </c>
      <c r="D569" s="3" t="str">
        <f>IFERROR(__xludf.DUMMYFUNCTION("""COMPUTED_VALUE"""),"https://storymaps.arcgis.com/stories/463f2d26aca94edda07753fe31f61f11")</f>
        <v>https://storymaps.arcgis.com/stories/463f2d26aca94edda07753fe31f61f11</v>
      </c>
      <c r="E569" s="1"/>
      <c r="F569" s="1"/>
      <c r="G569" s="1"/>
      <c r="H569" s="1"/>
      <c r="I569" s="1"/>
    </row>
    <row r="570">
      <c r="A570" s="2">
        <f>IFERROR(__xludf.DUMMYFUNCTION("""COMPUTED_VALUE"""),44615.0)</f>
        <v>44615</v>
      </c>
      <c r="B570" s="1" t="str">
        <f>IFERROR(__xludf.DUMMYFUNCTION("""COMPUTED_VALUE"""),"The U.S. vaccination against COVID-19 has dropped to the lowest since December 2020.")</f>
        <v>The U.S. vaccination against COVID-19 has dropped to the lowest since December 2020.</v>
      </c>
      <c r="C570" s="1" t="str">
        <f>IFERROR(__xludf.DUMMYFUNCTION("""COMPUTED_VALUE"""),"Maximus")</f>
        <v>Maximus</v>
      </c>
      <c r="D570" s="3" t="str">
        <f>IFERROR(__xludf.DUMMYFUNCTION("""COMPUTED_VALUE"""),"https://storymaps.arcgis.com/stories/463f2d26aca94edda07753fe31f61f11")</f>
        <v>https://storymaps.arcgis.com/stories/463f2d26aca94edda07753fe31f61f11</v>
      </c>
      <c r="E570" s="1"/>
      <c r="F570" s="1"/>
      <c r="G570" s="1"/>
      <c r="H570" s="1"/>
      <c r="I570" s="1"/>
    </row>
    <row r="571">
      <c r="A571" s="2">
        <f>IFERROR(__xludf.DUMMYFUNCTION("""COMPUTED_VALUE"""),44617.0)</f>
        <v>44617</v>
      </c>
      <c r="B571" s="1" t="str">
        <f>IFERROR(__xludf.DUMMYFUNCTION("""COMPUTED_VALUE"""),"CDC announces relaxing its COVID-19 masking guidelines for 70% of the country, including inside schools. ")</f>
        <v>CDC announces relaxing its COVID-19 masking guidelines for 70% of the country, including inside schools. </v>
      </c>
      <c r="C571" s="1" t="str">
        <f>IFERROR(__xludf.DUMMYFUNCTION("""COMPUTED_VALUE"""),"Maximus")</f>
        <v>Maximus</v>
      </c>
      <c r="D571" s="3" t="str">
        <f>IFERROR(__xludf.DUMMYFUNCTION("""COMPUTED_VALUE"""),"https://storymaps.arcgis.com/stories/463f2d26aca94edda07753fe31f61f11")</f>
        <v>https://storymaps.arcgis.com/stories/463f2d26aca94edda07753fe31f61f11</v>
      </c>
      <c r="E571" s="1"/>
      <c r="F571" s="1"/>
      <c r="G571" s="1"/>
      <c r="H571" s="1"/>
      <c r="I571" s="1"/>
    </row>
    <row r="572">
      <c r="A572" s="2">
        <f>IFERROR(__xludf.DUMMYFUNCTION("""COMPUTED_VALUE"""),44620.0)</f>
        <v>44620</v>
      </c>
      <c r="B572" s="1" t="str">
        <f>IFERROR(__xludf.DUMMYFUNCTION("""COMPUTED_VALUE"""),"A study suggests that the Pfizer COVID-19 vaccine is less effective  in kids 5 to 11.")</f>
        <v>A study suggests that the Pfizer COVID-19 vaccine is less effective  in kids 5 to 11.</v>
      </c>
      <c r="C572" s="1" t="str">
        <f>IFERROR(__xludf.DUMMYFUNCTION("""COMPUTED_VALUE"""),"Maximus")</f>
        <v>Maximus</v>
      </c>
      <c r="D572" s="3" t="str">
        <f>IFERROR(__xludf.DUMMYFUNCTION("""COMPUTED_VALUE"""),"https://storymaps.arcgis.com/stories/463f2d26aca94edda07753fe31f61f11")</f>
        <v>https://storymaps.arcgis.com/stories/463f2d26aca94edda07753fe31f61f11</v>
      </c>
      <c r="E572" s="1"/>
      <c r="F572" s="1"/>
      <c r="G572" s="1"/>
      <c r="H572" s="1"/>
      <c r="I572" s="1"/>
    </row>
    <row r="573">
      <c r="A573" s="2">
        <f>IFERROR(__xludf.DUMMYFUNCTION("""COMPUTED_VALUE"""),44622.0)</f>
        <v>44622</v>
      </c>
      <c r="B573" s="1" t="str">
        <f>IFERROR(__xludf.DUMMYFUNCTION("""COMPUTED_VALUE"""),"POTUS announces he is launching the ""Test to Treat"" initiative so people can get tested at a pharmacy and, if they prove positive, receive the antiviral pills on the spot at no cost.")</f>
        <v>POTUS announces he is launching the "Test to Treat" initiative so people can get tested at a pharmacy and, if they prove positive, receive the antiviral pills on the spot at no cost.</v>
      </c>
      <c r="C573" s="1" t="str">
        <f>IFERROR(__xludf.DUMMYFUNCTION("""COMPUTED_VALUE"""),"US Department of Defense")</f>
        <v>US Department of Defense</v>
      </c>
      <c r="D573" s="3" t="str">
        <f>IFERROR(__xludf.DUMMYFUNCTION("""COMPUTED_VALUE"""),"https://www.defense.gov/Spotlights/Coronavirus-DOD-Response/Timeline/")</f>
        <v>https://www.defense.gov/Spotlights/Coronavirus-DOD-Response/Timeline/</v>
      </c>
      <c r="E573" s="1"/>
      <c r="F573" s="1"/>
      <c r="G573" s="1"/>
      <c r="H573" s="1"/>
      <c r="I573" s="1"/>
    </row>
    <row r="574">
      <c r="A574" s="2">
        <f>IFERROR(__xludf.DUMMYFUNCTION("""COMPUTED_VALUE"""),44627.0)</f>
        <v>44627</v>
      </c>
      <c r="B574" s="1" t="str">
        <f>IFERROR(__xludf.DUMMYFUNCTION("""COMPUTED_VALUE"""),"Global COVID-19 related deaths surpass 6M.")</f>
        <v>Global COVID-19 related deaths surpass 6M.</v>
      </c>
      <c r="C574" s="1" t="str">
        <f>IFERROR(__xludf.DUMMYFUNCTION("""COMPUTED_VALUE"""),"US Department of Defense")</f>
        <v>US Department of Defense</v>
      </c>
      <c r="D574" s="3" t="str">
        <f>IFERROR(__xludf.DUMMYFUNCTION("""COMPUTED_VALUE"""),"https://www.defense.gov/Spotlights/Coronavirus-DOD-Response/Timeline/")</f>
        <v>https://www.defense.gov/Spotlights/Coronavirus-DOD-Response/Timeline/</v>
      </c>
      <c r="E574" s="1"/>
      <c r="F574" s="1"/>
      <c r="G574" s="1"/>
      <c r="H574" s="1"/>
      <c r="I574" s="1"/>
    </row>
    <row r="575">
      <c r="A575" s="2">
        <f>IFERROR(__xludf.DUMMYFUNCTION("""COMPUTED_VALUE"""),44649.0)</f>
        <v>44649</v>
      </c>
      <c r="B575" s="1" t="str">
        <f>IFERROR(__xludf.DUMMYFUNCTION("""COMPUTED_VALUE"""),"Food and Drug Administration authorizes a second booster dose of either the Pfizer-BioNTech or Moderna COVID-19 vaccine for people 50 years of age and older and certain immunocompromised individuals.")</f>
        <v>Food and Drug Administration authorizes a second booster dose of either the Pfizer-BioNTech or Moderna COVID-19 vaccine for people 50 years of age and older and certain immunocompromised individuals.</v>
      </c>
      <c r="C575" s="1" t="str">
        <f>IFERROR(__xludf.DUMMYFUNCTION("""COMPUTED_VALUE"""),"US Department of Defense")</f>
        <v>US Department of Defense</v>
      </c>
      <c r="D575" s="3" t="str">
        <f>IFERROR(__xludf.DUMMYFUNCTION("""COMPUTED_VALUE"""),"https://www.defense.gov/Spotlights/Coronavirus-DOD-Response/Timeline/")</f>
        <v>https://www.defense.gov/Spotlights/Coronavirus-DOD-Response/Timeline/</v>
      </c>
      <c r="E575" s="1"/>
      <c r="F575" s="1"/>
      <c r="G575" s="1"/>
      <c r="H575" s="1"/>
      <c r="I575" s="1"/>
    </row>
    <row r="576">
      <c r="A576" s="2">
        <f>IFERROR(__xludf.DUMMYFUNCTION("""COMPUTED_VALUE"""),44650.0)</f>
        <v>44650</v>
      </c>
      <c r="B576" s="1" t="str">
        <f>IFERROR(__xludf.DUMMYFUNCTION("""COMPUTED_VALUE"""),"A  large study shows that Ivermectin fails to curb COVID-1 hospitalizations.")</f>
        <v>A  large study shows that Ivermectin fails to curb COVID-1 hospitalizations.</v>
      </c>
      <c r="C576" s="1" t="str">
        <f>IFERROR(__xludf.DUMMYFUNCTION("""COMPUTED_VALUE"""),"Maximus")</f>
        <v>Maximus</v>
      </c>
      <c r="D576" s="3" t="str">
        <f>IFERROR(__xludf.DUMMYFUNCTION("""COMPUTED_VALUE"""),"https://storymaps.arcgis.com/stories/463f2d26aca94edda07753fe31f61f11")</f>
        <v>https://storymaps.arcgis.com/stories/463f2d26aca94edda07753fe31f61f11</v>
      </c>
      <c r="E576" s="1"/>
      <c r="F576" s="1"/>
      <c r="G576" s="1"/>
      <c r="H576" s="1"/>
      <c r="I576" s="1"/>
    </row>
    <row r="577">
      <c r="A577" s="2">
        <f>IFERROR(__xludf.DUMMYFUNCTION("""COMPUTED_VALUE"""),44655.0)</f>
        <v>44655</v>
      </c>
      <c r="B577" s="1" t="str">
        <f>IFERROR(__xludf.DUMMYFUNCTION("""COMPUTED_VALUE"""),"The U.S. Senate negotiators reached a $10 billion COVID aid bill . ")</f>
        <v>The U.S. Senate negotiators reached a $10 billion COVID aid bill . </v>
      </c>
      <c r="C577" s="1" t="str">
        <f>IFERROR(__xludf.DUMMYFUNCTION("""COMPUTED_VALUE"""),"Maximus")</f>
        <v>Maximus</v>
      </c>
      <c r="D577" s="3" t="str">
        <f>IFERROR(__xludf.DUMMYFUNCTION("""COMPUTED_VALUE"""),"https://storymaps.arcgis.com/stories/463f2d26aca94edda07753fe31f61f11")</f>
        <v>https://storymaps.arcgis.com/stories/463f2d26aca94edda07753fe31f61f11</v>
      </c>
      <c r="E577" s="1"/>
      <c r="F577" s="1"/>
      <c r="G577" s="1"/>
      <c r="H577" s="1"/>
      <c r="I577" s="1"/>
    </row>
    <row r="578">
      <c r="A578" s="2">
        <f>IFERROR(__xludf.DUMMYFUNCTION("""COMPUTED_VALUE"""),44659.0)</f>
        <v>44659</v>
      </c>
      <c r="B578" s="1" t="str">
        <f>IFERROR(__xludf.DUMMYFUNCTION("""COMPUTED_VALUE"""),"A report suggests that the U.S. COVID-19 vaccination campaign prevented about 2.2 million deaths, 17 million hospitalizations, and 66 million infections. It also estimates that healthcare costs saved were about $899.4 billion. ")</f>
        <v>A report suggests that the U.S. COVID-19 vaccination campaign prevented about 2.2 million deaths, 17 million hospitalizations, and 66 million infections. It also estimates that healthcare costs saved were about $899.4 billion. </v>
      </c>
      <c r="C578" s="1" t="str">
        <f>IFERROR(__xludf.DUMMYFUNCTION("""COMPUTED_VALUE"""),"Maximus")</f>
        <v>Maximus</v>
      </c>
      <c r="D578" s="3" t="str">
        <f>IFERROR(__xludf.DUMMYFUNCTION("""COMPUTED_VALUE"""),"https://storymaps.arcgis.com/stories/463f2d26aca94edda07753fe31f61f11")</f>
        <v>https://storymaps.arcgis.com/stories/463f2d26aca94edda07753fe31f61f11</v>
      </c>
      <c r="E578" s="1"/>
      <c r="F578" s="1"/>
      <c r="G578" s="1"/>
      <c r="H578" s="1"/>
      <c r="I578" s="1"/>
    </row>
    <row r="579">
      <c r="A579" s="2">
        <f>IFERROR(__xludf.DUMMYFUNCTION("""COMPUTED_VALUE"""),44664.0)</f>
        <v>44664</v>
      </c>
      <c r="B579" s="1" t="str">
        <f>IFERROR(__xludf.DUMMYFUNCTION("""COMPUTED_VALUE"""),"The CDC  extends  the mask mandate on planes and public transportation.")</f>
        <v>The CDC  extends  the mask mandate on planes and public transportation.</v>
      </c>
      <c r="C579" s="1" t="str">
        <f>IFERROR(__xludf.DUMMYFUNCTION("""COMPUTED_VALUE"""),"Maximus")</f>
        <v>Maximus</v>
      </c>
      <c r="D579" s="3" t="str">
        <f>IFERROR(__xludf.DUMMYFUNCTION("""COMPUTED_VALUE"""),"https://storymaps.arcgis.com/stories/463f2d26aca94edda07753fe31f61f11")</f>
        <v>https://storymaps.arcgis.com/stories/463f2d26aca94edda07753fe31f61f11</v>
      </c>
      <c r="E579" s="1"/>
      <c r="F579" s="1"/>
      <c r="G579" s="1"/>
      <c r="H579" s="1"/>
      <c r="I579" s="1"/>
    </row>
    <row r="580">
      <c r="A580" s="2">
        <f>IFERROR(__xludf.DUMMYFUNCTION("""COMPUTED_VALUE"""),44669.0)</f>
        <v>44669</v>
      </c>
      <c r="B580" s="1" t="str">
        <f>IFERROR(__xludf.DUMMYFUNCTION("""COMPUTED_VALUE"""),"The CDC’s mask mandate  for public transportation has been reversed.")</f>
        <v>The CDC’s mask mandate  for public transportation has been reversed.</v>
      </c>
      <c r="C580" s="1" t="str">
        <f>IFERROR(__xludf.DUMMYFUNCTION("""COMPUTED_VALUE"""),"Maximus")</f>
        <v>Maximus</v>
      </c>
      <c r="D580" s="3" t="str">
        <f>IFERROR(__xludf.DUMMYFUNCTION("""COMPUTED_VALUE"""),"https://storymaps.arcgis.com/stories/463f2d26aca94edda07753fe31f61f11")</f>
        <v>https://storymaps.arcgis.com/stories/463f2d26aca94edda07753fe31f61f11</v>
      </c>
      <c r="E580" s="1"/>
      <c r="F580" s="1"/>
      <c r="G580" s="1"/>
      <c r="H580" s="1"/>
      <c r="I580" s="1"/>
    </row>
    <row r="581">
      <c r="A581" s="2">
        <f>IFERROR(__xludf.DUMMYFUNCTION("""COMPUTED_VALUE"""),44673.0)</f>
        <v>44673</v>
      </c>
      <c r="B581" s="1" t="str">
        <f>IFERROR(__xludf.DUMMYFUNCTION("""COMPUTED_VALUE"""),"CDC reports that COVID-19 was the third leading cause of death in the U.S. in 2021. ")</f>
        <v>CDC reports that COVID-19 was the third leading cause of death in the U.S. in 2021. </v>
      </c>
      <c r="C581" s="1" t="str">
        <f>IFERROR(__xludf.DUMMYFUNCTION("""COMPUTED_VALUE"""),"Maximus")</f>
        <v>Maximus</v>
      </c>
      <c r="D581" s="3" t="str">
        <f>IFERROR(__xludf.DUMMYFUNCTION("""COMPUTED_VALUE"""),"https://storymaps.arcgis.com/stories/463f2d26aca94edda07753fe31f61f11")</f>
        <v>https://storymaps.arcgis.com/stories/463f2d26aca94edda07753fe31f61f11</v>
      </c>
      <c r="E581" s="1"/>
      <c r="F581" s="1"/>
      <c r="G581" s="1"/>
      <c r="H581" s="1"/>
      <c r="I581" s="1"/>
    </row>
    <row r="582">
      <c r="A582" s="2">
        <f>IFERROR(__xludf.DUMMYFUNCTION("""COMPUTED_VALUE"""),44685.0)</f>
        <v>44685</v>
      </c>
      <c r="B582" s="1" t="str">
        <f>IFERROR(__xludf.DUMMYFUNCTION("""COMPUTED_VALUE"""),"The US surpassed 1 million COVID-19 deaths.")</f>
        <v>The US surpassed 1 million COVID-19 deaths.</v>
      </c>
      <c r="C582" s="1" t="str">
        <f>IFERROR(__xludf.DUMMYFUNCTION("""COMPUTED_VALUE"""),"Maximus")</f>
        <v>Maximus</v>
      </c>
      <c r="D582" s="3" t="str">
        <f>IFERROR(__xludf.DUMMYFUNCTION("""COMPUTED_VALUE"""),"https://storymaps.arcgis.com/stories/463f2d26aca94edda07753fe31f61f11")</f>
        <v>https://storymaps.arcgis.com/stories/463f2d26aca94edda07753fe31f61f11</v>
      </c>
      <c r="E582" s="1"/>
      <c r="F582" s="1"/>
      <c r="G582" s="1"/>
      <c r="H582" s="1"/>
      <c r="I582" s="1"/>
    </row>
    <row r="583">
      <c r="A583" s="2">
        <f>IFERROR(__xludf.DUMMYFUNCTION("""COMPUTED_VALUE"""),44686.0)</f>
        <v>44686</v>
      </c>
      <c r="B583" s="1" t="str">
        <f>IFERROR(__xludf.DUMMYFUNCTION("""COMPUTED_VALUE"""),"For the first time since February 2022, the US records more than  100,000 new  COVID-19 cases.")</f>
        <v>For the first time since February 2022, the US records more than  100,000 new  COVID-19 cases.</v>
      </c>
      <c r="C583" s="1" t="str">
        <f>IFERROR(__xludf.DUMMYFUNCTION("""COMPUTED_VALUE"""),"Maximus")</f>
        <v>Maximus</v>
      </c>
      <c r="D583" s="3" t="str">
        <f>IFERROR(__xludf.DUMMYFUNCTION("""COMPUTED_VALUE"""),"https://storymaps.arcgis.com/stories/463f2d26aca94edda07753fe31f61f11")</f>
        <v>https://storymaps.arcgis.com/stories/463f2d26aca94edda07753fe31f61f11</v>
      </c>
      <c r="E583" s="1"/>
      <c r="F583" s="1"/>
      <c r="G583" s="1"/>
      <c r="H583" s="1"/>
      <c r="I583" s="1"/>
    </row>
    <row r="584">
      <c r="A584" s="2">
        <f>IFERROR(__xludf.DUMMYFUNCTION("""COMPUTED_VALUE"""),44698.0)</f>
        <v>44698</v>
      </c>
      <c r="B584" s="1" t="str">
        <f>IFERROR(__xludf.DUMMYFUNCTION("""COMPUTED_VALUE"""),"Food and Drug Administration expands eligibility for Pfizer-BioNTech COVID-19 vaccine booster dose to children 5 through 11 years.")</f>
        <v>Food and Drug Administration expands eligibility for Pfizer-BioNTech COVID-19 vaccine booster dose to children 5 through 11 years.</v>
      </c>
      <c r="C584" s="1" t="str">
        <f>IFERROR(__xludf.DUMMYFUNCTION("""COMPUTED_VALUE"""),"US Department of Defense")</f>
        <v>US Department of Defense</v>
      </c>
      <c r="D584" s="3" t="str">
        <f>IFERROR(__xludf.DUMMYFUNCTION("""COMPUTED_VALUE"""),"https://www.defense.gov/Spotlights/Coronavirus-DOD-Response/Timeline/")</f>
        <v>https://www.defense.gov/Spotlights/Coronavirus-DOD-Response/Timeline/</v>
      </c>
      <c r="E584" s="1"/>
      <c r="F584" s="1"/>
      <c r="G584" s="1"/>
      <c r="H584" s="1"/>
      <c r="I584" s="1"/>
    </row>
    <row r="585">
      <c r="A585" s="2">
        <f>IFERROR(__xludf.DUMMYFUNCTION("""COMPUTED_VALUE"""),44699.0)</f>
        <v>44699</v>
      </c>
      <c r="B585" s="1" t="str">
        <f>IFERROR(__xludf.DUMMYFUNCTION("""COMPUTED_VALUE"""),"CDC urges masking where COVID is spiking.")</f>
        <v>CDC urges masking where COVID is spiking.</v>
      </c>
      <c r="C585" s="1" t="str">
        <f>IFERROR(__xludf.DUMMYFUNCTION("""COMPUTED_VALUE"""),"Maximus")</f>
        <v>Maximus</v>
      </c>
      <c r="D585" s="3" t="str">
        <f>IFERROR(__xludf.DUMMYFUNCTION("""COMPUTED_VALUE"""),"https://storymaps.arcgis.com/stories/463f2d26aca94edda07753fe31f61f11")</f>
        <v>https://storymaps.arcgis.com/stories/463f2d26aca94edda07753fe31f61f11</v>
      </c>
      <c r="E585" s="1"/>
      <c r="F585" s="1"/>
      <c r="G585" s="1"/>
      <c r="H585" s="1"/>
      <c r="I585" s="1"/>
    </row>
    <row r="586">
      <c r="A586" s="2">
        <f>IFERROR(__xludf.DUMMYFUNCTION("""COMPUTED_VALUE"""),44700.0)</f>
        <v>44700</v>
      </c>
      <c r="B586" s="1" t="str">
        <f>IFERROR(__xludf.DUMMYFUNCTION("""COMPUTED_VALUE"""),"Pfizer announces that  three doses of its vaccine offer strong protection for kids five and below against COVID-19.")</f>
        <v>Pfizer announces that  three doses of its vaccine offer strong protection for kids five and below against COVID-19.</v>
      </c>
      <c r="C586" s="1" t="str">
        <f>IFERROR(__xludf.DUMMYFUNCTION("""COMPUTED_VALUE"""),"Maximus")</f>
        <v>Maximus</v>
      </c>
      <c r="D586" s="3" t="str">
        <f>IFERROR(__xludf.DUMMYFUNCTION("""COMPUTED_VALUE"""),"https://storymaps.arcgis.com/stories/463f2d26aca94edda07753fe31f61f11")</f>
        <v>https://storymaps.arcgis.com/stories/463f2d26aca94edda07753fe31f61f11</v>
      </c>
      <c r="E586" s="1"/>
      <c r="F586" s="1"/>
      <c r="G586" s="1"/>
      <c r="H586" s="1"/>
      <c r="I586" s="1"/>
    </row>
    <row r="587">
      <c r="A587" s="2">
        <f>IFERROR(__xludf.DUMMYFUNCTION("""COMPUTED_VALUE"""),44713.0)</f>
        <v>44713</v>
      </c>
      <c r="B587" s="1" t="str">
        <f>IFERROR(__xludf.DUMMYFUNCTION("""COMPUTED_VALUE"""),"CDC reports that COVID-19 cases in the U.S. are about  five times higher  than they were last year.")</f>
        <v>CDC reports that COVID-19 cases in the U.S. are about  five times higher  than they were last year.</v>
      </c>
      <c r="C587" s="1" t="str">
        <f>IFERROR(__xludf.DUMMYFUNCTION("""COMPUTED_VALUE"""),"Maximus")</f>
        <v>Maximus</v>
      </c>
      <c r="D587" s="3" t="str">
        <f>IFERROR(__xludf.DUMMYFUNCTION("""COMPUTED_VALUE"""),"https://storymaps.arcgis.com/stories/463f2d26aca94edda07753fe31f61f11")</f>
        <v>https://storymaps.arcgis.com/stories/463f2d26aca94edda07753fe31f61f11</v>
      </c>
      <c r="E587" s="1"/>
      <c r="F587" s="1"/>
      <c r="G587" s="1"/>
      <c r="H587" s="1"/>
      <c r="I587" s="1"/>
    </row>
    <row r="588">
      <c r="A588" s="2">
        <f>IFERROR(__xludf.DUMMYFUNCTION("""COMPUTED_VALUE"""),44724.0)</f>
        <v>44724</v>
      </c>
      <c r="B588" s="1" t="str">
        <f>IFERROR(__xludf.DUMMYFUNCTION("""COMPUTED_VALUE"""),"A study reports that Ivermectin has little effect on COVID-19 recovery time.")</f>
        <v>A study reports that Ivermectin has little effect on COVID-19 recovery time.</v>
      </c>
      <c r="C588" s="1" t="str">
        <f>IFERROR(__xludf.DUMMYFUNCTION("""COMPUTED_VALUE"""),"Maximus")</f>
        <v>Maximus</v>
      </c>
      <c r="D588" s="3" t="str">
        <f>IFERROR(__xludf.DUMMYFUNCTION("""COMPUTED_VALUE"""),"https://storymaps.arcgis.com/stories/463f2d26aca94edda07753fe31f61f11")</f>
        <v>https://storymaps.arcgis.com/stories/463f2d26aca94edda07753fe31f61f11</v>
      </c>
      <c r="E588" s="1"/>
      <c r="F588" s="1"/>
      <c r="G588" s="1"/>
      <c r="H588" s="1"/>
      <c r="I588" s="1"/>
    </row>
    <row r="589">
      <c r="A589" s="2">
        <f>IFERROR(__xludf.DUMMYFUNCTION("""COMPUTED_VALUE"""),44727.0)</f>
        <v>44727</v>
      </c>
      <c r="B589" s="1" t="str">
        <f>IFERROR(__xludf.DUMMYFUNCTION("""COMPUTED_VALUE"""),"FDA authorizes Pfizer and Moderna COVID-19 vaccines for kids ages 6 months to 5 years.")</f>
        <v>FDA authorizes Pfizer and Moderna COVID-19 vaccines for kids ages 6 months to 5 years.</v>
      </c>
      <c r="C589" s="1" t="str">
        <f>IFERROR(__xludf.DUMMYFUNCTION("""COMPUTED_VALUE"""),"Maximus")</f>
        <v>Maximus</v>
      </c>
      <c r="D589" s="3" t="str">
        <f>IFERROR(__xludf.DUMMYFUNCTION("""COMPUTED_VALUE"""),"https://storymaps.arcgis.com/stories/463f2d26aca94edda07753fe31f61f11")</f>
        <v>https://storymaps.arcgis.com/stories/463f2d26aca94edda07753fe31f61f11</v>
      </c>
      <c r="E589" s="1"/>
      <c r="F589" s="1"/>
      <c r="G589" s="1"/>
      <c r="H589" s="1"/>
      <c r="I589" s="1"/>
    </row>
    <row r="590">
      <c r="A590" s="2">
        <f>IFERROR(__xludf.DUMMYFUNCTION("""COMPUTED_VALUE"""),44732.0)</f>
        <v>44732</v>
      </c>
      <c r="B590" s="1" t="str">
        <f>IFERROR(__xludf.DUMMYFUNCTION("""COMPUTED_VALUE"""),"Centers for Disease Control and Prevention announces that the order requiring a negative COVID-19 test before boarding a flight to the United States will be rescinded, effective June 12, 2022 at 12:01 a.m. ET.")</f>
        <v>Centers for Disease Control and Prevention announces that the order requiring a negative COVID-19 test before boarding a flight to the United States will be rescinded, effective June 12, 2022 at 12:01 a.m. ET.</v>
      </c>
      <c r="C590" s="1" t="str">
        <f>IFERROR(__xludf.DUMMYFUNCTION("""COMPUTED_VALUE"""),"US Department of Defense")</f>
        <v>US Department of Defense</v>
      </c>
      <c r="D590" s="3" t="str">
        <f>IFERROR(__xludf.DUMMYFUNCTION("""COMPUTED_VALUE"""),"https://www.defense.gov/Spotlights/Coronavirus-DOD-Response/Timeline/")</f>
        <v>https://www.defense.gov/Spotlights/Coronavirus-DOD-Response/Timeline/</v>
      </c>
      <c r="E590" s="1"/>
      <c r="F590" s="1"/>
      <c r="G590" s="1"/>
      <c r="H590" s="1"/>
      <c r="I590" s="1"/>
    </row>
    <row r="591">
      <c r="A591" s="2">
        <f>IFERROR(__xludf.DUMMYFUNCTION("""COMPUTED_VALUE"""),44753.0)</f>
        <v>44753</v>
      </c>
      <c r="B591" s="1" t="str">
        <f>IFERROR(__xludf.DUMMYFUNCTION("""COMPUTED_VALUE"""),"The Biden administration set to renew the COVID-19 public health emergency.")</f>
        <v>The Biden administration set to renew the COVID-19 public health emergency.</v>
      </c>
      <c r="C591" s="1" t="str">
        <f>IFERROR(__xludf.DUMMYFUNCTION("""COMPUTED_VALUE"""),"Maximus")</f>
        <v>Maximus</v>
      </c>
      <c r="D591" s="3" t="str">
        <f>IFERROR(__xludf.DUMMYFUNCTION("""COMPUTED_VALUE"""),"https://storymaps.arcgis.com/stories/463f2d26aca94edda07753fe31f61f11")</f>
        <v>https://storymaps.arcgis.com/stories/463f2d26aca94edda07753fe31f61f11</v>
      </c>
      <c r="E591" s="1"/>
      <c r="F591" s="1"/>
      <c r="G591" s="1"/>
      <c r="H591" s="1"/>
      <c r="I591" s="1"/>
    </row>
    <row r="592">
      <c r="A592" s="2">
        <f>IFERROR(__xludf.DUMMYFUNCTION("""COMPUTED_VALUE"""),44756.0)</f>
        <v>44756</v>
      </c>
      <c r="B592" s="1" t="str">
        <f>IFERROR(__xludf.DUMMYFUNCTION("""COMPUTED_VALUE"""),"The FDA authorizes the Novavax COVID-19 vaccine for adults. ")</f>
        <v>The FDA authorizes the Novavax COVID-19 vaccine for adults. </v>
      </c>
      <c r="C592" s="1" t="str">
        <f>IFERROR(__xludf.DUMMYFUNCTION("""COMPUTED_VALUE"""),"Maximus")</f>
        <v>Maximus</v>
      </c>
      <c r="D592" s="3" t="str">
        <f>IFERROR(__xludf.DUMMYFUNCTION("""COMPUTED_VALUE"""),"https://storymaps.arcgis.com/stories/463f2d26aca94edda07753fe31f61f11")</f>
        <v>https://storymaps.arcgis.com/stories/463f2d26aca94edda07753fe31f61f11</v>
      </c>
      <c r="E592" s="1"/>
      <c r="F592" s="1"/>
      <c r="G592" s="1"/>
      <c r="H592" s="1"/>
      <c r="I592" s="1"/>
    </row>
    <row r="593">
      <c r="A593" s="2">
        <f>IFERROR(__xludf.DUMMYFUNCTION("""COMPUTED_VALUE"""),44760.0)</f>
        <v>44760</v>
      </c>
      <c r="B593" s="1" t="str">
        <f>IFERROR(__xludf.DUMMYFUNCTION("""COMPUTED_VALUE"""),"The CDC ends the COVID program for cruise ships.")</f>
        <v>The CDC ends the COVID program for cruise ships.</v>
      </c>
      <c r="C593" s="1" t="str">
        <f>IFERROR(__xludf.DUMMYFUNCTION("""COMPUTED_VALUE"""),"Maximus")</f>
        <v>Maximus</v>
      </c>
      <c r="D593" s="3" t="str">
        <f>IFERROR(__xludf.DUMMYFUNCTION("""COMPUTED_VALUE"""),"https://storymaps.arcgis.com/stories/463f2d26aca94edda07753fe31f61f11")</f>
        <v>https://storymaps.arcgis.com/stories/463f2d26aca94edda07753fe31f61f11</v>
      </c>
      <c r="E593" s="1"/>
      <c r="F593" s="1"/>
      <c r="G593" s="1"/>
      <c r="H593" s="1"/>
      <c r="I593" s="1"/>
    </row>
    <row r="594">
      <c r="A594" s="2">
        <f>IFERROR(__xludf.DUMMYFUNCTION("""COMPUTED_VALUE"""),44760.0)</f>
        <v>44760</v>
      </c>
      <c r="B594" s="1" t="str">
        <f>IFERROR(__xludf.DUMMYFUNCTION("""COMPUTED_VALUE"""),"HHS extends COVID-19 public health emergency for another 90 days.")</f>
        <v>HHS extends COVID-19 public health emergency for another 90 days.</v>
      </c>
      <c r="C594" s="1" t="str">
        <f>IFERROR(__xludf.DUMMYFUNCTION("""COMPUTED_VALUE"""),"Maximus")</f>
        <v>Maximus</v>
      </c>
      <c r="D594" s="3" t="str">
        <f>IFERROR(__xludf.DUMMYFUNCTION("""COMPUTED_VALUE"""),"https://storymaps.arcgis.com/stories/463f2d26aca94edda07753fe31f61f11")</f>
        <v>https://storymaps.arcgis.com/stories/463f2d26aca94edda07753fe31f61f11</v>
      </c>
      <c r="E594" s="1"/>
      <c r="F594" s="1"/>
      <c r="G594" s="1"/>
      <c r="H594" s="1"/>
      <c r="I594" s="1"/>
    </row>
    <row r="595">
      <c r="A595" s="2">
        <f>IFERROR(__xludf.DUMMYFUNCTION("""COMPUTED_VALUE"""),44776.0)</f>
        <v>44776</v>
      </c>
      <c r="B595" s="1" t="str">
        <f>IFERROR(__xludf.DUMMYFUNCTION("""COMPUTED_VALUE"""),"The Biden-Harris administration released reports on long COVID.")</f>
        <v>The Biden-Harris administration released reports on long COVID.</v>
      </c>
      <c r="C595" s="1" t="str">
        <f>IFERROR(__xludf.DUMMYFUNCTION("""COMPUTED_VALUE"""),"Maximus")</f>
        <v>Maximus</v>
      </c>
      <c r="D595" s="3" t="str">
        <f>IFERROR(__xludf.DUMMYFUNCTION("""COMPUTED_VALUE"""),"https://storymaps.arcgis.com/stories/463f2d26aca94edda07753fe31f61f11")</f>
        <v>https://storymaps.arcgis.com/stories/463f2d26aca94edda07753fe31f61f11</v>
      </c>
      <c r="E595" s="1"/>
      <c r="F595" s="1"/>
      <c r="G595" s="1"/>
      <c r="H595" s="1"/>
      <c r="I595" s="1"/>
    </row>
    <row r="596">
      <c r="A596" s="2">
        <f>IFERROR(__xludf.DUMMYFUNCTION("""COMPUTED_VALUE"""),44784.0)</f>
        <v>44784</v>
      </c>
      <c r="B596" s="1" t="str">
        <f>IFERROR(__xludf.DUMMYFUNCTION("""COMPUTED_VALUE"""),"Centers for Disease Control and Prevention streamlines COVID-19 guidance to help the public better protect themselves and understand their risk.")</f>
        <v>Centers for Disease Control and Prevention streamlines COVID-19 guidance to help the public better protect themselves and understand their risk.</v>
      </c>
      <c r="C596" s="1" t="str">
        <f>IFERROR(__xludf.DUMMYFUNCTION("""COMPUTED_VALUE"""),"US Department of Defense")</f>
        <v>US Department of Defense</v>
      </c>
      <c r="D596" s="3" t="str">
        <f>IFERROR(__xludf.DUMMYFUNCTION("""COMPUTED_VALUE"""),"https://www.defense.gov/Spotlights/Coronavirus-DOD-Response/Timeline/")</f>
        <v>https://www.defense.gov/Spotlights/Coronavirus-DOD-Response/Timeline/</v>
      </c>
      <c r="E596" s="1"/>
      <c r="F596" s="1"/>
      <c r="G596" s="1"/>
      <c r="H596" s="1"/>
      <c r="I596" s="1"/>
    </row>
    <row r="597">
      <c r="A597" s="2">
        <f>IFERROR(__xludf.DUMMYFUNCTION("""COMPUTED_VALUE"""),44784.0)</f>
        <v>44784</v>
      </c>
      <c r="B597" s="1" t="str">
        <f>IFERROR(__xludf.DUMMYFUNCTION("""COMPUTED_VALUE"""),"The CDC drops quarantine and social distancing recommendations for COVID-19. ")</f>
        <v>The CDC drops quarantine and social distancing recommendations for COVID-19. </v>
      </c>
      <c r="C597" s="1" t="str">
        <f>IFERROR(__xludf.DUMMYFUNCTION("""COMPUTED_VALUE"""),"Maximus")</f>
        <v>Maximus</v>
      </c>
      <c r="D597" s="3" t="str">
        <f>IFERROR(__xludf.DUMMYFUNCTION("""COMPUTED_VALUE"""),"https://storymaps.arcgis.com/stories/463f2d26aca94edda07753fe31f61f11")</f>
        <v>https://storymaps.arcgis.com/stories/463f2d26aca94edda07753fe31f61f11</v>
      </c>
      <c r="E597" s="1"/>
      <c r="F597" s="1"/>
      <c r="G597" s="1"/>
      <c r="H597" s="1"/>
      <c r="I597" s="1"/>
    </row>
    <row r="598">
      <c r="A598" s="2">
        <f>IFERROR(__xludf.DUMMYFUNCTION("""COMPUTED_VALUE"""),44791.0)</f>
        <v>44791</v>
      </c>
      <c r="B598" s="1" t="str">
        <f>IFERROR(__xludf.DUMMYFUNCTION("""COMPUTED_VALUE"""),"U.S. plans to roll back coverage of COVID-19 vaccines, treatments starting this fall.")</f>
        <v>U.S. plans to roll back coverage of COVID-19 vaccines, treatments starting this fall.</v>
      </c>
      <c r="C598" s="1" t="str">
        <f>IFERROR(__xludf.DUMMYFUNCTION("""COMPUTED_VALUE"""),"Maximus")</f>
        <v>Maximus</v>
      </c>
      <c r="D598" s="3" t="str">
        <f>IFERROR(__xludf.DUMMYFUNCTION("""COMPUTED_VALUE"""),"https://storymaps.arcgis.com/stories/463f2d26aca94edda07753fe31f61f11")</f>
        <v>https://storymaps.arcgis.com/stories/463f2d26aca94edda07753fe31f61f11</v>
      </c>
      <c r="E598" s="1"/>
      <c r="F598" s="1"/>
      <c r="G598" s="1"/>
      <c r="H598" s="1"/>
      <c r="I598" s="1"/>
    </row>
    <row r="599">
      <c r="A599" s="2">
        <f>IFERROR(__xludf.DUMMYFUNCTION("""COMPUTED_VALUE"""),44804.0)</f>
        <v>44804</v>
      </c>
      <c r="B599" s="1" t="str">
        <f>IFERROR(__xludf.DUMMYFUNCTION("""COMPUTED_VALUE"""),"Food and Drug Administration authorizes Moderna and Pfizer-BioNTech bivalent COVID-19 vaccines for use as a booster dose.")</f>
        <v>Food and Drug Administration authorizes Moderna and Pfizer-BioNTech bivalent COVID-19 vaccines for use as a booster dose.</v>
      </c>
      <c r="C599" s="1" t="str">
        <f>IFERROR(__xludf.DUMMYFUNCTION("""COMPUTED_VALUE"""),"US Department of Defense")</f>
        <v>US Department of Defense</v>
      </c>
      <c r="D599" s="3" t="str">
        <f>IFERROR(__xludf.DUMMYFUNCTION("""COMPUTED_VALUE"""),"https://www.defense.gov/Spotlights/Coronavirus-DOD-Response/Timeline/")</f>
        <v>https://www.defense.gov/Spotlights/Coronavirus-DOD-Response/Timeline/</v>
      </c>
      <c r="E599" s="1"/>
      <c r="F599" s="1"/>
      <c r="G599" s="1"/>
      <c r="H599" s="1"/>
      <c r="I599" s="1"/>
    </row>
    <row r="600">
      <c r="A600" s="2">
        <f>IFERROR(__xludf.DUMMYFUNCTION("""COMPUTED_VALUE"""),44823.0)</f>
        <v>44823</v>
      </c>
      <c r="B600" s="1" t="str">
        <f>IFERROR(__xludf.DUMMYFUNCTION("""COMPUTED_VALUE"""),"President Joe Biden has declared that the COVID-19  pandemic is over  in the U.S.")</f>
        <v>President Joe Biden has declared that the COVID-19  pandemic is over  in the U.S.</v>
      </c>
      <c r="C600" s="1" t="str">
        <f>IFERROR(__xludf.DUMMYFUNCTION("""COMPUTED_VALUE"""),"Maximus")</f>
        <v>Maximus</v>
      </c>
      <c r="D600" s="3" t="str">
        <f>IFERROR(__xludf.DUMMYFUNCTION("""COMPUTED_VALUE"""),"https://storymaps.arcgis.com/stories/463f2d26aca94edda07753fe31f61f11")</f>
        <v>https://storymaps.arcgis.com/stories/463f2d26aca94edda07753fe31f61f11</v>
      </c>
      <c r="E600" s="1"/>
      <c r="F600" s="1"/>
      <c r="G600" s="1"/>
      <c r="H600" s="1"/>
      <c r="I600" s="1"/>
    </row>
    <row r="601">
      <c r="A601" s="2">
        <f>IFERROR(__xludf.DUMMYFUNCTION("""COMPUTED_VALUE"""),44837.0)</f>
        <v>44837</v>
      </c>
      <c r="B601" s="1" t="str">
        <f>IFERROR(__xludf.DUMMYFUNCTION("""COMPUTED_VALUE"""),"The CDC ends its COVID-19  country-specific  travel health notices.")</f>
        <v>The CDC ends its COVID-19  country-specific  travel health notices.</v>
      </c>
      <c r="C601" s="1" t="str">
        <f>IFERROR(__xludf.DUMMYFUNCTION("""COMPUTED_VALUE"""),"Maximus")</f>
        <v>Maximus</v>
      </c>
      <c r="D601" s="3" t="str">
        <f>IFERROR(__xludf.DUMMYFUNCTION("""COMPUTED_VALUE"""),"https://storymaps.arcgis.com/stories/463f2d26aca94edda07753fe31f61f11")</f>
        <v>https://storymaps.arcgis.com/stories/463f2d26aca94edda07753fe31f61f11</v>
      </c>
      <c r="E601" s="1"/>
      <c r="F601" s="1"/>
      <c r="G601" s="1"/>
      <c r="H601" s="1"/>
      <c r="I601" s="1"/>
    </row>
    <row r="602">
      <c r="A602" s="2">
        <f>IFERROR(__xludf.DUMMYFUNCTION("""COMPUTED_VALUE"""),44846.0)</f>
        <v>44846</v>
      </c>
      <c r="B602" s="1" t="str">
        <f>IFERROR(__xludf.DUMMYFUNCTION("""COMPUTED_VALUE"""),"The FDA approves COVID omicron boosters for kids as young as 5.")</f>
        <v>The FDA approves COVID omicron boosters for kids as young as 5.</v>
      </c>
      <c r="C602" s="1" t="str">
        <f>IFERROR(__xludf.DUMMYFUNCTION("""COMPUTED_VALUE"""),"Maximus")</f>
        <v>Maximus</v>
      </c>
      <c r="D602" s="3" t="str">
        <f>IFERROR(__xludf.DUMMYFUNCTION("""COMPUTED_VALUE"""),"https://storymaps.arcgis.com/stories/463f2d26aca94edda07753fe31f61f11")</f>
        <v>https://storymaps.arcgis.com/stories/463f2d26aca94edda07753fe31f61f11</v>
      </c>
      <c r="E602" s="1"/>
      <c r="F602" s="1"/>
      <c r="G602" s="1"/>
      <c r="H602" s="1"/>
      <c r="I602" s="1"/>
    </row>
    <row r="603">
      <c r="A603" s="2">
        <f>IFERROR(__xludf.DUMMYFUNCTION("""COMPUTED_VALUE"""),44854.0)</f>
        <v>44854</v>
      </c>
      <c r="B603" s="1" t="str">
        <f>IFERROR(__xludf.DUMMYFUNCTION("""COMPUTED_VALUE"""),"The CDC advisers approve adding COVID shots to  vaccine schedules .")</f>
        <v>The CDC advisers approve adding COVID shots to  vaccine schedules .</v>
      </c>
      <c r="C603" s="1" t="str">
        <f>IFERROR(__xludf.DUMMYFUNCTION("""COMPUTED_VALUE"""),"Maximus")</f>
        <v>Maximus</v>
      </c>
      <c r="D603" s="3" t="str">
        <f>IFERROR(__xludf.DUMMYFUNCTION("""COMPUTED_VALUE"""),"https://storymaps.arcgis.com/stories/463f2d26aca94edda07753fe31f61f11")</f>
        <v>https://storymaps.arcgis.com/stories/463f2d26aca94edda07753fe31f61f11</v>
      </c>
      <c r="E603" s="1"/>
      <c r="F603" s="1"/>
      <c r="G603" s="1"/>
      <c r="H603" s="1"/>
      <c r="I603" s="1"/>
    </row>
    <row r="604">
      <c r="A604" s="2">
        <f>IFERROR(__xludf.DUMMYFUNCTION("""COMPUTED_VALUE"""),44858.0)</f>
        <v>44858</v>
      </c>
      <c r="B604" s="1" t="str">
        <f>IFERROR(__xludf.DUMMYFUNCTION("""COMPUTED_VALUE"""),"Pfizer announces plan to charge  over $100  per COVID shot in 2023.")</f>
        <v>Pfizer announces plan to charge  over $100  per COVID shot in 2023.</v>
      </c>
      <c r="C604" s="1" t="str">
        <f>IFERROR(__xludf.DUMMYFUNCTION("""COMPUTED_VALUE"""),"Maximus")</f>
        <v>Maximus</v>
      </c>
      <c r="D604" s="3" t="str">
        <f>IFERROR(__xludf.DUMMYFUNCTION("""COMPUTED_VALUE"""),"https://storymaps.arcgis.com/stories/463f2d26aca94edda07753fe31f61f11")</f>
        <v>https://storymaps.arcgis.com/stories/463f2d26aca94edda07753fe31f61f11</v>
      </c>
      <c r="E604" s="1"/>
      <c r="F604" s="1"/>
      <c r="G604" s="1"/>
      <c r="H604" s="1"/>
      <c r="I604" s="1"/>
    </row>
    <row r="605">
      <c r="A605" s="2">
        <f>IFERROR(__xludf.DUMMYFUNCTION("""COMPUTED_VALUE"""),44869.0)</f>
        <v>44869</v>
      </c>
      <c r="B605" s="1" t="str">
        <f>IFERROR(__xludf.DUMMYFUNCTION("""COMPUTED_VALUE"""),"Pfizer and BioNTech say the new COVID booster generates higher protection against the omicron variants.")</f>
        <v>Pfizer and BioNTech say the new COVID booster generates higher protection against the omicron variants.</v>
      </c>
      <c r="C605" s="1" t="str">
        <f>IFERROR(__xludf.DUMMYFUNCTION("""COMPUTED_VALUE"""),"Maximus")</f>
        <v>Maximus</v>
      </c>
      <c r="D605" s="3" t="str">
        <f>IFERROR(__xludf.DUMMYFUNCTION("""COMPUTED_VALUE"""),"https://storymaps.arcgis.com/stories/463f2d26aca94edda07753fe31f61f11")</f>
        <v>https://storymaps.arcgis.com/stories/463f2d26aca94edda07753fe31f61f11</v>
      </c>
      <c r="E605" s="1"/>
      <c r="F605" s="1"/>
      <c r="G605" s="1"/>
      <c r="H605" s="1"/>
      <c r="I605" s="1"/>
    </row>
    <row r="606">
      <c r="A606" s="2">
        <f>IFERROR(__xludf.DUMMYFUNCTION("""COMPUTED_VALUE"""),44876.0)</f>
        <v>44876</v>
      </c>
      <c r="B606" s="1" t="str">
        <f>IFERROR(__xludf.DUMMYFUNCTION("""COMPUTED_VALUE"""),"The U.S. extends the COVID  public health emergency  until at least mid-January.")</f>
        <v>The U.S. extends the COVID  public health emergency  until at least mid-January.</v>
      </c>
      <c r="C606" s="1" t="str">
        <f>IFERROR(__xludf.DUMMYFUNCTION("""COMPUTED_VALUE"""),"Maximus")</f>
        <v>Maximus</v>
      </c>
      <c r="D606" s="3" t="str">
        <f>IFERROR(__xludf.DUMMYFUNCTION("""COMPUTED_VALUE"""),"https://storymaps.arcgis.com/stories/463f2d26aca94edda07753fe31f61f11")</f>
        <v>https://storymaps.arcgis.com/stories/463f2d26aca94edda07753fe31f61f11</v>
      </c>
      <c r="E606" s="1"/>
      <c r="F606" s="1"/>
      <c r="G606" s="1"/>
      <c r="H606" s="1"/>
      <c r="I606" s="1"/>
    </row>
    <row r="607">
      <c r="A607" s="2">
        <f>IFERROR(__xludf.DUMMYFUNCTION("""COMPUTED_VALUE"""),44909.0)</f>
        <v>44909</v>
      </c>
      <c r="B607" s="1" t="str">
        <f>IFERROR(__xludf.DUMMYFUNCTION("""COMPUTED_VALUE"""),"The CDC reports long COVID contributed to thousands of U.S. deaths.")</f>
        <v>The CDC reports long COVID contributed to thousands of U.S. deaths.</v>
      </c>
      <c r="C607" s="1" t="str">
        <f>IFERROR(__xludf.DUMMYFUNCTION("""COMPUTED_VALUE"""),"Maximus")</f>
        <v>Maximus</v>
      </c>
      <c r="D607" s="3" t="str">
        <f>IFERROR(__xludf.DUMMYFUNCTION("""COMPUTED_VALUE"""),"https://storymaps.arcgis.com/stories/463f2d26aca94edda07753fe31f61f11")</f>
        <v>https://storymaps.arcgis.com/stories/463f2d26aca94edda07753fe31f61f11</v>
      </c>
      <c r="E607" s="1"/>
      <c r="F607" s="1"/>
      <c r="G607" s="1"/>
      <c r="H607" s="1"/>
      <c r="I607" s="1"/>
    </row>
    <row r="608">
      <c r="A608" s="2">
        <f>IFERROR(__xludf.DUMMYFUNCTION("""COMPUTED_VALUE"""),44923.0)</f>
        <v>44923</v>
      </c>
      <c r="B608" s="1" t="str">
        <f>IFERROR(__xludf.DUMMYFUNCTION("""COMPUTED_VALUE"""),"The CDC announces negative COVID-19 test requirements for travelers from China.")</f>
        <v>The CDC announces negative COVID-19 test requirements for travelers from China.</v>
      </c>
      <c r="C608" s="1" t="str">
        <f>IFERROR(__xludf.DUMMYFUNCTION("""COMPUTED_VALUE"""),"Maximus")</f>
        <v>Maximus</v>
      </c>
      <c r="D608" s="3" t="str">
        <f>IFERROR(__xludf.DUMMYFUNCTION("""COMPUTED_VALUE"""),"https://storymaps.arcgis.com/stories/463f2d26aca94edda07753fe31f61f11")</f>
        <v>https://storymaps.arcgis.com/stories/463f2d26aca94edda07753fe31f61f11</v>
      </c>
      <c r="E608" s="1"/>
      <c r="F608" s="1"/>
      <c r="G608" s="1"/>
      <c r="H608" s="1"/>
      <c r="I608" s="1"/>
    </row>
    <row r="609">
      <c r="A609" s="2">
        <f>IFERROR(__xludf.DUMMYFUNCTION("""COMPUTED_VALUE"""),44926.0)</f>
        <v>44926</v>
      </c>
      <c r="B609" s="1" t="str">
        <f>IFERROR(__xludf.DUMMYFUNCTION("""COMPUTED_VALUE"""),"The CDC reports a new strain of omicron taking over in the U.S.")</f>
        <v>The CDC reports a new strain of omicron taking over in the U.S.</v>
      </c>
      <c r="C609" s="1" t="str">
        <f>IFERROR(__xludf.DUMMYFUNCTION("""COMPUTED_VALUE"""),"Maximus")</f>
        <v>Maximus</v>
      </c>
      <c r="D609" s="3" t="str">
        <f>IFERROR(__xludf.DUMMYFUNCTION("""COMPUTED_VALUE"""),"https://storymaps.arcgis.com/stories/463f2d26aca94edda07753fe31f61f11")</f>
        <v>https://storymaps.arcgis.com/stories/463f2d26aca94edda07753fe31f61f11</v>
      </c>
      <c r="E609" s="1"/>
      <c r="F609" s="1"/>
      <c r="G609" s="1"/>
      <c r="H609" s="1"/>
      <c r="I609" s="1"/>
    </row>
    <row r="610">
      <c r="A610" s="2">
        <f>IFERROR(__xludf.DUMMYFUNCTION("""COMPUTED_VALUE"""),44946.0)</f>
        <v>44946</v>
      </c>
      <c r="B610" s="1" t="str">
        <f>IFERROR(__xludf.DUMMYFUNCTION("""COMPUTED_VALUE"""),"Secretary of Defense rescinds the Aug. 24, 2021 memorandum mandating that members of the Armed Forces under DOD authority be vaccinated against COVID-19, and the memorandum of Nov. 30, 2021, pertaining to the vaccination of National Guard and Reserve pers"&amp;"onnel")</f>
        <v>Secretary of Defense rescinds the Aug. 24, 2021 memorandum mandating that members of the Armed Forces under DOD authority be vaccinated against COVID-19, and the memorandum of Nov. 30, 2021, pertaining to the vaccination of National Guard and Reserve personnel</v>
      </c>
      <c r="C610" s="1" t="str">
        <f>IFERROR(__xludf.DUMMYFUNCTION("""COMPUTED_VALUE"""),"US Department of Defense")</f>
        <v>US Department of Defense</v>
      </c>
      <c r="D610" s="3" t="str">
        <f>IFERROR(__xludf.DUMMYFUNCTION("""COMPUTED_VALUE"""),"https://www.defense.gov/Spotlights/Coronavirus-DOD-Response/Timeline/")</f>
        <v>https://www.defense.gov/Spotlights/Coronavirus-DOD-Response/Timeline/</v>
      </c>
      <c r="E610" s="1"/>
      <c r="F610" s="1"/>
      <c r="G610" s="1"/>
      <c r="H610" s="1"/>
      <c r="I610" s="1"/>
    </row>
    <row r="611">
      <c r="A611" s="1"/>
      <c r="B611" s="1"/>
      <c r="C611" s="1"/>
      <c r="D611" s="1"/>
      <c r="E611" s="1"/>
      <c r="F611" s="1"/>
      <c r="G611" s="1"/>
      <c r="H611" s="1"/>
      <c r="I611" s="1"/>
    </row>
    <row r="612">
      <c r="A612" s="1"/>
      <c r="B612" s="1"/>
      <c r="C612" s="1"/>
      <c r="D612" s="1"/>
      <c r="E612" s="1"/>
      <c r="F612" s="1"/>
      <c r="G612" s="1"/>
      <c r="H612" s="1"/>
      <c r="I612" s="1"/>
    </row>
    <row r="613">
      <c r="A613" s="1"/>
      <c r="B613" s="1"/>
      <c r="C613" s="1"/>
      <c r="D613" s="1"/>
      <c r="E613" s="1"/>
      <c r="F613" s="1"/>
      <c r="G613" s="1"/>
      <c r="H613" s="1"/>
      <c r="I613" s="1"/>
    </row>
    <row r="614">
      <c r="A614" s="1"/>
      <c r="B614" s="1"/>
      <c r="C614" s="1"/>
      <c r="D614" s="1"/>
      <c r="E614" s="1"/>
      <c r="F614" s="1"/>
      <c r="G614" s="1"/>
      <c r="H614" s="1"/>
      <c r="I614" s="1"/>
    </row>
    <row r="615">
      <c r="A615" s="1"/>
      <c r="B615" s="1"/>
      <c r="C615" s="1"/>
      <c r="D615" s="1"/>
      <c r="E615" s="1"/>
      <c r="F615" s="1"/>
      <c r="G615" s="1"/>
      <c r="H615" s="1"/>
      <c r="I615" s="1"/>
    </row>
    <row r="616">
      <c r="A616" s="1"/>
      <c r="B616" s="1"/>
      <c r="C616" s="1"/>
      <c r="D616" s="1"/>
      <c r="E616" s="1"/>
      <c r="F616" s="1"/>
      <c r="G616" s="1"/>
      <c r="H616" s="1"/>
      <c r="I616" s="1"/>
    </row>
    <row r="617">
      <c r="A617" s="1"/>
      <c r="B617" s="1"/>
      <c r="C617" s="1"/>
      <c r="D617" s="1"/>
      <c r="E617" s="1"/>
      <c r="F617" s="1"/>
      <c r="G617" s="1"/>
      <c r="H617" s="1"/>
      <c r="I617" s="1"/>
    </row>
    <row r="618">
      <c r="A618" s="1"/>
      <c r="B618" s="1"/>
      <c r="C618" s="1"/>
      <c r="D618" s="1"/>
      <c r="E618" s="1"/>
      <c r="F618" s="1"/>
      <c r="G618" s="1"/>
      <c r="H618" s="1"/>
      <c r="I618" s="1"/>
    </row>
    <row r="619">
      <c r="A619" s="1"/>
      <c r="B619" s="1"/>
      <c r="C619" s="1"/>
      <c r="D619" s="1"/>
      <c r="E619" s="1"/>
      <c r="F619" s="1"/>
      <c r="G619" s="1"/>
      <c r="H619" s="1"/>
      <c r="I619" s="1"/>
    </row>
    <row r="620">
      <c r="A620" s="1"/>
      <c r="B620" s="1"/>
      <c r="C620" s="1"/>
      <c r="D620" s="1"/>
      <c r="E620" s="1"/>
      <c r="F620" s="1"/>
      <c r="G620" s="1"/>
      <c r="H620" s="1"/>
      <c r="I620" s="1"/>
    </row>
    <row r="621">
      <c r="A621" s="1"/>
      <c r="B621" s="1"/>
      <c r="C621" s="1"/>
      <c r="D621" s="1"/>
      <c r="E621" s="1"/>
      <c r="F621" s="1"/>
      <c r="G621" s="1"/>
      <c r="H621" s="1"/>
      <c r="I621" s="1"/>
    </row>
    <row r="622">
      <c r="A622" s="1"/>
      <c r="B622" s="1"/>
      <c r="C622" s="1"/>
      <c r="D622" s="1"/>
      <c r="E622" s="1"/>
      <c r="F622" s="1"/>
      <c r="G622" s="1"/>
      <c r="H622" s="1"/>
      <c r="I622" s="1"/>
    </row>
    <row r="623">
      <c r="A623" s="1"/>
      <c r="B623" s="1"/>
      <c r="C623" s="1"/>
      <c r="D623" s="1"/>
      <c r="E623" s="1"/>
      <c r="F623" s="1"/>
      <c r="G623" s="1"/>
      <c r="H623" s="1"/>
      <c r="I623" s="1"/>
    </row>
    <row r="624">
      <c r="A624" s="1"/>
      <c r="B624" s="1"/>
      <c r="C624" s="1"/>
      <c r="D624" s="1"/>
      <c r="E624" s="1"/>
      <c r="F624" s="1"/>
      <c r="G624" s="1"/>
      <c r="H624" s="1"/>
      <c r="I624" s="1"/>
    </row>
    <row r="625">
      <c r="A625" s="1"/>
      <c r="B625" s="1"/>
      <c r="C625" s="1"/>
      <c r="D625" s="1"/>
      <c r="E625" s="1"/>
      <c r="F625" s="1"/>
      <c r="G625" s="1"/>
      <c r="H625" s="1"/>
      <c r="I625" s="1"/>
    </row>
    <row r="626">
      <c r="A626" s="1"/>
      <c r="B626" s="1"/>
      <c r="C626" s="1"/>
      <c r="D626" s="1"/>
      <c r="E626" s="1"/>
      <c r="F626" s="1"/>
      <c r="G626" s="1"/>
      <c r="H626" s="1"/>
      <c r="I626" s="1"/>
    </row>
    <row r="627">
      <c r="A627" s="1"/>
      <c r="B627" s="1"/>
      <c r="C627" s="1"/>
      <c r="D627" s="1"/>
      <c r="E627" s="1"/>
      <c r="F627" s="1"/>
      <c r="G627" s="1"/>
      <c r="H627" s="1"/>
      <c r="I627" s="1"/>
    </row>
    <row r="628">
      <c r="A628" s="1"/>
      <c r="B628" s="1"/>
      <c r="C628" s="1"/>
      <c r="D628" s="1"/>
      <c r="E628" s="1"/>
      <c r="F628" s="1"/>
      <c r="G628" s="1"/>
      <c r="H628" s="1"/>
      <c r="I628" s="1"/>
    </row>
    <row r="629">
      <c r="A629" s="1"/>
      <c r="B629" s="1"/>
      <c r="C629" s="1"/>
      <c r="D629" s="1"/>
      <c r="E629" s="1"/>
      <c r="F629" s="1"/>
      <c r="G629" s="1"/>
      <c r="H629" s="1"/>
      <c r="I629" s="1"/>
    </row>
    <row r="630">
      <c r="A630" s="1"/>
      <c r="B630" s="1"/>
      <c r="C630" s="1"/>
      <c r="D630" s="1"/>
      <c r="E630" s="1"/>
      <c r="F630" s="1"/>
      <c r="G630" s="1"/>
      <c r="H630" s="1"/>
      <c r="I630" s="1"/>
    </row>
    <row r="631">
      <c r="A631" s="1"/>
      <c r="B631" s="1"/>
      <c r="C631" s="1"/>
      <c r="D631" s="1"/>
      <c r="E631" s="1"/>
      <c r="F631" s="1"/>
      <c r="G631" s="1"/>
      <c r="H631" s="1"/>
      <c r="I631" s="1"/>
    </row>
    <row r="632">
      <c r="A632" s="1"/>
      <c r="B632" s="1"/>
      <c r="C632" s="1"/>
      <c r="D632" s="1"/>
      <c r="E632" s="1"/>
      <c r="F632" s="1"/>
      <c r="G632" s="1"/>
      <c r="H632" s="1"/>
      <c r="I632" s="1"/>
    </row>
    <row r="633">
      <c r="A633" s="1"/>
      <c r="B633" s="1"/>
      <c r="C633" s="1"/>
      <c r="D633" s="1"/>
      <c r="E633" s="1"/>
      <c r="F633" s="1"/>
      <c r="G633" s="1"/>
      <c r="H633" s="1"/>
      <c r="I633" s="1"/>
    </row>
    <row r="634">
      <c r="A634" s="1"/>
      <c r="B634" s="1"/>
      <c r="C634" s="1"/>
      <c r="D634" s="1"/>
      <c r="E634" s="1"/>
      <c r="F634" s="1"/>
      <c r="G634" s="1"/>
      <c r="H634" s="1"/>
      <c r="I634" s="1"/>
    </row>
    <row r="635">
      <c r="A635" s="1"/>
      <c r="B635" s="1"/>
      <c r="C635" s="1"/>
      <c r="D635" s="1"/>
      <c r="E635" s="1"/>
      <c r="F635" s="1"/>
      <c r="G635" s="1"/>
      <c r="H635" s="1"/>
      <c r="I635" s="1"/>
    </row>
    <row r="636">
      <c r="A636" s="1"/>
      <c r="B636" s="1"/>
      <c r="C636" s="1"/>
      <c r="D636" s="1"/>
      <c r="E636" s="1"/>
      <c r="F636" s="1"/>
      <c r="G636" s="1"/>
      <c r="H636" s="1"/>
      <c r="I636" s="1"/>
    </row>
    <row r="637">
      <c r="A637" s="1"/>
      <c r="B637" s="1"/>
      <c r="C637" s="1"/>
      <c r="D637" s="1"/>
      <c r="E637" s="1"/>
      <c r="F637" s="1"/>
      <c r="G637" s="1"/>
      <c r="H637" s="1"/>
      <c r="I637" s="1"/>
    </row>
    <row r="638">
      <c r="A638" s="1"/>
      <c r="B638" s="1"/>
      <c r="C638" s="1"/>
      <c r="D638" s="1"/>
      <c r="E638" s="1"/>
      <c r="F638" s="1"/>
      <c r="G638" s="1"/>
      <c r="H638" s="1"/>
      <c r="I638" s="1"/>
    </row>
    <row r="639">
      <c r="A639" s="1"/>
      <c r="B639" s="1"/>
      <c r="C639" s="1"/>
      <c r="D639" s="1"/>
      <c r="E639" s="1"/>
      <c r="F639" s="1"/>
      <c r="G639" s="1"/>
      <c r="H639" s="1"/>
      <c r="I639" s="1"/>
    </row>
    <row r="640">
      <c r="A640" s="1"/>
      <c r="B640" s="1"/>
      <c r="C640" s="1"/>
      <c r="D640" s="1"/>
      <c r="E640" s="1"/>
      <c r="F640" s="1"/>
      <c r="G640" s="1"/>
      <c r="H640" s="1"/>
      <c r="I640" s="1"/>
    </row>
    <row r="641">
      <c r="A641" s="1"/>
      <c r="B641" s="1"/>
      <c r="C641" s="1"/>
      <c r="D641" s="1"/>
      <c r="E641" s="1"/>
      <c r="F641" s="1"/>
      <c r="G641" s="1"/>
      <c r="H641" s="1"/>
      <c r="I641" s="1"/>
    </row>
    <row r="642">
      <c r="A642" s="1"/>
      <c r="B642" s="1"/>
      <c r="C642" s="1"/>
      <c r="D642" s="1"/>
      <c r="E642" s="1"/>
      <c r="F642" s="1"/>
      <c r="G642" s="1"/>
      <c r="H642" s="1"/>
      <c r="I642" s="1"/>
    </row>
    <row r="643">
      <c r="A643" s="1"/>
      <c r="B643" s="1"/>
      <c r="C643" s="1"/>
      <c r="D643" s="1"/>
      <c r="E643" s="1"/>
      <c r="F643" s="1"/>
      <c r="G643" s="1"/>
      <c r="H643" s="1"/>
      <c r="I643" s="1"/>
    </row>
    <row r="644">
      <c r="A644" s="1"/>
      <c r="B644" s="1"/>
      <c r="C644" s="1"/>
      <c r="D644" s="1"/>
      <c r="E644" s="1"/>
      <c r="F644" s="1"/>
      <c r="G644" s="1"/>
      <c r="H644" s="1"/>
      <c r="I644" s="1"/>
    </row>
    <row r="645">
      <c r="A645" s="1"/>
      <c r="B645" s="1"/>
      <c r="C645" s="1"/>
      <c r="D645" s="1"/>
      <c r="E645" s="1"/>
      <c r="F645" s="1"/>
      <c r="G645" s="1"/>
      <c r="H645" s="1"/>
      <c r="I645" s="1"/>
    </row>
    <row r="646">
      <c r="A646" s="1"/>
      <c r="B646" s="1"/>
      <c r="C646" s="1"/>
      <c r="D646" s="1"/>
      <c r="E646" s="1"/>
      <c r="F646" s="1"/>
      <c r="G646" s="1"/>
      <c r="H646" s="1"/>
      <c r="I646" s="1"/>
    </row>
    <row r="647">
      <c r="A647" s="1"/>
      <c r="B647" s="1"/>
      <c r="C647" s="1"/>
      <c r="D647" s="1"/>
      <c r="E647" s="1"/>
      <c r="F647" s="1"/>
      <c r="G647" s="1"/>
      <c r="H647" s="1"/>
      <c r="I647" s="1"/>
    </row>
    <row r="648">
      <c r="A648" s="1"/>
      <c r="B648" s="1"/>
      <c r="C648" s="1"/>
      <c r="D648" s="1"/>
      <c r="E648" s="1"/>
      <c r="F648" s="1"/>
      <c r="G648" s="1"/>
      <c r="H648" s="1"/>
      <c r="I648" s="1"/>
    </row>
    <row r="649">
      <c r="A649" s="1"/>
      <c r="B649" s="1"/>
      <c r="C649" s="1"/>
      <c r="D649" s="1"/>
      <c r="E649" s="1"/>
      <c r="F649" s="1"/>
      <c r="G649" s="1"/>
      <c r="H649" s="1"/>
      <c r="I649" s="1"/>
    </row>
    <row r="650">
      <c r="A650" s="1"/>
      <c r="B650" s="1"/>
      <c r="C650" s="1"/>
      <c r="D650" s="1"/>
      <c r="E650" s="1"/>
      <c r="F650" s="1"/>
      <c r="G650" s="1"/>
      <c r="H650" s="1"/>
      <c r="I650" s="1"/>
    </row>
    <row r="651">
      <c r="A651" s="1"/>
      <c r="B651" s="1"/>
      <c r="C651" s="1"/>
      <c r="D651" s="1"/>
      <c r="E651" s="1"/>
      <c r="F651" s="1"/>
      <c r="G651" s="1"/>
      <c r="H651" s="1"/>
      <c r="I651" s="1"/>
    </row>
    <row r="652">
      <c r="A652" s="1"/>
      <c r="B652" s="1"/>
      <c r="C652" s="1"/>
      <c r="D652" s="1"/>
      <c r="E652" s="1"/>
      <c r="F652" s="1"/>
      <c r="G652" s="1"/>
      <c r="H652" s="1"/>
      <c r="I652" s="1"/>
    </row>
    <row r="653">
      <c r="A653" s="1"/>
      <c r="B653" s="1"/>
      <c r="C653" s="1"/>
      <c r="D653" s="1"/>
      <c r="E653" s="1"/>
      <c r="F653" s="1"/>
      <c r="G653" s="1"/>
      <c r="H653" s="1"/>
      <c r="I653" s="1"/>
    </row>
    <row r="654">
      <c r="A654" s="1"/>
      <c r="B654" s="1"/>
      <c r="C654" s="1"/>
      <c r="D654" s="1"/>
      <c r="E654" s="1"/>
      <c r="F654" s="1"/>
      <c r="G654" s="1"/>
      <c r="H654" s="1"/>
      <c r="I654" s="1"/>
    </row>
    <row r="655">
      <c r="A655" s="1"/>
      <c r="B655" s="1"/>
      <c r="C655" s="1"/>
      <c r="D655" s="1"/>
      <c r="E655" s="1"/>
      <c r="F655" s="1"/>
      <c r="G655" s="1"/>
      <c r="H655" s="1"/>
      <c r="I655" s="1"/>
    </row>
    <row r="656">
      <c r="A656" s="1"/>
      <c r="B656" s="1"/>
      <c r="C656" s="1"/>
      <c r="D656" s="1"/>
      <c r="E656" s="1"/>
      <c r="F656" s="1"/>
      <c r="G656" s="1"/>
      <c r="H656" s="1"/>
      <c r="I656" s="1"/>
    </row>
    <row r="657">
      <c r="A657" s="1"/>
      <c r="B657" s="1"/>
      <c r="C657" s="1"/>
      <c r="D657" s="1"/>
      <c r="E657" s="1"/>
      <c r="F657" s="1"/>
      <c r="G657" s="1"/>
      <c r="H657" s="1"/>
      <c r="I657" s="1"/>
    </row>
    <row r="658">
      <c r="A658" s="1"/>
      <c r="B658" s="1"/>
      <c r="C658" s="1"/>
      <c r="D658" s="1"/>
      <c r="E658" s="1"/>
      <c r="F658" s="1"/>
      <c r="G658" s="1"/>
      <c r="H658" s="1"/>
      <c r="I658" s="1"/>
    </row>
    <row r="659">
      <c r="A659" s="1"/>
      <c r="B659" s="1"/>
      <c r="C659" s="1"/>
      <c r="D659" s="1"/>
      <c r="E659" s="1"/>
      <c r="F659" s="1"/>
      <c r="G659" s="1"/>
      <c r="H659" s="1"/>
      <c r="I659" s="1"/>
    </row>
    <row r="660">
      <c r="A660" s="1"/>
      <c r="B660" s="1"/>
      <c r="C660" s="1"/>
      <c r="D660" s="1"/>
      <c r="E660" s="1"/>
      <c r="F660" s="1"/>
      <c r="G660" s="1"/>
      <c r="H660" s="1"/>
      <c r="I660" s="1"/>
    </row>
    <row r="661">
      <c r="A661" s="1"/>
      <c r="B661" s="1"/>
      <c r="C661" s="1"/>
      <c r="D661" s="1"/>
      <c r="E661" s="1"/>
      <c r="F661" s="1"/>
      <c r="G661" s="1"/>
      <c r="H661" s="1"/>
      <c r="I661" s="1"/>
    </row>
    <row r="662">
      <c r="A662" s="1"/>
      <c r="B662" s="1"/>
      <c r="C662" s="1"/>
      <c r="D662" s="1"/>
      <c r="E662" s="1"/>
      <c r="F662" s="1"/>
      <c r="G662" s="1"/>
      <c r="H662" s="1"/>
      <c r="I662" s="1"/>
    </row>
    <row r="663">
      <c r="A663" s="1"/>
      <c r="B663" s="1"/>
      <c r="C663" s="1"/>
      <c r="D663" s="1"/>
      <c r="E663" s="1"/>
      <c r="F663" s="1"/>
      <c r="G663" s="1"/>
      <c r="H663" s="1"/>
      <c r="I663" s="1"/>
    </row>
    <row r="664">
      <c r="A664" s="1"/>
      <c r="B664" s="1"/>
      <c r="C664" s="1"/>
      <c r="D664" s="1"/>
      <c r="E664" s="1"/>
      <c r="F664" s="1"/>
      <c r="G664" s="1"/>
      <c r="H664" s="1"/>
      <c r="I664" s="1"/>
    </row>
    <row r="665">
      <c r="A665" s="1"/>
      <c r="B665" s="1"/>
      <c r="C665" s="1"/>
      <c r="D665" s="1"/>
      <c r="E665" s="1"/>
      <c r="F665" s="1"/>
      <c r="G665" s="1"/>
      <c r="H665" s="1"/>
      <c r="I665" s="1"/>
    </row>
    <row r="666">
      <c r="A666" s="1"/>
      <c r="B666" s="1"/>
      <c r="C666" s="1"/>
      <c r="D666" s="1"/>
      <c r="E666" s="1"/>
      <c r="F666" s="1"/>
      <c r="G666" s="1"/>
      <c r="H666" s="1"/>
      <c r="I666" s="1"/>
    </row>
    <row r="667">
      <c r="A667" s="1"/>
      <c r="B667" s="1"/>
      <c r="C667" s="1"/>
      <c r="D667" s="1"/>
      <c r="E667" s="1"/>
      <c r="F667" s="1"/>
      <c r="G667" s="1"/>
      <c r="H667" s="1"/>
      <c r="I667" s="1"/>
    </row>
    <row r="668">
      <c r="A668" s="1"/>
      <c r="B668" s="1"/>
      <c r="C668" s="1"/>
      <c r="D668" s="1"/>
      <c r="E668" s="1"/>
      <c r="F668" s="1"/>
      <c r="G668" s="1"/>
      <c r="H668" s="1"/>
      <c r="I668" s="1"/>
    </row>
    <row r="669">
      <c r="A669" s="1"/>
      <c r="B669" s="1"/>
      <c r="C669" s="1"/>
      <c r="D669" s="1"/>
      <c r="E669" s="1"/>
      <c r="F669" s="1"/>
      <c r="G669" s="1"/>
      <c r="H669" s="1"/>
      <c r="I669" s="1"/>
    </row>
    <row r="670">
      <c r="A670" s="1"/>
      <c r="B670" s="1"/>
      <c r="C670" s="1"/>
      <c r="D670" s="1"/>
      <c r="E670" s="1"/>
      <c r="F670" s="1"/>
      <c r="G670" s="1"/>
      <c r="H670" s="1"/>
      <c r="I670" s="1"/>
    </row>
    <row r="671">
      <c r="A671" s="1"/>
      <c r="B671" s="1"/>
      <c r="C671" s="1"/>
      <c r="D671" s="1"/>
      <c r="E671" s="1"/>
      <c r="F671" s="1"/>
      <c r="G671" s="1"/>
      <c r="H671" s="1"/>
      <c r="I671" s="1"/>
    </row>
    <row r="672">
      <c r="A672" s="1"/>
      <c r="B672" s="1"/>
      <c r="C672" s="1"/>
      <c r="D672" s="1"/>
      <c r="E672" s="1"/>
      <c r="F672" s="1"/>
      <c r="G672" s="1"/>
      <c r="H672" s="1"/>
      <c r="I672" s="1"/>
    </row>
    <row r="673">
      <c r="A673" s="1"/>
      <c r="B673" s="1"/>
      <c r="C673" s="1"/>
      <c r="D673" s="1"/>
      <c r="E673" s="1"/>
      <c r="F673" s="1"/>
      <c r="G673" s="1"/>
      <c r="H673" s="1"/>
      <c r="I673" s="1"/>
    </row>
    <row r="674">
      <c r="A674" s="1"/>
      <c r="B674" s="1"/>
      <c r="C674" s="1"/>
      <c r="D674" s="1"/>
      <c r="E674" s="1"/>
      <c r="F674" s="1"/>
      <c r="G674" s="1"/>
      <c r="H674" s="1"/>
      <c r="I674" s="1"/>
    </row>
    <row r="675">
      <c r="A675" s="1"/>
      <c r="B675" s="1"/>
      <c r="C675" s="1"/>
      <c r="D675" s="1"/>
      <c r="E675" s="1"/>
      <c r="F675" s="1"/>
      <c r="G675" s="1"/>
      <c r="H675" s="1"/>
      <c r="I675" s="1"/>
    </row>
    <row r="676">
      <c r="A676" s="1"/>
      <c r="B676" s="1"/>
      <c r="C676" s="1"/>
      <c r="D676" s="1"/>
      <c r="E676" s="1"/>
      <c r="F676" s="1"/>
      <c r="G676" s="1"/>
      <c r="H676" s="1"/>
      <c r="I676" s="1"/>
    </row>
    <row r="677">
      <c r="A677" s="1"/>
      <c r="B677" s="1"/>
      <c r="C677" s="1"/>
      <c r="D677" s="1"/>
      <c r="E677" s="1"/>
      <c r="F677" s="1"/>
      <c r="G677" s="1"/>
      <c r="H677" s="1"/>
      <c r="I677" s="1"/>
    </row>
    <row r="678">
      <c r="A678" s="1"/>
      <c r="B678" s="1"/>
      <c r="C678" s="1"/>
      <c r="D678" s="1"/>
      <c r="E678" s="1"/>
      <c r="F678" s="1"/>
      <c r="G678" s="1"/>
      <c r="H678" s="1"/>
      <c r="I678" s="1"/>
    </row>
    <row r="679">
      <c r="A679" s="1"/>
      <c r="B679" s="1"/>
      <c r="C679" s="1"/>
      <c r="D679" s="1"/>
      <c r="E679" s="1"/>
      <c r="F679" s="1"/>
      <c r="G679" s="1"/>
      <c r="H679" s="1"/>
      <c r="I679" s="1"/>
    </row>
    <row r="680">
      <c r="A680" s="1"/>
      <c r="B680" s="1"/>
      <c r="C680" s="1"/>
      <c r="D680" s="1"/>
      <c r="E680" s="1"/>
      <c r="F680" s="1"/>
      <c r="G680" s="1"/>
      <c r="H680" s="1"/>
      <c r="I680" s="1"/>
    </row>
    <row r="681">
      <c r="A681" s="1"/>
      <c r="B681" s="1"/>
      <c r="C681" s="1"/>
      <c r="D681" s="1"/>
      <c r="E681" s="1"/>
      <c r="F681" s="1"/>
      <c r="G681" s="1"/>
      <c r="H681" s="1"/>
      <c r="I681" s="1"/>
    </row>
    <row r="682">
      <c r="A682" s="1"/>
      <c r="B682" s="1"/>
      <c r="C682" s="1"/>
      <c r="D682" s="1"/>
      <c r="E682" s="1"/>
      <c r="F682" s="1"/>
      <c r="G682" s="1"/>
      <c r="H682" s="1"/>
      <c r="I682" s="1"/>
    </row>
    <row r="683">
      <c r="A683" s="1"/>
      <c r="B683" s="1"/>
      <c r="C683" s="1"/>
      <c r="D683" s="1"/>
      <c r="E683" s="1"/>
      <c r="F683" s="1"/>
      <c r="G683" s="1"/>
      <c r="H683" s="1"/>
      <c r="I683" s="1"/>
    </row>
    <row r="684">
      <c r="A684" s="1"/>
      <c r="B684" s="1"/>
      <c r="C684" s="1"/>
      <c r="D684" s="1"/>
      <c r="E684" s="1"/>
      <c r="F684" s="1"/>
      <c r="G684" s="1"/>
      <c r="H684" s="1"/>
      <c r="I684" s="1"/>
    </row>
    <row r="685">
      <c r="A685" s="1"/>
      <c r="B685" s="1"/>
      <c r="C685" s="1"/>
      <c r="D685" s="1"/>
      <c r="E685" s="1"/>
      <c r="F685" s="1"/>
      <c r="G685" s="1"/>
      <c r="H685" s="1"/>
      <c r="I685" s="1"/>
    </row>
    <row r="686">
      <c r="A686" s="1"/>
      <c r="B686" s="1"/>
      <c r="C686" s="1"/>
      <c r="D686" s="1"/>
      <c r="E686" s="1"/>
      <c r="F686" s="1"/>
      <c r="G686" s="1"/>
      <c r="H686" s="1"/>
      <c r="I686" s="1"/>
    </row>
    <row r="687">
      <c r="A687" s="1"/>
      <c r="B687" s="1"/>
      <c r="C687" s="1"/>
      <c r="D687" s="1"/>
      <c r="E687" s="1"/>
      <c r="F687" s="1"/>
      <c r="G687" s="1"/>
      <c r="H687" s="1"/>
      <c r="I687" s="1"/>
    </row>
    <row r="688">
      <c r="A688" s="1"/>
      <c r="B688" s="1"/>
      <c r="C688" s="1"/>
      <c r="D688" s="1"/>
      <c r="E688" s="1"/>
      <c r="F688" s="1"/>
      <c r="G688" s="1"/>
      <c r="H688" s="1"/>
      <c r="I688" s="1"/>
    </row>
    <row r="689">
      <c r="A689" s="1"/>
      <c r="B689" s="1"/>
      <c r="C689" s="1"/>
      <c r="D689" s="1"/>
      <c r="E689" s="1"/>
      <c r="F689" s="1"/>
      <c r="G689" s="1"/>
      <c r="H689" s="1"/>
      <c r="I689" s="1"/>
    </row>
    <row r="690">
      <c r="A690" s="1"/>
      <c r="B690" s="1"/>
      <c r="C690" s="1"/>
      <c r="D690" s="1"/>
      <c r="E690" s="1"/>
      <c r="F690" s="1"/>
      <c r="G690" s="1"/>
      <c r="H690" s="1"/>
      <c r="I690" s="1"/>
    </row>
    <row r="691">
      <c r="A691" s="1"/>
      <c r="B691" s="1"/>
      <c r="C691" s="1"/>
      <c r="D691" s="1"/>
      <c r="E691" s="1"/>
      <c r="F691" s="1"/>
      <c r="G691" s="1"/>
      <c r="H691" s="1"/>
      <c r="I691" s="1"/>
    </row>
    <row r="692">
      <c r="A692" s="1"/>
      <c r="B692" s="1"/>
      <c r="C692" s="1"/>
      <c r="D692" s="1"/>
      <c r="E692" s="1"/>
      <c r="F692" s="1"/>
      <c r="G692" s="1"/>
      <c r="H692" s="1"/>
      <c r="I692" s="1"/>
    </row>
    <row r="693">
      <c r="A693" s="1"/>
      <c r="B693" s="1"/>
      <c r="C693" s="1"/>
      <c r="D693" s="1"/>
      <c r="E693" s="1"/>
      <c r="F693" s="1"/>
      <c r="G693" s="1"/>
      <c r="H693" s="1"/>
      <c r="I693" s="1"/>
    </row>
    <row r="694">
      <c r="A694" s="1"/>
      <c r="B694" s="1"/>
      <c r="C694" s="1"/>
      <c r="D694" s="1"/>
      <c r="E694" s="1"/>
      <c r="F694" s="1"/>
      <c r="G694" s="1"/>
      <c r="H694" s="1"/>
      <c r="I694" s="1"/>
    </row>
    <row r="695">
      <c r="A695" s="1"/>
      <c r="B695" s="1"/>
      <c r="C695" s="1"/>
      <c r="D695" s="1"/>
      <c r="E695" s="1"/>
      <c r="F695" s="1"/>
      <c r="G695" s="1"/>
      <c r="H695" s="1"/>
      <c r="I695" s="1"/>
    </row>
    <row r="696">
      <c r="A696" s="1"/>
      <c r="B696" s="1"/>
      <c r="C696" s="1"/>
      <c r="D696" s="1"/>
      <c r="E696" s="1"/>
      <c r="F696" s="1"/>
      <c r="G696" s="1"/>
      <c r="H696" s="1"/>
      <c r="I696" s="1"/>
    </row>
    <row r="697">
      <c r="A697" s="1"/>
      <c r="B697" s="1"/>
      <c r="C697" s="1"/>
      <c r="D697" s="1"/>
      <c r="E697" s="1"/>
      <c r="F697" s="1"/>
      <c r="G697" s="1"/>
      <c r="H697" s="1"/>
      <c r="I697" s="1"/>
    </row>
    <row r="698">
      <c r="A698" s="1"/>
      <c r="B698" s="1"/>
      <c r="C698" s="1"/>
      <c r="D698" s="1"/>
      <c r="E698" s="1"/>
      <c r="F698" s="1"/>
      <c r="G698" s="1"/>
      <c r="H698" s="1"/>
      <c r="I698" s="1"/>
    </row>
    <row r="699">
      <c r="A699" s="1"/>
      <c r="B699" s="1"/>
      <c r="C699" s="1"/>
      <c r="D699" s="1"/>
      <c r="E699" s="1"/>
      <c r="F699" s="1"/>
      <c r="G699" s="1"/>
      <c r="H699" s="1"/>
      <c r="I699" s="1"/>
    </row>
    <row r="700">
      <c r="A700" s="1"/>
      <c r="B700" s="1"/>
      <c r="C700" s="1"/>
      <c r="D700" s="1"/>
      <c r="E700" s="1"/>
      <c r="F700" s="1"/>
      <c r="G700" s="1"/>
      <c r="H700" s="1"/>
      <c r="I700" s="1"/>
    </row>
    <row r="701">
      <c r="A701" s="1"/>
      <c r="B701" s="1"/>
      <c r="C701" s="1"/>
      <c r="D701" s="1"/>
      <c r="E701" s="1"/>
      <c r="F701" s="1"/>
      <c r="G701" s="1"/>
      <c r="H701" s="1"/>
      <c r="I701" s="1"/>
    </row>
    <row r="702">
      <c r="A702" s="1"/>
      <c r="B702" s="1"/>
      <c r="C702" s="1"/>
      <c r="D702" s="1"/>
      <c r="E702" s="1"/>
      <c r="F702" s="1"/>
      <c r="G702" s="1"/>
      <c r="H702" s="1"/>
      <c r="I702" s="1"/>
    </row>
    <row r="703">
      <c r="A703" s="1"/>
      <c r="B703" s="1"/>
      <c r="C703" s="1"/>
      <c r="D703" s="1"/>
      <c r="E703" s="1"/>
      <c r="F703" s="1"/>
      <c r="G703" s="1"/>
      <c r="H703" s="1"/>
      <c r="I703" s="1"/>
    </row>
    <row r="704">
      <c r="A704" s="1"/>
      <c r="B704" s="1"/>
      <c r="C704" s="1"/>
      <c r="D704" s="1"/>
      <c r="E704" s="1"/>
      <c r="F704" s="1"/>
      <c r="G704" s="1"/>
      <c r="H704" s="1"/>
      <c r="I704" s="1"/>
    </row>
    <row r="705">
      <c r="A705" s="1"/>
      <c r="B705" s="1"/>
      <c r="C705" s="1"/>
      <c r="D705" s="1"/>
      <c r="E705" s="1"/>
      <c r="F705" s="1"/>
      <c r="G705" s="1"/>
      <c r="H705" s="1"/>
      <c r="I705" s="1"/>
    </row>
    <row r="706">
      <c r="A706" s="1"/>
      <c r="B706" s="1"/>
      <c r="C706" s="1"/>
      <c r="D706" s="1"/>
      <c r="E706" s="1"/>
      <c r="F706" s="1"/>
      <c r="G706" s="1"/>
      <c r="H706" s="1"/>
      <c r="I706" s="1"/>
    </row>
    <row r="707">
      <c r="A707" s="1"/>
      <c r="B707" s="1"/>
      <c r="C707" s="1"/>
      <c r="D707" s="1"/>
      <c r="E707" s="1"/>
      <c r="F707" s="1"/>
      <c r="G707" s="1"/>
      <c r="H707" s="1"/>
      <c r="I707" s="1"/>
    </row>
    <row r="708">
      <c r="A708" s="1"/>
      <c r="B708" s="1"/>
      <c r="C708" s="1"/>
      <c r="D708" s="1"/>
      <c r="E708" s="1"/>
      <c r="F708" s="1"/>
      <c r="G708" s="1"/>
      <c r="H708" s="1"/>
      <c r="I708" s="1"/>
    </row>
    <row r="709">
      <c r="A709" s="1"/>
      <c r="B709" s="1"/>
      <c r="C709" s="1"/>
      <c r="D709" s="1"/>
      <c r="E709" s="1"/>
      <c r="F709" s="1"/>
      <c r="G709" s="1"/>
      <c r="H709" s="1"/>
      <c r="I709" s="1"/>
    </row>
    <row r="710">
      <c r="A710" s="1"/>
      <c r="B710" s="1"/>
      <c r="C710" s="1"/>
      <c r="D710" s="1"/>
      <c r="E710" s="1"/>
      <c r="F710" s="1"/>
      <c r="G710" s="1"/>
      <c r="H710" s="1"/>
      <c r="I710" s="1"/>
    </row>
    <row r="711">
      <c r="A711" s="1"/>
      <c r="B711" s="1"/>
      <c r="C711" s="1"/>
      <c r="D711" s="1"/>
      <c r="E711" s="1"/>
      <c r="F711" s="1"/>
      <c r="G711" s="1"/>
      <c r="H711" s="1"/>
      <c r="I711" s="1"/>
    </row>
    <row r="712">
      <c r="A712" s="1"/>
      <c r="B712" s="1"/>
      <c r="C712" s="1"/>
      <c r="D712" s="1"/>
      <c r="E712" s="1"/>
      <c r="F712" s="1"/>
      <c r="G712" s="1"/>
      <c r="H712" s="1"/>
      <c r="I712" s="1"/>
    </row>
    <row r="713">
      <c r="A713" s="1"/>
      <c r="B713" s="1"/>
      <c r="C713" s="1"/>
      <c r="D713" s="1"/>
      <c r="E713" s="1"/>
      <c r="F713" s="1"/>
      <c r="G713" s="1"/>
      <c r="H713" s="1"/>
      <c r="I713" s="1"/>
    </row>
    <row r="714">
      <c r="A714" s="1"/>
      <c r="B714" s="1"/>
      <c r="C714" s="1"/>
      <c r="D714" s="1"/>
      <c r="E714" s="1"/>
      <c r="F714" s="1"/>
      <c r="G714" s="1"/>
      <c r="H714" s="1"/>
      <c r="I714" s="1"/>
    </row>
    <row r="715">
      <c r="A715" s="1"/>
      <c r="B715" s="1"/>
      <c r="C715" s="1"/>
      <c r="D715" s="1"/>
      <c r="E715" s="1"/>
      <c r="F715" s="1"/>
      <c r="G715" s="1"/>
      <c r="H715" s="1"/>
      <c r="I715" s="1"/>
    </row>
    <row r="716">
      <c r="A716" s="1"/>
      <c r="B716" s="1"/>
      <c r="C716" s="1"/>
      <c r="D716" s="1"/>
      <c r="E716" s="1"/>
      <c r="F716" s="1"/>
      <c r="G716" s="1"/>
      <c r="H716" s="1"/>
      <c r="I716" s="1"/>
    </row>
    <row r="717">
      <c r="A717" s="1"/>
      <c r="B717" s="1"/>
      <c r="C717" s="1"/>
      <c r="D717" s="1"/>
      <c r="E717" s="1"/>
      <c r="F717" s="1"/>
      <c r="G717" s="1"/>
      <c r="H717" s="1"/>
      <c r="I717" s="1"/>
    </row>
    <row r="718">
      <c r="A718" s="1"/>
      <c r="B718" s="1"/>
      <c r="C718" s="1"/>
      <c r="D718" s="1"/>
      <c r="E718" s="1"/>
      <c r="F718" s="1"/>
      <c r="G718" s="1"/>
      <c r="H718" s="1"/>
      <c r="I718" s="1"/>
    </row>
    <row r="719">
      <c r="A719" s="1"/>
      <c r="B719" s="1"/>
      <c r="C719" s="1"/>
      <c r="D719" s="1"/>
      <c r="E719" s="1"/>
      <c r="F719" s="1"/>
      <c r="G719" s="1"/>
      <c r="H719" s="1"/>
      <c r="I719" s="1"/>
    </row>
    <row r="720">
      <c r="A720" s="1"/>
      <c r="B720" s="1"/>
      <c r="C720" s="1"/>
      <c r="D720" s="1"/>
      <c r="E720" s="1"/>
      <c r="F720" s="1"/>
      <c r="G720" s="1"/>
      <c r="H720" s="1"/>
      <c r="I720" s="1"/>
    </row>
    <row r="721">
      <c r="A721" s="1"/>
      <c r="B721" s="1"/>
      <c r="C721" s="1"/>
      <c r="D721" s="1"/>
      <c r="E721" s="1"/>
      <c r="F721" s="1"/>
      <c r="G721" s="1"/>
      <c r="H721" s="1"/>
      <c r="I721" s="1"/>
    </row>
    <row r="722">
      <c r="A722" s="1"/>
      <c r="B722" s="1"/>
      <c r="C722" s="1"/>
      <c r="D722" s="1"/>
      <c r="E722" s="1"/>
      <c r="F722" s="1"/>
      <c r="G722" s="1"/>
      <c r="H722" s="1"/>
      <c r="I722" s="1"/>
    </row>
    <row r="723">
      <c r="A723" s="1"/>
      <c r="B723" s="1"/>
      <c r="C723" s="1"/>
      <c r="D723" s="1"/>
      <c r="E723" s="1"/>
      <c r="F723" s="1"/>
      <c r="G723" s="1"/>
      <c r="H723" s="1"/>
      <c r="I723" s="1"/>
    </row>
    <row r="724">
      <c r="A724" s="1"/>
      <c r="B724" s="1"/>
      <c r="C724" s="1"/>
      <c r="D724" s="1"/>
      <c r="E724" s="1"/>
      <c r="F724" s="1"/>
      <c r="G724" s="1"/>
      <c r="H724" s="1"/>
      <c r="I724" s="1"/>
    </row>
    <row r="725">
      <c r="A725" s="1"/>
      <c r="B725" s="1"/>
      <c r="C725" s="1"/>
      <c r="D725" s="1"/>
      <c r="E725" s="1"/>
      <c r="F725" s="1"/>
      <c r="G725" s="1"/>
      <c r="H725" s="1"/>
      <c r="I725" s="1"/>
    </row>
    <row r="726">
      <c r="A726" s="1"/>
      <c r="B726" s="1"/>
      <c r="C726" s="1"/>
      <c r="D726" s="1"/>
      <c r="E726" s="1"/>
      <c r="F726" s="1"/>
      <c r="G726" s="1"/>
      <c r="H726" s="1"/>
      <c r="I726" s="1"/>
    </row>
    <row r="727">
      <c r="A727" s="1"/>
      <c r="B727" s="1"/>
      <c r="C727" s="1"/>
      <c r="D727" s="1"/>
      <c r="E727" s="1"/>
      <c r="F727" s="1"/>
      <c r="G727" s="1"/>
      <c r="H727" s="1"/>
      <c r="I727" s="1"/>
    </row>
    <row r="728">
      <c r="A728" s="1"/>
      <c r="B728" s="1"/>
      <c r="C728" s="1"/>
      <c r="D728" s="1"/>
      <c r="E728" s="1"/>
      <c r="F728" s="1"/>
      <c r="G728" s="1"/>
      <c r="H728" s="1"/>
      <c r="I728" s="1"/>
    </row>
    <row r="729">
      <c r="A729" s="1"/>
      <c r="B729" s="1"/>
      <c r="C729" s="1"/>
      <c r="D729" s="1"/>
      <c r="E729" s="1"/>
      <c r="F729" s="1"/>
      <c r="G729" s="1"/>
      <c r="H729" s="1"/>
      <c r="I729" s="1"/>
    </row>
    <row r="730">
      <c r="A730" s="1"/>
      <c r="B730" s="1"/>
      <c r="C730" s="1"/>
      <c r="D730" s="1"/>
      <c r="E730" s="1"/>
      <c r="F730" s="1"/>
      <c r="G730" s="1"/>
      <c r="H730" s="1"/>
      <c r="I730" s="1"/>
    </row>
    <row r="731">
      <c r="A731" s="1"/>
      <c r="B731" s="1"/>
      <c r="C731" s="1"/>
      <c r="D731" s="1"/>
      <c r="E731" s="1"/>
      <c r="F731" s="1"/>
      <c r="G731" s="1"/>
      <c r="H731" s="1"/>
      <c r="I731" s="1"/>
    </row>
    <row r="732">
      <c r="A732" s="1"/>
      <c r="B732" s="1"/>
      <c r="C732" s="1"/>
      <c r="D732" s="1"/>
      <c r="E732" s="1"/>
      <c r="F732" s="1"/>
      <c r="G732" s="1"/>
      <c r="H732" s="1"/>
      <c r="I732" s="1"/>
    </row>
    <row r="733">
      <c r="A733" s="1"/>
      <c r="B733" s="1"/>
      <c r="C733" s="1"/>
      <c r="D733" s="1"/>
      <c r="E733" s="1"/>
      <c r="F733" s="1"/>
      <c r="G733" s="1"/>
      <c r="H733" s="1"/>
      <c r="I733" s="1"/>
    </row>
    <row r="734">
      <c r="A734" s="1"/>
      <c r="B734" s="1"/>
      <c r="C734" s="1"/>
      <c r="D734" s="1"/>
      <c r="E734" s="1"/>
      <c r="F734" s="1"/>
      <c r="G734" s="1"/>
      <c r="H734" s="1"/>
      <c r="I734" s="1"/>
    </row>
    <row r="735">
      <c r="A735" s="1"/>
      <c r="B735" s="1"/>
      <c r="C735" s="1"/>
      <c r="D735" s="1"/>
      <c r="E735" s="1"/>
      <c r="F735" s="1"/>
      <c r="G735" s="1"/>
      <c r="H735" s="1"/>
      <c r="I735" s="1"/>
    </row>
    <row r="736">
      <c r="A736" s="1"/>
      <c r="B736" s="1"/>
      <c r="C736" s="1"/>
      <c r="D736" s="1"/>
      <c r="E736" s="1"/>
      <c r="F736" s="1"/>
      <c r="G736" s="1"/>
      <c r="H736" s="1"/>
      <c r="I736" s="1"/>
    </row>
    <row r="737">
      <c r="A737" s="1"/>
      <c r="B737" s="1"/>
      <c r="C737" s="1"/>
      <c r="D737" s="1"/>
      <c r="E737" s="1"/>
      <c r="F737" s="1"/>
      <c r="G737" s="1"/>
      <c r="H737" s="1"/>
      <c r="I737" s="1"/>
    </row>
    <row r="738">
      <c r="A738" s="1"/>
      <c r="B738" s="1"/>
      <c r="C738" s="1"/>
      <c r="D738" s="1"/>
      <c r="E738" s="1"/>
      <c r="F738" s="1"/>
      <c r="G738" s="1"/>
      <c r="H738" s="1"/>
      <c r="I738" s="1"/>
    </row>
    <row r="739">
      <c r="A739" s="1"/>
      <c r="B739" s="1"/>
      <c r="C739" s="1"/>
      <c r="D739" s="1"/>
      <c r="E739" s="1"/>
      <c r="F739" s="1"/>
      <c r="G739" s="1"/>
      <c r="H739" s="1"/>
      <c r="I739" s="1"/>
    </row>
    <row r="740">
      <c r="A740" s="1"/>
      <c r="B740" s="1"/>
      <c r="C740" s="1"/>
      <c r="D740" s="1"/>
      <c r="E740" s="1"/>
      <c r="F740" s="1"/>
      <c r="G740" s="1"/>
      <c r="H740" s="1"/>
      <c r="I740" s="1"/>
    </row>
    <row r="741">
      <c r="A741" s="1"/>
      <c r="B741" s="1"/>
      <c r="C741" s="1"/>
      <c r="D741" s="1"/>
      <c r="E741" s="1"/>
      <c r="F741" s="1"/>
      <c r="G741" s="1"/>
      <c r="H741" s="1"/>
      <c r="I741" s="1"/>
    </row>
    <row r="742">
      <c r="A742" s="1"/>
      <c r="B742" s="1"/>
      <c r="C742" s="1"/>
      <c r="D742" s="1"/>
      <c r="E742" s="1"/>
      <c r="F742" s="1"/>
      <c r="G742" s="1"/>
      <c r="H742" s="1"/>
      <c r="I742" s="1"/>
    </row>
    <row r="743">
      <c r="A743" s="1"/>
      <c r="B743" s="1"/>
      <c r="C743" s="1"/>
      <c r="D743" s="1"/>
      <c r="E743" s="1"/>
      <c r="F743" s="1"/>
      <c r="G743" s="1"/>
      <c r="H743" s="1"/>
      <c r="I743" s="1"/>
    </row>
    <row r="744">
      <c r="A744" s="1"/>
      <c r="B744" s="1"/>
      <c r="C744" s="1"/>
      <c r="D744" s="1"/>
      <c r="E744" s="1"/>
      <c r="F744" s="1"/>
      <c r="G744" s="1"/>
      <c r="H744" s="1"/>
      <c r="I744" s="1"/>
    </row>
    <row r="745">
      <c r="A745" s="1"/>
      <c r="B745" s="1"/>
      <c r="C745" s="1"/>
      <c r="D745" s="1"/>
      <c r="E745" s="1"/>
      <c r="F745" s="1"/>
      <c r="G745" s="1"/>
      <c r="H745" s="1"/>
      <c r="I745" s="1"/>
    </row>
    <row r="746">
      <c r="A746" s="1"/>
      <c r="B746" s="1"/>
      <c r="C746" s="1"/>
      <c r="D746" s="1"/>
      <c r="E746" s="1"/>
      <c r="F746" s="1"/>
      <c r="G746" s="1"/>
      <c r="H746" s="1"/>
      <c r="I746" s="1"/>
    </row>
    <row r="747">
      <c r="A747" s="1"/>
      <c r="B747" s="1"/>
      <c r="C747" s="1"/>
      <c r="D747" s="1"/>
      <c r="E747" s="1"/>
      <c r="F747" s="1"/>
      <c r="G747" s="1"/>
      <c r="H747" s="1"/>
      <c r="I747" s="1"/>
    </row>
    <row r="748">
      <c r="A748" s="1"/>
      <c r="B748" s="1"/>
      <c r="C748" s="1"/>
      <c r="D748" s="1"/>
      <c r="E748" s="1"/>
      <c r="F748" s="1"/>
      <c r="G748" s="1"/>
      <c r="H748" s="1"/>
      <c r="I748" s="1"/>
    </row>
    <row r="749">
      <c r="A749" s="1"/>
      <c r="B749" s="1"/>
      <c r="C749" s="1"/>
      <c r="D749" s="1"/>
      <c r="E749" s="1"/>
      <c r="F749" s="1"/>
      <c r="G749" s="1"/>
      <c r="H749" s="1"/>
      <c r="I749" s="1"/>
    </row>
    <row r="750">
      <c r="A750" s="1"/>
      <c r="B750" s="1"/>
      <c r="C750" s="1"/>
      <c r="D750" s="1"/>
      <c r="E750" s="1"/>
      <c r="F750" s="1"/>
      <c r="G750" s="1"/>
      <c r="H750" s="1"/>
      <c r="I750" s="1"/>
    </row>
    <row r="751">
      <c r="A751" s="1"/>
      <c r="B751" s="1"/>
      <c r="C751" s="1"/>
      <c r="D751" s="1"/>
      <c r="E751" s="1"/>
      <c r="F751" s="1"/>
      <c r="G751" s="1"/>
      <c r="H751" s="1"/>
      <c r="I751" s="1"/>
    </row>
    <row r="752">
      <c r="A752" s="1"/>
      <c r="B752" s="1"/>
      <c r="C752" s="1"/>
      <c r="D752" s="1"/>
      <c r="E752" s="1"/>
      <c r="F752" s="1"/>
      <c r="G752" s="1"/>
      <c r="H752" s="1"/>
      <c r="I752" s="1"/>
    </row>
    <row r="753">
      <c r="A753" s="1"/>
      <c r="B753" s="1"/>
      <c r="C753" s="1"/>
      <c r="D753" s="1"/>
      <c r="E753" s="1"/>
      <c r="F753" s="1"/>
      <c r="G753" s="1"/>
      <c r="H753" s="1"/>
      <c r="I753" s="1"/>
    </row>
    <row r="754">
      <c r="A754" s="1"/>
      <c r="B754" s="1"/>
      <c r="C754" s="1"/>
      <c r="D754" s="1"/>
      <c r="E754" s="1"/>
      <c r="F754" s="1"/>
      <c r="G754" s="1"/>
      <c r="H754" s="1"/>
      <c r="I754" s="1"/>
    </row>
    <row r="755">
      <c r="A755" s="1"/>
      <c r="B755" s="1"/>
      <c r="C755" s="1"/>
      <c r="D755" s="1"/>
      <c r="E755" s="1"/>
      <c r="F755" s="1"/>
      <c r="G755" s="1"/>
      <c r="H755" s="1"/>
      <c r="I755" s="1"/>
    </row>
    <row r="756">
      <c r="A756" s="1"/>
      <c r="B756" s="1"/>
      <c r="C756" s="1"/>
      <c r="D756" s="1"/>
      <c r="E756" s="1"/>
      <c r="F756" s="1"/>
      <c r="G756" s="1"/>
      <c r="H756" s="1"/>
      <c r="I756" s="1"/>
    </row>
    <row r="757">
      <c r="A757" s="1"/>
      <c r="B757" s="1"/>
      <c r="C757" s="1"/>
      <c r="D757" s="1"/>
      <c r="E757" s="1"/>
      <c r="F757" s="1"/>
      <c r="G757" s="1"/>
      <c r="H757" s="1"/>
      <c r="I757" s="1"/>
    </row>
    <row r="758">
      <c r="A758" s="1"/>
      <c r="B758" s="1"/>
      <c r="C758" s="1"/>
      <c r="D758" s="1"/>
      <c r="E758" s="1"/>
      <c r="F758" s="1"/>
      <c r="G758" s="1"/>
      <c r="H758" s="1"/>
      <c r="I758" s="1"/>
    </row>
    <row r="759">
      <c r="A759" s="1"/>
      <c r="B759" s="1"/>
      <c r="C759" s="1"/>
      <c r="D759" s="1"/>
      <c r="E759" s="1"/>
      <c r="F759" s="1"/>
      <c r="G759" s="1"/>
      <c r="H759" s="1"/>
      <c r="I759" s="1"/>
    </row>
    <row r="760">
      <c r="A760" s="1"/>
      <c r="B760" s="1"/>
      <c r="C760" s="1"/>
      <c r="D760" s="1"/>
      <c r="E760" s="1"/>
      <c r="F760" s="1"/>
      <c r="G760" s="1"/>
      <c r="H760" s="1"/>
      <c r="I760" s="1"/>
    </row>
    <row r="761">
      <c r="A761" s="1"/>
      <c r="B761" s="1"/>
      <c r="C761" s="1"/>
      <c r="D761" s="1"/>
      <c r="E761" s="1"/>
      <c r="F761" s="1"/>
      <c r="G761" s="1"/>
      <c r="H761" s="1"/>
      <c r="I761" s="1"/>
    </row>
    <row r="762">
      <c r="A762" s="1"/>
      <c r="B762" s="1"/>
      <c r="C762" s="1"/>
      <c r="D762" s="1"/>
      <c r="E762" s="1"/>
      <c r="F762" s="1"/>
      <c r="G762" s="1"/>
      <c r="H762" s="1"/>
      <c r="I762" s="1"/>
    </row>
    <row r="763">
      <c r="A763" s="1"/>
      <c r="B763" s="1"/>
      <c r="C763" s="1"/>
      <c r="D763" s="1"/>
      <c r="E763" s="1"/>
      <c r="F763" s="1"/>
      <c r="G763" s="1"/>
      <c r="H763" s="1"/>
      <c r="I763" s="1"/>
    </row>
    <row r="764">
      <c r="A764" s="1"/>
      <c r="B764" s="1"/>
      <c r="C764" s="1"/>
      <c r="D764" s="1"/>
      <c r="E764" s="1"/>
      <c r="F764" s="1"/>
      <c r="G764" s="1"/>
      <c r="H764" s="1"/>
      <c r="I764" s="1"/>
    </row>
    <row r="765">
      <c r="A765" s="1"/>
      <c r="B765" s="1"/>
      <c r="C765" s="1"/>
      <c r="D765" s="1"/>
      <c r="E765" s="1"/>
      <c r="F765" s="1"/>
      <c r="G765" s="1"/>
      <c r="H765" s="1"/>
      <c r="I765" s="1"/>
    </row>
    <row r="766">
      <c r="A766" s="1"/>
      <c r="B766" s="1"/>
      <c r="C766" s="1"/>
      <c r="D766" s="1"/>
      <c r="E766" s="1"/>
      <c r="F766" s="1"/>
      <c r="G766" s="1"/>
      <c r="H766" s="1"/>
      <c r="I766" s="1"/>
    </row>
    <row r="767">
      <c r="A767" s="1"/>
      <c r="B767" s="1"/>
      <c r="C767" s="1"/>
      <c r="D767" s="1"/>
      <c r="E767" s="1"/>
      <c r="F767" s="1"/>
      <c r="G767" s="1"/>
      <c r="H767" s="1"/>
      <c r="I767" s="1"/>
    </row>
    <row r="768">
      <c r="A768" s="1"/>
      <c r="B768" s="1"/>
      <c r="C768" s="1"/>
      <c r="D768" s="1"/>
      <c r="E768" s="1"/>
      <c r="F768" s="1"/>
      <c r="G768" s="1"/>
      <c r="H768" s="1"/>
      <c r="I768" s="1"/>
    </row>
    <row r="769">
      <c r="A769" s="1"/>
      <c r="B769" s="1"/>
      <c r="C769" s="1"/>
      <c r="D769" s="1"/>
      <c r="E769" s="1"/>
      <c r="F769" s="1"/>
      <c r="G769" s="1"/>
      <c r="H769" s="1"/>
      <c r="I769" s="1"/>
    </row>
    <row r="770">
      <c r="A770" s="1"/>
      <c r="B770" s="1"/>
      <c r="C770" s="1"/>
      <c r="D770" s="1"/>
      <c r="E770" s="1"/>
      <c r="F770" s="1"/>
      <c r="G770" s="1"/>
      <c r="H770" s="1"/>
      <c r="I770" s="1"/>
    </row>
    <row r="771">
      <c r="A771" s="1"/>
      <c r="B771" s="1"/>
      <c r="C771" s="1"/>
      <c r="D771" s="1"/>
      <c r="E771" s="1"/>
      <c r="F771" s="1"/>
      <c r="G771" s="1"/>
      <c r="H771" s="1"/>
      <c r="I771" s="1"/>
    </row>
    <row r="772">
      <c r="A772" s="1"/>
      <c r="B772" s="1"/>
      <c r="C772" s="1"/>
      <c r="D772" s="1"/>
      <c r="E772" s="1"/>
      <c r="F772" s="1"/>
      <c r="G772" s="1"/>
      <c r="H772" s="1"/>
      <c r="I772" s="1"/>
    </row>
    <row r="773">
      <c r="A773" s="1"/>
      <c r="B773" s="1"/>
      <c r="C773" s="1"/>
      <c r="D773" s="1"/>
      <c r="E773" s="1"/>
      <c r="F773" s="1"/>
      <c r="G773" s="1"/>
      <c r="H773" s="1"/>
      <c r="I773" s="1"/>
    </row>
    <row r="774">
      <c r="A774" s="1"/>
      <c r="B774" s="1"/>
      <c r="C774" s="1"/>
      <c r="D774" s="1"/>
      <c r="E774" s="1"/>
      <c r="F774" s="1"/>
      <c r="G774" s="1"/>
      <c r="H774" s="1"/>
      <c r="I774" s="1"/>
    </row>
    <row r="775">
      <c r="A775" s="1"/>
      <c r="B775" s="1"/>
      <c r="C775" s="1"/>
      <c r="D775" s="1"/>
      <c r="E775" s="1"/>
      <c r="F775" s="1"/>
      <c r="G775" s="1"/>
      <c r="H775" s="1"/>
      <c r="I775" s="1"/>
    </row>
    <row r="776">
      <c r="A776" s="1"/>
      <c r="B776" s="1"/>
      <c r="C776" s="1"/>
      <c r="D776" s="1"/>
      <c r="E776" s="1"/>
      <c r="F776" s="1"/>
      <c r="G776" s="1"/>
      <c r="H776" s="1"/>
      <c r="I776" s="1"/>
    </row>
    <row r="777">
      <c r="A777" s="1"/>
      <c r="B777" s="1"/>
      <c r="C777" s="1"/>
      <c r="D777" s="1"/>
      <c r="E777" s="1"/>
      <c r="F777" s="1"/>
      <c r="G777" s="1"/>
      <c r="H777" s="1"/>
      <c r="I777" s="1"/>
    </row>
    <row r="778">
      <c r="A778" s="1"/>
      <c r="B778" s="1"/>
      <c r="C778" s="1"/>
      <c r="D778" s="1"/>
      <c r="E778" s="1"/>
      <c r="F778" s="1"/>
      <c r="G778" s="1"/>
      <c r="H778" s="1"/>
      <c r="I778" s="1"/>
    </row>
    <row r="779">
      <c r="A779" s="1"/>
      <c r="B779" s="1"/>
      <c r="C779" s="1"/>
      <c r="D779" s="1"/>
      <c r="E779" s="1"/>
      <c r="F779" s="1"/>
      <c r="G779" s="1"/>
      <c r="H779" s="1"/>
      <c r="I779" s="1"/>
    </row>
    <row r="780">
      <c r="A780" s="1"/>
      <c r="B780" s="1"/>
      <c r="C780" s="1"/>
      <c r="D780" s="1"/>
      <c r="E780" s="1"/>
      <c r="F780" s="1"/>
      <c r="G780" s="1"/>
      <c r="H780" s="1"/>
      <c r="I780" s="1"/>
    </row>
    <row r="781">
      <c r="A781" s="1"/>
      <c r="B781" s="1"/>
      <c r="C781" s="1"/>
      <c r="D781" s="1"/>
      <c r="E781" s="1"/>
      <c r="F781" s="1"/>
      <c r="G781" s="1"/>
      <c r="H781" s="1"/>
      <c r="I781" s="1"/>
    </row>
    <row r="782">
      <c r="A782" s="1"/>
      <c r="B782" s="1"/>
      <c r="C782" s="1"/>
      <c r="D782" s="1"/>
      <c r="E782" s="1"/>
      <c r="F782" s="1"/>
      <c r="G782" s="1"/>
      <c r="H782" s="1"/>
      <c r="I782" s="1"/>
    </row>
    <row r="783">
      <c r="A783" s="1"/>
      <c r="B783" s="1"/>
      <c r="C783" s="1"/>
      <c r="D783" s="1"/>
      <c r="E783" s="1"/>
      <c r="F783" s="1"/>
      <c r="G783" s="1"/>
      <c r="H783" s="1"/>
      <c r="I783" s="1"/>
    </row>
    <row r="784">
      <c r="A784" s="1"/>
      <c r="B784" s="1"/>
      <c r="C784" s="1"/>
      <c r="D784" s="1"/>
      <c r="E784" s="1"/>
      <c r="F784" s="1"/>
      <c r="G784" s="1"/>
      <c r="H784" s="1"/>
      <c r="I784" s="1"/>
    </row>
    <row r="785">
      <c r="A785" s="1"/>
      <c r="B785" s="1"/>
      <c r="C785" s="1"/>
      <c r="D785" s="1"/>
      <c r="E785" s="1"/>
      <c r="F785" s="1"/>
      <c r="G785" s="1"/>
      <c r="H785" s="1"/>
      <c r="I785" s="1"/>
    </row>
    <row r="786">
      <c r="A786" s="1"/>
      <c r="B786" s="1"/>
      <c r="C786" s="1"/>
      <c r="D786" s="1"/>
      <c r="E786" s="1"/>
      <c r="F786" s="1"/>
      <c r="G786" s="1"/>
      <c r="H786" s="1"/>
      <c r="I786" s="1"/>
    </row>
    <row r="787">
      <c r="A787" s="1"/>
      <c r="B787" s="1"/>
      <c r="C787" s="1"/>
      <c r="D787" s="1"/>
      <c r="E787" s="1"/>
      <c r="F787" s="1"/>
      <c r="G787" s="1"/>
      <c r="H787" s="1"/>
      <c r="I787" s="1"/>
    </row>
    <row r="788">
      <c r="A788" s="1"/>
      <c r="B788" s="1"/>
      <c r="C788" s="1"/>
      <c r="D788" s="1"/>
      <c r="E788" s="1"/>
      <c r="F788" s="1"/>
      <c r="G788" s="1"/>
      <c r="H788" s="1"/>
      <c r="I788" s="1"/>
    </row>
    <row r="789">
      <c r="A789" s="1"/>
      <c r="B789" s="1"/>
      <c r="C789" s="1"/>
      <c r="D789" s="1"/>
      <c r="E789" s="1"/>
      <c r="F789" s="1"/>
      <c r="G789" s="1"/>
      <c r="H789" s="1"/>
      <c r="I789" s="1"/>
    </row>
    <row r="790">
      <c r="A790" s="1"/>
      <c r="B790" s="1"/>
      <c r="C790" s="1"/>
      <c r="D790" s="1"/>
      <c r="E790" s="1"/>
      <c r="F790" s="1"/>
      <c r="G790" s="1"/>
      <c r="H790" s="1"/>
      <c r="I790" s="1"/>
    </row>
    <row r="791">
      <c r="A791" s="1"/>
      <c r="B791" s="1"/>
      <c r="C791" s="1"/>
      <c r="D791" s="1"/>
      <c r="E791" s="1"/>
      <c r="F791" s="1"/>
      <c r="G791" s="1"/>
      <c r="H791" s="1"/>
      <c r="I791" s="1"/>
    </row>
    <row r="792">
      <c r="A792" s="1"/>
      <c r="B792" s="1"/>
      <c r="C792" s="1"/>
      <c r="D792" s="1"/>
      <c r="E792" s="1"/>
      <c r="F792" s="1"/>
      <c r="G792" s="1"/>
      <c r="H792" s="1"/>
      <c r="I792" s="1"/>
    </row>
    <row r="793">
      <c r="A793" s="1"/>
      <c r="B793" s="1"/>
      <c r="C793" s="1"/>
      <c r="D793" s="1"/>
      <c r="E793" s="1"/>
      <c r="F793" s="1"/>
      <c r="G793" s="1"/>
      <c r="H793" s="1"/>
      <c r="I793" s="1"/>
    </row>
    <row r="794">
      <c r="A794" s="1"/>
      <c r="B794" s="1"/>
      <c r="C794" s="1"/>
      <c r="D794" s="1"/>
      <c r="E794" s="1"/>
      <c r="F794" s="1"/>
      <c r="G794" s="1"/>
      <c r="H794" s="1"/>
      <c r="I794" s="1"/>
    </row>
    <row r="795">
      <c r="A795" s="1"/>
      <c r="B795" s="1"/>
      <c r="C795" s="1"/>
      <c r="D795" s="1"/>
      <c r="E795" s="1"/>
      <c r="F795" s="1"/>
      <c r="G795" s="1"/>
      <c r="H795" s="1"/>
      <c r="I795" s="1"/>
    </row>
    <row r="796">
      <c r="A796" s="1"/>
      <c r="B796" s="1"/>
      <c r="C796" s="1"/>
      <c r="D796" s="1"/>
      <c r="E796" s="1"/>
      <c r="F796" s="1"/>
      <c r="G796" s="1"/>
      <c r="H796" s="1"/>
      <c r="I796" s="1"/>
    </row>
    <row r="797">
      <c r="A797" s="1"/>
      <c r="B797" s="1"/>
      <c r="C797" s="1"/>
      <c r="D797" s="1"/>
      <c r="E797" s="1"/>
      <c r="F797" s="1"/>
      <c r="G797" s="1"/>
      <c r="H797" s="1"/>
      <c r="I797" s="1"/>
    </row>
    <row r="798">
      <c r="A798" s="1"/>
      <c r="B798" s="1"/>
      <c r="C798" s="1"/>
      <c r="D798" s="1"/>
      <c r="E798" s="1"/>
      <c r="F798" s="1"/>
      <c r="G798" s="1"/>
      <c r="H798" s="1"/>
      <c r="I798" s="1"/>
    </row>
    <row r="799">
      <c r="A799" s="1"/>
      <c r="B799" s="1"/>
      <c r="C799" s="1"/>
      <c r="D799" s="1"/>
      <c r="E799" s="1"/>
      <c r="F799" s="1"/>
      <c r="G799" s="1"/>
      <c r="H799" s="1"/>
      <c r="I799" s="1"/>
    </row>
    <row r="800">
      <c r="A800" s="1"/>
      <c r="B800" s="1"/>
      <c r="C800" s="1"/>
      <c r="D800" s="1"/>
      <c r="E800" s="1"/>
      <c r="F800" s="1"/>
      <c r="G800" s="1"/>
      <c r="H800" s="1"/>
      <c r="I800" s="1"/>
    </row>
    <row r="801">
      <c r="A801" s="1"/>
      <c r="B801" s="1"/>
      <c r="C801" s="1"/>
      <c r="D801" s="1"/>
      <c r="E801" s="1"/>
      <c r="F801" s="1"/>
      <c r="G801" s="1"/>
      <c r="H801" s="1"/>
      <c r="I801" s="1"/>
    </row>
    <row r="802">
      <c r="A802" s="1"/>
      <c r="B802" s="1"/>
      <c r="C802" s="1"/>
      <c r="D802" s="1"/>
      <c r="E802" s="1"/>
      <c r="F802" s="1"/>
      <c r="G802" s="1"/>
      <c r="H802" s="1"/>
      <c r="I802" s="1"/>
    </row>
    <row r="803">
      <c r="A803" s="1"/>
      <c r="B803" s="1"/>
      <c r="C803" s="1"/>
      <c r="D803" s="1"/>
      <c r="E803" s="1"/>
      <c r="F803" s="1"/>
      <c r="G803" s="1"/>
      <c r="H803" s="1"/>
      <c r="I803" s="1"/>
    </row>
    <row r="804">
      <c r="A804" s="1"/>
      <c r="B804" s="1"/>
      <c r="C804" s="1"/>
      <c r="D804" s="1"/>
      <c r="E804" s="1"/>
      <c r="F804" s="1"/>
      <c r="G804" s="1"/>
      <c r="H804" s="1"/>
      <c r="I804" s="1"/>
    </row>
    <row r="805">
      <c r="A805" s="1"/>
      <c r="B805" s="1"/>
      <c r="C805" s="1"/>
      <c r="D805" s="1"/>
      <c r="E805" s="1"/>
      <c r="F805" s="1"/>
      <c r="G805" s="1"/>
      <c r="H805" s="1"/>
      <c r="I805" s="1"/>
    </row>
    <row r="806">
      <c r="A806" s="1"/>
      <c r="B806" s="1"/>
      <c r="C806" s="1"/>
      <c r="D806" s="1"/>
      <c r="E806" s="1"/>
      <c r="F806" s="1"/>
      <c r="G806" s="1"/>
      <c r="H806" s="1"/>
      <c r="I806" s="1"/>
    </row>
    <row r="807">
      <c r="A807" s="1"/>
      <c r="B807" s="1"/>
      <c r="C807" s="1"/>
      <c r="D807" s="1"/>
      <c r="E807" s="1"/>
      <c r="F807" s="1"/>
      <c r="G807" s="1"/>
      <c r="H807" s="1"/>
      <c r="I807" s="1"/>
    </row>
    <row r="808">
      <c r="A808" s="1"/>
      <c r="B808" s="1"/>
      <c r="C808" s="1"/>
      <c r="D808" s="1"/>
      <c r="E808" s="1"/>
      <c r="F808" s="1"/>
      <c r="G808" s="1"/>
      <c r="H808" s="1"/>
      <c r="I808" s="1"/>
    </row>
    <row r="809">
      <c r="A809" s="1"/>
      <c r="B809" s="1"/>
      <c r="C809" s="1"/>
      <c r="D809" s="1"/>
      <c r="E809" s="1"/>
      <c r="F809" s="1"/>
      <c r="G809" s="1"/>
      <c r="H809" s="1"/>
      <c r="I809" s="1"/>
    </row>
    <row r="810">
      <c r="A810" s="1"/>
      <c r="B810" s="1"/>
      <c r="C810" s="1"/>
      <c r="D810" s="1"/>
      <c r="E810" s="1"/>
      <c r="F810" s="1"/>
      <c r="G810" s="1"/>
      <c r="H810" s="1"/>
      <c r="I810" s="1"/>
    </row>
    <row r="811">
      <c r="A811" s="1"/>
      <c r="B811" s="1"/>
      <c r="C811" s="1"/>
      <c r="D811" s="1"/>
      <c r="E811" s="1"/>
      <c r="F811" s="1"/>
      <c r="G811" s="1"/>
      <c r="H811" s="1"/>
      <c r="I811" s="1"/>
    </row>
    <row r="812">
      <c r="A812" s="1"/>
      <c r="B812" s="1"/>
      <c r="C812" s="1"/>
      <c r="D812" s="1"/>
      <c r="E812" s="1"/>
      <c r="F812" s="1"/>
      <c r="G812" s="1"/>
      <c r="H812" s="1"/>
      <c r="I812" s="1"/>
    </row>
    <row r="813">
      <c r="A813" s="1"/>
      <c r="B813" s="1"/>
      <c r="C813" s="1"/>
      <c r="D813" s="1"/>
      <c r="E813" s="1"/>
      <c r="F813" s="1"/>
      <c r="G813" s="1"/>
      <c r="H813" s="1"/>
      <c r="I813" s="1"/>
    </row>
    <row r="814">
      <c r="A814" s="1"/>
      <c r="B814" s="1"/>
      <c r="C814" s="1"/>
      <c r="D814" s="1"/>
      <c r="E814" s="1"/>
      <c r="F814" s="1"/>
      <c r="G814" s="1"/>
      <c r="H814" s="1"/>
      <c r="I814" s="1"/>
    </row>
    <row r="815">
      <c r="A815" s="1"/>
      <c r="B815" s="1"/>
      <c r="C815" s="1"/>
      <c r="D815" s="1"/>
      <c r="E815" s="1"/>
      <c r="F815" s="1"/>
      <c r="G815" s="1"/>
      <c r="H815" s="1"/>
      <c r="I815" s="1"/>
    </row>
    <row r="816">
      <c r="A816" s="1"/>
      <c r="B816" s="1"/>
      <c r="C816" s="1"/>
      <c r="D816" s="1"/>
      <c r="E816" s="1"/>
      <c r="F816" s="1"/>
      <c r="G816" s="1"/>
      <c r="H816" s="1"/>
      <c r="I816" s="1"/>
    </row>
    <row r="817">
      <c r="A817" s="1"/>
      <c r="B817" s="1"/>
      <c r="C817" s="1"/>
      <c r="D817" s="1"/>
      <c r="E817" s="1"/>
      <c r="F817" s="1"/>
      <c r="G817" s="1"/>
      <c r="H817" s="1"/>
      <c r="I817" s="1"/>
    </row>
    <row r="818">
      <c r="A818" s="1"/>
      <c r="B818" s="1"/>
      <c r="C818" s="1"/>
      <c r="D818" s="1"/>
      <c r="E818" s="1"/>
      <c r="F818" s="1"/>
      <c r="G818" s="1"/>
      <c r="H818" s="1"/>
      <c r="I818" s="1"/>
    </row>
    <row r="819">
      <c r="A819" s="1"/>
      <c r="B819" s="1"/>
      <c r="C819" s="1"/>
      <c r="D819" s="1"/>
      <c r="E819" s="1"/>
      <c r="F819" s="1"/>
      <c r="G819" s="1"/>
      <c r="H819" s="1"/>
      <c r="I819" s="1"/>
    </row>
    <row r="820">
      <c r="A820" s="1"/>
      <c r="B820" s="1"/>
      <c r="C820" s="1"/>
      <c r="D820" s="1"/>
      <c r="E820" s="1"/>
      <c r="F820" s="1"/>
      <c r="G820" s="1"/>
      <c r="H820" s="1"/>
      <c r="I820" s="1"/>
    </row>
    <row r="821">
      <c r="A821" s="1"/>
      <c r="B821" s="1"/>
      <c r="C821" s="1"/>
      <c r="D821" s="1"/>
      <c r="E821" s="1"/>
      <c r="F821" s="1"/>
      <c r="G821" s="1"/>
      <c r="H821" s="1"/>
      <c r="I821" s="1"/>
    </row>
    <row r="822">
      <c r="A822" s="1"/>
      <c r="B822" s="1"/>
      <c r="C822" s="1"/>
      <c r="D822" s="1"/>
      <c r="E822" s="1"/>
      <c r="F822" s="1"/>
      <c r="G822" s="1"/>
      <c r="H822" s="1"/>
      <c r="I822" s="1"/>
    </row>
    <row r="823">
      <c r="A823" s="1"/>
      <c r="B823" s="1"/>
      <c r="C823" s="1"/>
      <c r="D823" s="1"/>
      <c r="E823" s="1"/>
      <c r="F823" s="1"/>
      <c r="G823" s="1"/>
      <c r="H823" s="1"/>
      <c r="I823" s="1"/>
    </row>
    <row r="824">
      <c r="A824" s="1"/>
      <c r="B824" s="1"/>
      <c r="C824" s="1"/>
      <c r="D824" s="1"/>
      <c r="E824" s="1"/>
      <c r="F824" s="1"/>
      <c r="G824" s="1"/>
      <c r="H824" s="1"/>
      <c r="I824" s="1"/>
    </row>
    <row r="825">
      <c r="A825" s="1"/>
      <c r="B825" s="1"/>
      <c r="C825" s="1"/>
      <c r="D825" s="1"/>
      <c r="E825" s="1"/>
      <c r="F825" s="1"/>
      <c r="G825" s="1"/>
      <c r="H825" s="1"/>
      <c r="I825" s="1"/>
    </row>
    <row r="826">
      <c r="A826" s="1"/>
      <c r="B826" s="1"/>
      <c r="C826" s="1"/>
      <c r="D826" s="1"/>
      <c r="E826" s="1"/>
      <c r="F826" s="1"/>
      <c r="G826" s="1"/>
      <c r="H826" s="1"/>
      <c r="I826" s="1"/>
    </row>
    <row r="827">
      <c r="A827" s="1"/>
      <c r="B827" s="1"/>
      <c r="C827" s="1"/>
      <c r="D827" s="1"/>
      <c r="E827" s="1"/>
      <c r="F827" s="1"/>
      <c r="G827" s="1"/>
      <c r="H827" s="1"/>
      <c r="I827" s="1"/>
    </row>
    <row r="828">
      <c r="A828" s="1"/>
      <c r="B828" s="1"/>
      <c r="C828" s="1"/>
      <c r="D828" s="1"/>
      <c r="E828" s="1"/>
      <c r="F828" s="1"/>
      <c r="G828" s="1"/>
      <c r="H828" s="1"/>
      <c r="I828" s="1"/>
    </row>
    <row r="829">
      <c r="A829" s="1"/>
      <c r="B829" s="1"/>
      <c r="C829" s="1"/>
      <c r="D829" s="1"/>
      <c r="E829" s="1"/>
      <c r="F829" s="1"/>
      <c r="G829" s="1"/>
      <c r="H829" s="1"/>
      <c r="I829" s="1"/>
    </row>
    <row r="830">
      <c r="A830" s="1"/>
      <c r="B830" s="1"/>
      <c r="C830" s="1"/>
      <c r="D830" s="1"/>
      <c r="E830" s="1"/>
      <c r="F830" s="1"/>
      <c r="G830" s="1"/>
      <c r="H830" s="1"/>
      <c r="I830" s="1"/>
    </row>
    <row r="831">
      <c r="A831" s="1"/>
      <c r="B831" s="1"/>
      <c r="C831" s="1"/>
      <c r="D831" s="1"/>
      <c r="E831" s="1"/>
      <c r="F831" s="1"/>
      <c r="G831" s="1"/>
      <c r="H831" s="1"/>
      <c r="I831" s="1"/>
    </row>
    <row r="832">
      <c r="A832" s="1"/>
      <c r="B832" s="1"/>
      <c r="C832" s="1"/>
      <c r="D832" s="1"/>
      <c r="E832" s="1"/>
      <c r="F832" s="1"/>
      <c r="G832" s="1"/>
      <c r="H832" s="1"/>
      <c r="I832" s="1"/>
    </row>
    <row r="833">
      <c r="A833" s="1"/>
      <c r="B833" s="1"/>
      <c r="C833" s="1"/>
      <c r="D833" s="1"/>
      <c r="E833" s="1"/>
      <c r="F833" s="1"/>
      <c r="G833" s="1"/>
      <c r="H833" s="1"/>
      <c r="I833" s="1"/>
    </row>
    <row r="834">
      <c r="A834" s="1"/>
      <c r="B834" s="1"/>
      <c r="C834" s="1"/>
      <c r="D834" s="1"/>
      <c r="E834" s="1"/>
      <c r="F834" s="1"/>
      <c r="G834" s="1"/>
      <c r="H834" s="1"/>
      <c r="I834" s="1"/>
    </row>
    <row r="835">
      <c r="A835" s="1"/>
      <c r="B835" s="1"/>
      <c r="C835" s="1"/>
      <c r="D835" s="1"/>
      <c r="E835" s="1"/>
      <c r="F835" s="1"/>
      <c r="G835" s="1"/>
      <c r="H835" s="1"/>
      <c r="I835" s="1"/>
    </row>
    <row r="836">
      <c r="A836" s="1"/>
      <c r="B836" s="1"/>
      <c r="C836" s="1"/>
      <c r="D836" s="1"/>
      <c r="E836" s="1"/>
      <c r="F836" s="1"/>
      <c r="G836" s="1"/>
      <c r="H836" s="1"/>
      <c r="I836" s="1"/>
    </row>
    <row r="837">
      <c r="A837" s="1"/>
      <c r="B837" s="1"/>
      <c r="C837" s="1"/>
      <c r="D837" s="1"/>
      <c r="E837" s="1"/>
      <c r="F837" s="1"/>
      <c r="G837" s="1"/>
      <c r="H837" s="1"/>
      <c r="I837" s="1"/>
    </row>
    <row r="838">
      <c r="A838" s="1"/>
      <c r="B838" s="1"/>
      <c r="C838" s="1"/>
      <c r="D838" s="1"/>
      <c r="E838" s="1"/>
      <c r="F838" s="1"/>
      <c r="G838" s="1"/>
      <c r="H838" s="1"/>
      <c r="I838" s="1"/>
    </row>
    <row r="839">
      <c r="A839" s="1"/>
      <c r="B839" s="1"/>
      <c r="C839" s="1"/>
      <c r="D839" s="1"/>
      <c r="E839" s="1"/>
      <c r="F839" s="1"/>
      <c r="G839" s="1"/>
      <c r="H839" s="1"/>
      <c r="I839" s="1"/>
    </row>
    <row r="840">
      <c r="A840" s="1"/>
      <c r="B840" s="1"/>
      <c r="C840" s="1"/>
      <c r="D840" s="1"/>
      <c r="E840" s="1"/>
      <c r="F840" s="1"/>
      <c r="G840" s="1"/>
      <c r="H840" s="1"/>
      <c r="I840" s="1"/>
    </row>
    <row r="841">
      <c r="A841" s="1"/>
      <c r="B841" s="1"/>
      <c r="C841" s="1"/>
      <c r="D841" s="1"/>
      <c r="E841" s="1"/>
      <c r="F841" s="1"/>
      <c r="G841" s="1"/>
      <c r="H841" s="1"/>
      <c r="I841" s="1"/>
    </row>
    <row r="842">
      <c r="A842" s="1"/>
      <c r="B842" s="1"/>
      <c r="C842" s="1"/>
      <c r="D842" s="1"/>
      <c r="E842" s="1"/>
      <c r="F842" s="1"/>
      <c r="G842" s="1"/>
      <c r="H842" s="1"/>
      <c r="I842" s="1"/>
    </row>
    <row r="843">
      <c r="A843" s="1"/>
      <c r="B843" s="1"/>
      <c r="C843" s="1"/>
      <c r="D843" s="1"/>
      <c r="E843" s="1"/>
      <c r="F843" s="1"/>
      <c r="G843" s="1"/>
      <c r="H843" s="1"/>
      <c r="I843" s="1"/>
    </row>
    <row r="844">
      <c r="A844" s="1"/>
      <c r="B844" s="1"/>
      <c r="C844" s="1"/>
      <c r="D844" s="1"/>
      <c r="E844" s="1"/>
      <c r="F844" s="1"/>
      <c r="G844" s="1"/>
      <c r="H844" s="1"/>
      <c r="I844" s="1"/>
    </row>
    <row r="845">
      <c r="A845" s="1"/>
      <c r="B845" s="1"/>
      <c r="C845" s="1"/>
      <c r="D845" s="1"/>
      <c r="E845" s="1"/>
      <c r="F845" s="1"/>
      <c r="G845" s="1"/>
      <c r="H845" s="1"/>
      <c r="I845" s="1"/>
    </row>
    <row r="846">
      <c r="A846" s="1"/>
      <c r="B846" s="1"/>
      <c r="C846" s="1"/>
      <c r="D846" s="1"/>
      <c r="E846" s="1"/>
      <c r="F846" s="1"/>
      <c r="G846" s="1"/>
      <c r="H846" s="1"/>
      <c r="I846" s="1"/>
    </row>
    <row r="847">
      <c r="A847" s="1"/>
      <c r="B847" s="1"/>
      <c r="C847" s="1"/>
      <c r="D847" s="1"/>
      <c r="E847" s="1"/>
      <c r="F847" s="1"/>
      <c r="G847" s="1"/>
      <c r="H847" s="1"/>
      <c r="I847" s="1"/>
    </row>
    <row r="848">
      <c r="A848" s="1"/>
      <c r="B848" s="1"/>
      <c r="C848" s="1"/>
      <c r="D848" s="1"/>
      <c r="E848" s="1"/>
      <c r="F848" s="1"/>
      <c r="G848" s="1"/>
      <c r="H848" s="1"/>
      <c r="I848" s="1"/>
    </row>
    <row r="849">
      <c r="A849" s="1"/>
      <c r="B849" s="1"/>
      <c r="C849" s="1"/>
      <c r="D849" s="1"/>
      <c r="E849" s="1"/>
      <c r="F849" s="1"/>
      <c r="G849" s="1"/>
      <c r="H849" s="1"/>
      <c r="I849" s="1"/>
    </row>
    <row r="850">
      <c r="A850" s="1"/>
      <c r="B850" s="1"/>
      <c r="C850" s="1"/>
      <c r="D850" s="1"/>
      <c r="E850" s="1"/>
      <c r="F850" s="1"/>
      <c r="G850" s="1"/>
      <c r="H850" s="1"/>
      <c r="I850" s="1"/>
    </row>
    <row r="851">
      <c r="A851" s="1"/>
      <c r="B851" s="1"/>
      <c r="C851" s="1"/>
      <c r="D851" s="1"/>
      <c r="E851" s="1"/>
      <c r="F851" s="1"/>
      <c r="G851" s="1"/>
      <c r="H851" s="1"/>
      <c r="I851" s="1"/>
    </row>
    <row r="852">
      <c r="A852" s="1"/>
      <c r="B852" s="1"/>
      <c r="C852" s="1"/>
      <c r="D852" s="1"/>
      <c r="E852" s="1"/>
      <c r="F852" s="1"/>
      <c r="G852" s="1"/>
      <c r="H852" s="1"/>
      <c r="I852" s="1"/>
    </row>
    <row r="853">
      <c r="A853" s="1"/>
      <c r="B853" s="1"/>
      <c r="C853" s="1"/>
      <c r="D853" s="1"/>
      <c r="E853" s="1"/>
      <c r="F853" s="1"/>
      <c r="G853" s="1"/>
      <c r="H853" s="1"/>
      <c r="I853" s="1"/>
    </row>
    <row r="854">
      <c r="A854" s="1"/>
      <c r="B854" s="1"/>
      <c r="C854" s="1"/>
      <c r="D854" s="1"/>
      <c r="E854" s="1"/>
      <c r="F854" s="1"/>
      <c r="G854" s="1"/>
      <c r="H854" s="1"/>
      <c r="I854" s="1"/>
    </row>
    <row r="855">
      <c r="A855" s="1"/>
      <c r="B855" s="1"/>
      <c r="C855" s="1"/>
      <c r="D855" s="1"/>
      <c r="E855" s="1"/>
      <c r="F855" s="1"/>
      <c r="G855" s="1"/>
      <c r="H855" s="1"/>
      <c r="I855" s="1"/>
    </row>
    <row r="856">
      <c r="A856" s="1"/>
      <c r="B856" s="1"/>
      <c r="C856" s="1"/>
      <c r="D856" s="1"/>
      <c r="E856" s="1"/>
      <c r="F856" s="1"/>
      <c r="G856" s="1"/>
      <c r="H856" s="1"/>
      <c r="I856" s="1"/>
    </row>
    <row r="857">
      <c r="A857" s="1"/>
      <c r="B857" s="1"/>
      <c r="C857" s="1"/>
      <c r="D857" s="1"/>
      <c r="E857" s="1"/>
      <c r="F857" s="1"/>
      <c r="G857" s="1"/>
      <c r="H857" s="1"/>
      <c r="I857" s="1"/>
    </row>
    <row r="858">
      <c r="A858" s="1"/>
      <c r="B858" s="1"/>
      <c r="C858" s="1"/>
      <c r="D858" s="1"/>
      <c r="E858" s="1"/>
      <c r="F858" s="1"/>
      <c r="G858" s="1"/>
      <c r="H858" s="1"/>
      <c r="I858" s="1"/>
    </row>
    <row r="859">
      <c r="A859" s="1"/>
      <c r="B859" s="1"/>
      <c r="C859" s="1"/>
      <c r="D859" s="1"/>
      <c r="E859" s="1"/>
      <c r="F859" s="1"/>
      <c r="G859" s="1"/>
      <c r="H859" s="1"/>
      <c r="I859" s="1"/>
    </row>
    <row r="860">
      <c r="A860" s="1"/>
      <c r="B860" s="1"/>
      <c r="C860" s="1"/>
      <c r="D860" s="1"/>
      <c r="E860" s="1"/>
      <c r="F860" s="1"/>
      <c r="G860" s="1"/>
      <c r="H860" s="1"/>
      <c r="I860" s="1"/>
    </row>
    <row r="861">
      <c r="A861" s="1"/>
      <c r="B861" s="1"/>
      <c r="C861" s="1"/>
      <c r="D861" s="1"/>
      <c r="E861" s="1"/>
      <c r="F861" s="1"/>
      <c r="G861" s="1"/>
      <c r="H861" s="1"/>
      <c r="I861" s="1"/>
    </row>
    <row r="862">
      <c r="A862" s="1"/>
      <c r="B862" s="1"/>
      <c r="C862" s="1"/>
      <c r="D862" s="1"/>
      <c r="E862" s="1"/>
      <c r="F862" s="1"/>
      <c r="G862" s="1"/>
      <c r="H862" s="1"/>
      <c r="I862" s="1"/>
    </row>
    <row r="863">
      <c r="A863" s="1"/>
      <c r="B863" s="1"/>
      <c r="C863" s="1"/>
      <c r="D863" s="1"/>
      <c r="E863" s="1"/>
      <c r="F863" s="1"/>
      <c r="G863" s="1"/>
      <c r="H863" s="1"/>
      <c r="I863" s="1"/>
    </row>
    <row r="864">
      <c r="A864" s="1"/>
      <c r="B864" s="1"/>
      <c r="C864" s="1"/>
      <c r="D864" s="1"/>
      <c r="E864" s="1"/>
      <c r="F864" s="1"/>
      <c r="G864" s="1"/>
      <c r="H864" s="1"/>
      <c r="I864" s="1"/>
    </row>
    <row r="865">
      <c r="A865" s="1"/>
      <c r="B865" s="1"/>
      <c r="C865" s="1"/>
      <c r="D865" s="1"/>
      <c r="E865" s="1"/>
      <c r="F865" s="1"/>
      <c r="G865" s="1"/>
      <c r="H865" s="1"/>
      <c r="I865" s="1"/>
    </row>
    <row r="866">
      <c r="A866" s="1"/>
      <c r="B866" s="1"/>
      <c r="C866" s="1"/>
      <c r="D866" s="1"/>
      <c r="E866" s="1"/>
      <c r="F866" s="1"/>
      <c r="G866" s="1"/>
      <c r="H866" s="1"/>
      <c r="I866" s="1"/>
    </row>
    <row r="867">
      <c r="A867" s="1"/>
      <c r="B867" s="1"/>
      <c r="C867" s="1"/>
      <c r="D867" s="1"/>
      <c r="E867" s="1"/>
      <c r="F867" s="1"/>
      <c r="G867" s="1"/>
      <c r="H867" s="1"/>
      <c r="I867" s="1"/>
    </row>
    <row r="868">
      <c r="A868" s="1"/>
      <c r="B868" s="1"/>
      <c r="C868" s="1"/>
      <c r="D868" s="1"/>
      <c r="E868" s="1"/>
      <c r="F868" s="1"/>
      <c r="G868" s="1"/>
      <c r="H868" s="1"/>
      <c r="I868" s="1"/>
    </row>
    <row r="869">
      <c r="A869" s="1"/>
      <c r="B869" s="1"/>
      <c r="C869" s="1"/>
      <c r="D869" s="1"/>
      <c r="E869" s="1"/>
      <c r="F869" s="1"/>
      <c r="G869" s="1"/>
      <c r="H869" s="1"/>
      <c r="I869" s="1"/>
    </row>
    <row r="870">
      <c r="A870" s="1"/>
      <c r="B870" s="1"/>
      <c r="C870" s="1"/>
      <c r="D870" s="1"/>
      <c r="E870" s="1"/>
      <c r="F870" s="1"/>
      <c r="G870" s="1"/>
      <c r="H870" s="1"/>
      <c r="I870" s="1"/>
    </row>
    <row r="871">
      <c r="A871" s="1"/>
      <c r="B871" s="1"/>
      <c r="C871" s="1"/>
      <c r="D871" s="1"/>
      <c r="E871" s="1"/>
      <c r="F871" s="1"/>
      <c r="G871" s="1"/>
      <c r="H871" s="1"/>
      <c r="I871" s="1"/>
    </row>
    <row r="872">
      <c r="A872" s="1"/>
      <c r="B872" s="1"/>
      <c r="C872" s="1"/>
      <c r="D872" s="1"/>
      <c r="E872" s="1"/>
      <c r="F872" s="1"/>
      <c r="G872" s="1"/>
      <c r="H872" s="1"/>
      <c r="I872" s="1"/>
    </row>
    <row r="873">
      <c r="A873" s="1"/>
      <c r="B873" s="1"/>
      <c r="C873" s="1"/>
      <c r="D873" s="1"/>
      <c r="E873" s="1"/>
      <c r="F873" s="1"/>
      <c r="G873" s="1"/>
      <c r="H873" s="1"/>
      <c r="I873" s="1"/>
    </row>
    <row r="874">
      <c r="A874" s="1"/>
      <c r="B874" s="1"/>
      <c r="C874" s="1"/>
      <c r="D874" s="1"/>
      <c r="E874" s="1"/>
      <c r="F874" s="1"/>
      <c r="G874" s="1"/>
      <c r="H874" s="1"/>
      <c r="I874" s="1"/>
    </row>
    <row r="875">
      <c r="A875" s="1"/>
      <c r="B875" s="1"/>
      <c r="C875" s="1"/>
      <c r="D875" s="1"/>
      <c r="E875" s="1"/>
      <c r="F875" s="1"/>
      <c r="G875" s="1"/>
      <c r="H875" s="1"/>
      <c r="I875" s="1"/>
    </row>
    <row r="876">
      <c r="A876" s="1"/>
      <c r="B876" s="1"/>
      <c r="C876" s="1"/>
      <c r="D876" s="1"/>
      <c r="E876" s="1"/>
      <c r="F876" s="1"/>
      <c r="G876" s="1"/>
      <c r="H876" s="1"/>
      <c r="I876" s="1"/>
    </row>
    <row r="877">
      <c r="A877" s="1"/>
      <c r="B877" s="1"/>
      <c r="C877" s="1"/>
      <c r="D877" s="1"/>
      <c r="E877" s="1"/>
      <c r="F877" s="1"/>
      <c r="G877" s="1"/>
      <c r="H877" s="1"/>
      <c r="I877" s="1"/>
    </row>
    <row r="878">
      <c r="A878" s="1"/>
      <c r="B878" s="1"/>
      <c r="C878" s="1"/>
      <c r="D878" s="1"/>
      <c r="E878" s="1"/>
      <c r="F878" s="1"/>
      <c r="G878" s="1"/>
      <c r="H878" s="1"/>
      <c r="I878" s="1"/>
    </row>
    <row r="879">
      <c r="A879" s="1"/>
      <c r="B879" s="1"/>
      <c r="C879" s="1"/>
      <c r="D879" s="1"/>
      <c r="E879" s="1"/>
      <c r="F879" s="1"/>
      <c r="G879" s="1"/>
      <c r="H879" s="1"/>
      <c r="I879" s="1"/>
    </row>
    <row r="880">
      <c r="A880" s="1"/>
      <c r="B880" s="1"/>
      <c r="C880" s="1"/>
      <c r="D880" s="1"/>
      <c r="E880" s="1"/>
      <c r="F880" s="1"/>
      <c r="G880" s="1"/>
      <c r="H880" s="1"/>
      <c r="I880" s="1"/>
    </row>
    <row r="881">
      <c r="A881" s="1"/>
      <c r="B881" s="1"/>
      <c r="C881" s="1"/>
      <c r="D881" s="1"/>
      <c r="E881" s="1"/>
      <c r="F881" s="1"/>
      <c r="G881" s="1"/>
      <c r="H881" s="1"/>
      <c r="I881" s="1"/>
    </row>
    <row r="882">
      <c r="A882" s="1"/>
      <c r="B882" s="1"/>
      <c r="C882" s="1"/>
      <c r="D882" s="1"/>
      <c r="E882" s="1"/>
      <c r="F882" s="1"/>
      <c r="G882" s="1"/>
      <c r="H882" s="1"/>
      <c r="I882" s="1"/>
    </row>
    <row r="883">
      <c r="A883" s="1"/>
      <c r="B883" s="1"/>
      <c r="C883" s="1"/>
      <c r="D883" s="1"/>
      <c r="E883" s="1"/>
      <c r="F883" s="1"/>
      <c r="G883" s="1"/>
      <c r="H883" s="1"/>
      <c r="I883" s="1"/>
    </row>
    <row r="884">
      <c r="A884" s="1"/>
      <c r="B884" s="1"/>
      <c r="C884" s="1"/>
      <c r="D884" s="1"/>
      <c r="E884" s="1"/>
      <c r="F884" s="1"/>
      <c r="G884" s="1"/>
      <c r="H884" s="1"/>
      <c r="I884" s="1"/>
    </row>
    <row r="885">
      <c r="A885" s="1"/>
      <c r="B885" s="1"/>
      <c r="C885" s="1"/>
      <c r="D885" s="1"/>
      <c r="E885" s="1"/>
      <c r="F885" s="1"/>
      <c r="G885" s="1"/>
      <c r="H885" s="1"/>
      <c r="I885" s="1"/>
    </row>
    <row r="886">
      <c r="A886" s="1"/>
      <c r="B886" s="1"/>
      <c r="C886" s="1"/>
      <c r="D886" s="1"/>
      <c r="E886" s="1"/>
      <c r="F886" s="1"/>
      <c r="G886" s="1"/>
      <c r="H886" s="1"/>
      <c r="I886" s="1"/>
    </row>
    <row r="887">
      <c r="A887" s="1"/>
      <c r="B887" s="1"/>
      <c r="C887" s="1"/>
      <c r="D887" s="1"/>
      <c r="E887" s="1"/>
      <c r="F887" s="1"/>
      <c r="G887" s="1"/>
      <c r="H887" s="1"/>
      <c r="I887" s="1"/>
    </row>
    <row r="888">
      <c r="A888" s="1"/>
      <c r="B888" s="1"/>
      <c r="C888" s="1"/>
      <c r="D888" s="1"/>
      <c r="E888" s="1"/>
      <c r="F888" s="1"/>
      <c r="G888" s="1"/>
      <c r="H888" s="1"/>
      <c r="I888" s="1"/>
    </row>
    <row r="889">
      <c r="A889" s="1"/>
      <c r="B889" s="1"/>
      <c r="C889" s="1"/>
      <c r="D889" s="1"/>
      <c r="E889" s="1"/>
      <c r="F889" s="1"/>
      <c r="G889" s="1"/>
      <c r="H889" s="1"/>
      <c r="I889" s="1"/>
    </row>
    <row r="890">
      <c r="A890" s="1"/>
      <c r="B890" s="1"/>
      <c r="C890" s="1"/>
      <c r="D890" s="1"/>
      <c r="E890" s="1"/>
      <c r="F890" s="1"/>
      <c r="G890" s="1"/>
      <c r="H890" s="1"/>
      <c r="I890" s="1"/>
    </row>
    <row r="891">
      <c r="A891" s="1"/>
      <c r="B891" s="1"/>
      <c r="C891" s="1"/>
      <c r="D891" s="1"/>
      <c r="E891" s="1"/>
      <c r="F891" s="1"/>
      <c r="G891" s="1"/>
      <c r="H891" s="1"/>
      <c r="I891" s="1"/>
    </row>
    <row r="892">
      <c r="A892" s="1"/>
      <c r="B892" s="1"/>
      <c r="C892" s="1"/>
      <c r="D892" s="1"/>
      <c r="E892" s="1"/>
      <c r="F892" s="1"/>
      <c r="G892" s="1"/>
      <c r="H892" s="1"/>
      <c r="I892" s="1"/>
    </row>
    <row r="893">
      <c r="A893" s="1"/>
      <c r="B893" s="1"/>
      <c r="C893" s="1"/>
      <c r="D893" s="1"/>
      <c r="E893" s="1"/>
      <c r="F893" s="1"/>
      <c r="G893" s="1"/>
      <c r="H893" s="1"/>
      <c r="I893" s="1"/>
    </row>
    <row r="894">
      <c r="A894" s="1"/>
      <c r="B894" s="1"/>
      <c r="C894" s="1"/>
      <c r="D894" s="1"/>
      <c r="E894" s="1"/>
      <c r="F894" s="1"/>
      <c r="G894" s="1"/>
      <c r="H894" s="1"/>
      <c r="I894" s="1"/>
    </row>
    <row r="895">
      <c r="A895" s="1"/>
      <c r="B895" s="1"/>
      <c r="C895" s="1"/>
      <c r="D895" s="1"/>
      <c r="E895" s="1"/>
      <c r="F895" s="1"/>
      <c r="G895" s="1"/>
      <c r="H895" s="1"/>
      <c r="I895" s="1"/>
    </row>
    <row r="896">
      <c r="A896" s="1"/>
      <c r="B896" s="1"/>
      <c r="C896" s="1"/>
      <c r="D896" s="1"/>
      <c r="E896" s="1"/>
      <c r="F896" s="1"/>
      <c r="G896" s="1"/>
      <c r="H896" s="1"/>
      <c r="I896" s="1"/>
    </row>
    <row r="897">
      <c r="A897" s="1"/>
      <c r="B897" s="1"/>
      <c r="C897" s="1"/>
      <c r="D897" s="1"/>
      <c r="E897" s="1"/>
      <c r="F897" s="1"/>
      <c r="G897" s="1"/>
      <c r="H897" s="1"/>
      <c r="I897" s="1"/>
    </row>
    <row r="898">
      <c r="A898" s="1"/>
      <c r="B898" s="1"/>
      <c r="C898" s="1"/>
      <c r="D898" s="1"/>
      <c r="E898" s="1"/>
      <c r="F898" s="1"/>
      <c r="G898" s="1"/>
      <c r="H898" s="1"/>
      <c r="I898" s="1"/>
    </row>
    <row r="899">
      <c r="A899" s="1"/>
      <c r="B899" s="1"/>
      <c r="C899" s="1"/>
      <c r="D899" s="1"/>
      <c r="E899" s="1"/>
      <c r="F899" s="1"/>
      <c r="G899" s="1"/>
      <c r="H899" s="1"/>
      <c r="I899" s="1"/>
    </row>
    <row r="900">
      <c r="A900" s="1"/>
      <c r="B900" s="1"/>
      <c r="C900" s="1"/>
      <c r="D900" s="1"/>
      <c r="E900" s="1"/>
      <c r="F900" s="1"/>
      <c r="G900" s="1"/>
      <c r="H900" s="1"/>
      <c r="I900" s="1"/>
    </row>
    <row r="901">
      <c r="A901" s="1"/>
      <c r="B901" s="1"/>
      <c r="C901" s="1"/>
      <c r="D901" s="1"/>
      <c r="E901" s="1"/>
      <c r="F901" s="1"/>
      <c r="G901" s="1"/>
      <c r="H901" s="1"/>
      <c r="I901" s="1"/>
    </row>
    <row r="902">
      <c r="A902" s="1"/>
      <c r="B902" s="1"/>
      <c r="C902" s="1"/>
      <c r="D902" s="1"/>
      <c r="E902" s="1"/>
      <c r="F902" s="1"/>
      <c r="G902" s="1"/>
      <c r="H902" s="1"/>
      <c r="I902" s="1"/>
    </row>
    <row r="903">
      <c r="A903" s="1"/>
      <c r="B903" s="1"/>
      <c r="C903" s="1"/>
      <c r="D903" s="1"/>
      <c r="E903" s="1"/>
      <c r="F903" s="1"/>
      <c r="G903" s="1"/>
      <c r="H903" s="1"/>
      <c r="I903" s="1"/>
    </row>
    <row r="904">
      <c r="A904" s="1"/>
      <c r="B904" s="1"/>
      <c r="C904" s="1"/>
      <c r="D904" s="1"/>
      <c r="E904" s="1"/>
      <c r="F904" s="1"/>
      <c r="G904" s="1"/>
      <c r="H904" s="1"/>
      <c r="I904" s="1"/>
    </row>
    <row r="905">
      <c r="A905" s="1"/>
      <c r="B905" s="1"/>
      <c r="C905" s="1"/>
      <c r="D905" s="1"/>
      <c r="E905" s="1"/>
      <c r="F905" s="1"/>
      <c r="G905" s="1"/>
      <c r="H905" s="1"/>
      <c r="I905" s="1"/>
    </row>
    <row r="906">
      <c r="A906" s="1"/>
      <c r="B906" s="1"/>
      <c r="C906" s="1"/>
      <c r="D906" s="1"/>
      <c r="E906" s="1"/>
      <c r="F906" s="1"/>
      <c r="G906" s="1"/>
      <c r="H906" s="1"/>
      <c r="I906" s="1"/>
    </row>
    <row r="907">
      <c r="A907" s="1"/>
      <c r="B907" s="1"/>
      <c r="C907" s="1"/>
      <c r="D907" s="1"/>
      <c r="E907" s="1"/>
      <c r="F907" s="1"/>
      <c r="G907" s="1"/>
      <c r="H907" s="1"/>
      <c r="I907" s="1"/>
    </row>
    <row r="908">
      <c r="A908" s="1"/>
      <c r="B908" s="1"/>
      <c r="C908" s="1"/>
      <c r="D908" s="1"/>
      <c r="E908" s="1"/>
      <c r="F908" s="1"/>
      <c r="G908" s="1"/>
      <c r="H908" s="1"/>
      <c r="I908" s="1"/>
    </row>
    <row r="909">
      <c r="A909" s="1"/>
      <c r="B909" s="1"/>
      <c r="C909" s="1"/>
      <c r="D909" s="1"/>
      <c r="E909" s="1"/>
      <c r="F909" s="1"/>
      <c r="G909" s="1"/>
      <c r="H909" s="1"/>
      <c r="I909" s="1"/>
    </row>
    <row r="910">
      <c r="A910" s="1"/>
      <c r="B910" s="1"/>
      <c r="C910" s="1"/>
      <c r="D910" s="1"/>
      <c r="E910" s="1"/>
      <c r="F910" s="1"/>
      <c r="G910" s="1"/>
      <c r="H910" s="1"/>
      <c r="I910" s="1"/>
    </row>
    <row r="911">
      <c r="A911" s="1"/>
      <c r="B911" s="1"/>
      <c r="C911" s="1"/>
      <c r="D911" s="1"/>
      <c r="E911" s="1"/>
      <c r="F911" s="1"/>
      <c r="G911" s="1"/>
      <c r="H911" s="1"/>
      <c r="I911" s="1"/>
    </row>
    <row r="912">
      <c r="A912" s="1"/>
      <c r="B912" s="1"/>
      <c r="C912" s="1"/>
      <c r="D912" s="1"/>
      <c r="E912" s="1"/>
      <c r="F912" s="1"/>
      <c r="G912" s="1"/>
      <c r="H912" s="1"/>
      <c r="I912" s="1"/>
    </row>
    <row r="913">
      <c r="A913" s="1"/>
      <c r="B913" s="1"/>
      <c r="C913" s="1"/>
      <c r="D913" s="1"/>
      <c r="E913" s="1"/>
      <c r="F913" s="1"/>
      <c r="G913" s="1"/>
      <c r="H913" s="1"/>
      <c r="I913" s="1"/>
    </row>
    <row r="914">
      <c r="A914" s="1"/>
      <c r="B914" s="1"/>
      <c r="C914" s="1"/>
      <c r="D914" s="1"/>
      <c r="E914" s="1"/>
      <c r="F914" s="1"/>
      <c r="G914" s="1"/>
      <c r="H914" s="1"/>
      <c r="I914" s="1"/>
    </row>
    <row r="915">
      <c r="A915" s="1"/>
      <c r="B915" s="1"/>
      <c r="C915" s="1"/>
      <c r="D915" s="1"/>
      <c r="E915" s="1"/>
      <c r="F915" s="1"/>
      <c r="G915" s="1"/>
      <c r="H915" s="1"/>
      <c r="I915" s="1"/>
    </row>
    <row r="916">
      <c r="A916" s="1"/>
      <c r="B916" s="1"/>
      <c r="C916" s="1"/>
      <c r="D916" s="1"/>
      <c r="E916" s="1"/>
      <c r="F916" s="1"/>
      <c r="G916" s="1"/>
      <c r="H916" s="1"/>
      <c r="I916" s="1"/>
    </row>
    <row r="917">
      <c r="A917" s="1"/>
      <c r="B917" s="1"/>
      <c r="C917" s="1"/>
      <c r="D917" s="1"/>
      <c r="E917" s="1"/>
      <c r="F917" s="1"/>
      <c r="G917" s="1"/>
      <c r="H917" s="1"/>
      <c r="I917" s="1"/>
    </row>
    <row r="918">
      <c r="A918" s="1"/>
      <c r="B918" s="1"/>
      <c r="C918" s="1"/>
      <c r="D918" s="1"/>
      <c r="E918" s="1"/>
      <c r="F918" s="1"/>
      <c r="G918" s="1"/>
      <c r="H918" s="1"/>
      <c r="I918" s="1"/>
    </row>
    <row r="919">
      <c r="A919" s="1"/>
      <c r="B919" s="1"/>
      <c r="C919" s="1"/>
      <c r="D919" s="1"/>
      <c r="E919" s="1"/>
      <c r="F919" s="1"/>
      <c r="G919" s="1"/>
      <c r="H919" s="1"/>
      <c r="I919" s="1"/>
    </row>
    <row r="920">
      <c r="A920" s="1"/>
      <c r="B920" s="1"/>
      <c r="C920" s="1"/>
      <c r="D920" s="1"/>
      <c r="E920" s="1"/>
      <c r="F920" s="1"/>
      <c r="G920" s="1"/>
      <c r="H920" s="1"/>
      <c r="I920" s="1"/>
    </row>
    <row r="921">
      <c r="A921" s="1"/>
      <c r="B921" s="1"/>
      <c r="C921" s="1"/>
      <c r="D921" s="1"/>
      <c r="E921" s="1"/>
      <c r="F921" s="1"/>
      <c r="G921" s="1"/>
      <c r="H921" s="1"/>
      <c r="I921" s="1"/>
    </row>
    <row r="922">
      <c r="A922" s="1"/>
      <c r="B922" s="1"/>
      <c r="C922" s="1"/>
      <c r="D922" s="1"/>
      <c r="E922" s="1"/>
      <c r="F922" s="1"/>
      <c r="G922" s="1"/>
      <c r="H922" s="1"/>
      <c r="I922" s="1"/>
    </row>
    <row r="923">
      <c r="A923" s="1"/>
      <c r="B923" s="1"/>
      <c r="C923" s="1"/>
      <c r="D923" s="1"/>
      <c r="E923" s="1"/>
      <c r="F923" s="1"/>
      <c r="G923" s="1"/>
      <c r="H923" s="1"/>
      <c r="I923" s="1"/>
    </row>
    <row r="924">
      <c r="A924" s="1"/>
      <c r="B924" s="1"/>
      <c r="C924" s="1"/>
      <c r="D924" s="1"/>
      <c r="E924" s="1"/>
      <c r="F924" s="1"/>
      <c r="G924" s="1"/>
      <c r="H924" s="1"/>
      <c r="I924" s="1"/>
    </row>
    <row r="925">
      <c r="A925" s="1"/>
      <c r="B925" s="1"/>
      <c r="C925" s="1"/>
      <c r="D925" s="1"/>
      <c r="E925" s="1"/>
      <c r="F925" s="1"/>
      <c r="G925" s="1"/>
      <c r="H925" s="1"/>
      <c r="I925" s="1"/>
    </row>
    <row r="926">
      <c r="A926" s="1"/>
      <c r="B926" s="1"/>
      <c r="C926" s="1"/>
      <c r="D926" s="1"/>
      <c r="E926" s="1"/>
      <c r="F926" s="1"/>
      <c r="G926" s="1"/>
      <c r="H926" s="1"/>
      <c r="I926" s="1"/>
    </row>
    <row r="927">
      <c r="A927" s="1"/>
      <c r="B927" s="1"/>
      <c r="C927" s="1"/>
      <c r="D927" s="1"/>
      <c r="E927" s="1"/>
      <c r="F927" s="1"/>
      <c r="G927" s="1"/>
      <c r="H927" s="1"/>
      <c r="I927" s="1"/>
    </row>
    <row r="928">
      <c r="A928" s="1"/>
      <c r="B928" s="1"/>
      <c r="C928" s="1"/>
      <c r="D928" s="1"/>
      <c r="E928" s="1"/>
      <c r="F928" s="1"/>
      <c r="G928" s="1"/>
      <c r="H928" s="1"/>
      <c r="I928" s="1"/>
    </row>
    <row r="929">
      <c r="A929" s="1"/>
      <c r="B929" s="1"/>
      <c r="C929" s="1"/>
      <c r="D929" s="1"/>
      <c r="E929" s="1"/>
      <c r="F929" s="1"/>
      <c r="G929" s="1"/>
      <c r="H929" s="1"/>
      <c r="I929" s="1"/>
    </row>
    <row r="930">
      <c r="A930" s="1"/>
      <c r="B930" s="1"/>
      <c r="C930" s="1"/>
      <c r="D930" s="1"/>
      <c r="E930" s="1"/>
      <c r="F930" s="1"/>
      <c r="G930" s="1"/>
      <c r="H930" s="1"/>
      <c r="I930" s="1"/>
    </row>
    <row r="931">
      <c r="A931" s="1"/>
      <c r="B931" s="1"/>
      <c r="C931" s="1"/>
      <c r="D931" s="1"/>
      <c r="E931" s="1"/>
      <c r="F931" s="1"/>
      <c r="G931" s="1"/>
      <c r="H931" s="1"/>
      <c r="I931" s="1"/>
    </row>
    <row r="932">
      <c r="A932" s="1"/>
      <c r="B932" s="1"/>
      <c r="C932" s="1"/>
      <c r="D932" s="1"/>
      <c r="E932" s="1"/>
      <c r="F932" s="1"/>
      <c r="G932" s="1"/>
      <c r="H932" s="1"/>
      <c r="I932" s="1"/>
    </row>
    <row r="933">
      <c r="A933" s="1"/>
      <c r="B933" s="1"/>
      <c r="C933" s="1"/>
      <c r="D933" s="1"/>
      <c r="E933" s="1"/>
      <c r="F933" s="1"/>
      <c r="G933" s="1"/>
      <c r="H933" s="1"/>
      <c r="I933" s="1"/>
    </row>
    <row r="934">
      <c r="A934" s="1"/>
      <c r="B934" s="1"/>
      <c r="C934" s="1"/>
      <c r="D934" s="1"/>
      <c r="E934" s="1"/>
      <c r="F934" s="1"/>
      <c r="G934" s="1"/>
      <c r="H934" s="1"/>
      <c r="I934" s="1"/>
    </row>
    <row r="935">
      <c r="A935" s="1"/>
      <c r="B935" s="1"/>
      <c r="C935" s="1"/>
      <c r="D935" s="1"/>
      <c r="E935" s="1"/>
      <c r="F935" s="1"/>
      <c r="G935" s="1"/>
      <c r="H935" s="1"/>
      <c r="I935" s="1"/>
    </row>
    <row r="936">
      <c r="A936" s="1"/>
      <c r="B936" s="1"/>
      <c r="C936" s="1"/>
      <c r="D936" s="1"/>
      <c r="E936" s="1"/>
      <c r="F936" s="1"/>
      <c r="G936" s="1"/>
      <c r="H936" s="1"/>
      <c r="I936" s="1"/>
    </row>
    <row r="937">
      <c r="A937" s="1"/>
      <c r="B937" s="1"/>
      <c r="C937" s="1"/>
      <c r="D937" s="1"/>
      <c r="E937" s="1"/>
      <c r="F937" s="1"/>
      <c r="G937" s="1"/>
      <c r="H937" s="1"/>
      <c r="I937" s="1"/>
    </row>
    <row r="938">
      <c r="A938" s="1"/>
      <c r="B938" s="1"/>
      <c r="C938" s="1"/>
      <c r="D938" s="1"/>
      <c r="E938" s="1"/>
      <c r="F938" s="1"/>
      <c r="G938" s="1"/>
      <c r="H938" s="1"/>
      <c r="I938" s="1"/>
    </row>
    <row r="939">
      <c r="A939" s="1"/>
      <c r="B939" s="1"/>
      <c r="C939" s="1"/>
      <c r="D939" s="1"/>
      <c r="E939" s="1"/>
      <c r="F939" s="1"/>
      <c r="G939" s="1"/>
      <c r="H939" s="1"/>
      <c r="I939" s="1"/>
    </row>
    <row r="940">
      <c r="A940" s="1"/>
      <c r="B940" s="1"/>
      <c r="C940" s="1"/>
      <c r="D940" s="1"/>
      <c r="E940" s="1"/>
      <c r="F940" s="1"/>
      <c r="G940" s="1"/>
      <c r="H940" s="1"/>
      <c r="I940" s="1"/>
    </row>
    <row r="941">
      <c r="A941" s="1"/>
      <c r="B941" s="1"/>
      <c r="C941" s="1"/>
      <c r="D941" s="1"/>
      <c r="E941" s="1"/>
      <c r="F941" s="1"/>
      <c r="G941" s="1"/>
      <c r="H941" s="1"/>
      <c r="I941" s="1"/>
    </row>
    <row r="942">
      <c r="A942" s="1"/>
      <c r="B942" s="1"/>
      <c r="C942" s="1"/>
      <c r="D942" s="1"/>
      <c r="E942" s="1"/>
      <c r="F942" s="1"/>
      <c r="G942" s="1"/>
      <c r="H942" s="1"/>
      <c r="I942" s="1"/>
    </row>
    <row r="943">
      <c r="A943" s="1"/>
      <c r="B943" s="1"/>
      <c r="C943" s="1"/>
      <c r="D943" s="1"/>
      <c r="E943" s="1"/>
      <c r="F943" s="1"/>
      <c r="G943" s="1"/>
      <c r="H943" s="1"/>
      <c r="I943" s="1"/>
    </row>
    <row r="944">
      <c r="A944" s="1"/>
      <c r="B944" s="1"/>
      <c r="C944" s="1"/>
      <c r="D944" s="1"/>
      <c r="E944" s="1"/>
      <c r="F944" s="1"/>
      <c r="G944" s="1"/>
      <c r="H944" s="1"/>
      <c r="I944" s="1"/>
    </row>
    <row r="945">
      <c r="A945" s="1"/>
      <c r="B945" s="1"/>
      <c r="C945" s="1"/>
      <c r="D945" s="1"/>
      <c r="E945" s="1"/>
      <c r="F945" s="1"/>
      <c r="G945" s="1"/>
      <c r="H945" s="1"/>
      <c r="I945" s="1"/>
    </row>
    <row r="946">
      <c r="A946" s="1"/>
      <c r="B946" s="1"/>
      <c r="C946" s="1"/>
      <c r="D946" s="1"/>
      <c r="E946" s="1"/>
      <c r="F946" s="1"/>
      <c r="G946" s="1"/>
      <c r="H946" s="1"/>
      <c r="I946" s="1"/>
    </row>
    <row r="947">
      <c r="A947" s="1"/>
      <c r="B947" s="1"/>
      <c r="C947" s="1"/>
      <c r="D947" s="1"/>
      <c r="E947" s="1"/>
      <c r="F947" s="1"/>
      <c r="G947" s="1"/>
      <c r="H947" s="1"/>
      <c r="I947" s="1"/>
    </row>
    <row r="948">
      <c r="A948" s="1"/>
      <c r="B948" s="1"/>
      <c r="C948" s="1"/>
      <c r="D948" s="1"/>
      <c r="E948" s="1"/>
      <c r="F948" s="1"/>
      <c r="G948" s="1"/>
      <c r="H948" s="1"/>
      <c r="I948" s="1"/>
    </row>
    <row r="949">
      <c r="A949" s="1"/>
      <c r="B949" s="1"/>
      <c r="C949" s="1"/>
      <c r="D949" s="1"/>
      <c r="E949" s="1"/>
      <c r="F949" s="1"/>
      <c r="G949" s="1"/>
      <c r="H949" s="1"/>
      <c r="I949" s="1"/>
    </row>
    <row r="950">
      <c r="A950" s="1"/>
      <c r="B950" s="1"/>
      <c r="C950" s="1"/>
      <c r="D950" s="1"/>
      <c r="E950" s="1"/>
      <c r="F950" s="1"/>
      <c r="G950" s="1"/>
      <c r="H950" s="1"/>
      <c r="I950" s="1"/>
    </row>
    <row r="951">
      <c r="A951" s="1"/>
      <c r="B951" s="1"/>
      <c r="C951" s="1"/>
      <c r="D951" s="1"/>
      <c r="E951" s="1"/>
      <c r="F951" s="1"/>
      <c r="G951" s="1"/>
      <c r="H951" s="1"/>
      <c r="I951" s="1"/>
    </row>
    <row r="952">
      <c r="A952" s="1"/>
      <c r="B952" s="1"/>
      <c r="C952" s="1"/>
      <c r="D952" s="1"/>
      <c r="E952" s="1"/>
      <c r="F952" s="1"/>
      <c r="G952" s="1"/>
      <c r="H952" s="1"/>
      <c r="I952" s="1"/>
    </row>
    <row r="953">
      <c r="A953" s="1"/>
      <c r="B953" s="1"/>
      <c r="C953" s="1"/>
      <c r="D953" s="1"/>
      <c r="E953" s="1"/>
      <c r="F953" s="1"/>
      <c r="G953" s="1"/>
      <c r="H953" s="1"/>
      <c r="I953" s="1"/>
    </row>
    <row r="954">
      <c r="A954" s="1"/>
      <c r="B954" s="1"/>
      <c r="C954" s="1"/>
      <c r="D954" s="1"/>
      <c r="E954" s="1"/>
      <c r="F954" s="1"/>
      <c r="G954" s="1"/>
      <c r="H954" s="1"/>
      <c r="I954" s="1"/>
    </row>
    <row r="955">
      <c r="A955" s="1"/>
      <c r="B955" s="1"/>
      <c r="C955" s="1"/>
      <c r="D955" s="1"/>
      <c r="E955" s="1"/>
      <c r="F955" s="1"/>
      <c r="G955" s="1"/>
      <c r="H955" s="1"/>
      <c r="I955" s="1"/>
    </row>
    <row r="956">
      <c r="A956" s="1"/>
      <c r="B956" s="1"/>
      <c r="C956" s="1"/>
      <c r="D956" s="1"/>
      <c r="E956" s="1"/>
      <c r="F956" s="1"/>
      <c r="G956" s="1"/>
      <c r="H956" s="1"/>
      <c r="I956" s="1"/>
    </row>
    <row r="957">
      <c r="A957" s="1"/>
      <c r="B957" s="1"/>
      <c r="C957" s="1"/>
      <c r="D957" s="1"/>
      <c r="E957" s="1"/>
      <c r="F957" s="1"/>
      <c r="G957" s="1"/>
      <c r="H957" s="1"/>
      <c r="I957" s="1"/>
    </row>
    <row r="958">
      <c r="A958" s="1"/>
      <c r="B958" s="1"/>
      <c r="C958" s="1"/>
      <c r="D958" s="1"/>
      <c r="E958" s="1"/>
      <c r="F958" s="1"/>
      <c r="G958" s="1"/>
      <c r="H958" s="1"/>
      <c r="I958" s="1"/>
    </row>
    <row r="959">
      <c r="A959" s="1"/>
      <c r="B959" s="1"/>
      <c r="C959" s="1"/>
      <c r="D959" s="1"/>
      <c r="E959" s="1"/>
      <c r="F959" s="1"/>
      <c r="G959" s="1"/>
      <c r="H959" s="1"/>
      <c r="I959" s="1"/>
    </row>
    <row r="960">
      <c r="A960" s="1"/>
      <c r="B960" s="1"/>
      <c r="C960" s="1"/>
      <c r="D960" s="1"/>
      <c r="E960" s="1"/>
      <c r="F960" s="1"/>
      <c r="G960" s="1"/>
      <c r="H960" s="1"/>
      <c r="I960" s="1"/>
    </row>
    <row r="961">
      <c r="A961" s="1"/>
      <c r="B961" s="1"/>
      <c r="C961" s="1"/>
      <c r="D961" s="1"/>
      <c r="E961" s="1"/>
      <c r="F961" s="1"/>
      <c r="G961" s="1"/>
      <c r="H961" s="1"/>
      <c r="I961" s="1"/>
    </row>
    <row r="962">
      <c r="A962" s="1"/>
      <c r="B962" s="1"/>
      <c r="C962" s="1"/>
      <c r="D962" s="1"/>
      <c r="E962" s="1"/>
      <c r="F962" s="1"/>
      <c r="G962" s="1"/>
      <c r="H962" s="1"/>
      <c r="I962" s="1"/>
    </row>
    <row r="963">
      <c r="A963" s="1"/>
      <c r="B963" s="1"/>
      <c r="C963" s="1"/>
      <c r="D963" s="1"/>
      <c r="E963" s="1"/>
      <c r="F963" s="1"/>
      <c r="G963" s="1"/>
      <c r="H963" s="1"/>
      <c r="I963" s="1"/>
    </row>
    <row r="964">
      <c r="A964" s="1"/>
      <c r="B964" s="1"/>
      <c r="C964" s="1"/>
      <c r="D964" s="1"/>
      <c r="E964" s="1"/>
      <c r="F964" s="1"/>
      <c r="G964" s="1"/>
      <c r="H964" s="1"/>
      <c r="I964" s="1"/>
    </row>
    <row r="965">
      <c r="A965" s="1"/>
      <c r="B965" s="1"/>
      <c r="C965" s="1"/>
      <c r="D965" s="1"/>
      <c r="E965" s="1"/>
      <c r="F965" s="1"/>
      <c r="G965" s="1"/>
      <c r="H965" s="1"/>
      <c r="I965" s="1"/>
    </row>
    <row r="966">
      <c r="A966" s="1"/>
      <c r="B966" s="1"/>
      <c r="C966" s="1"/>
      <c r="D966" s="1"/>
      <c r="E966" s="1"/>
      <c r="F966" s="1"/>
      <c r="G966" s="1"/>
      <c r="H966" s="1"/>
      <c r="I966" s="1"/>
    </row>
    <row r="967">
      <c r="A967" s="1"/>
      <c r="B967" s="1"/>
      <c r="C967" s="1"/>
      <c r="D967" s="1"/>
      <c r="E967" s="1"/>
      <c r="F967" s="1"/>
      <c r="G967" s="1"/>
      <c r="H967" s="1"/>
      <c r="I967" s="1"/>
    </row>
    <row r="968">
      <c r="A968" s="1"/>
      <c r="B968" s="1"/>
      <c r="C968" s="1"/>
      <c r="D968" s="1"/>
      <c r="E968" s="1"/>
      <c r="F968" s="1"/>
      <c r="G968" s="1"/>
      <c r="H968" s="1"/>
      <c r="I968" s="1"/>
    </row>
    <row r="969">
      <c r="A969" s="1"/>
      <c r="B969" s="1"/>
      <c r="C969" s="1"/>
      <c r="D969" s="1"/>
      <c r="E969" s="1"/>
      <c r="F969" s="1"/>
      <c r="G969" s="1"/>
      <c r="H969" s="1"/>
      <c r="I969" s="1"/>
    </row>
    <row r="970">
      <c r="A970" s="1"/>
      <c r="B970" s="1"/>
      <c r="C970" s="1"/>
      <c r="D970" s="1"/>
      <c r="E970" s="1"/>
      <c r="F970" s="1"/>
      <c r="G970" s="1"/>
      <c r="H970" s="1"/>
      <c r="I970" s="1"/>
    </row>
    <row r="971">
      <c r="A971" s="1"/>
      <c r="B971" s="1"/>
      <c r="C971" s="1"/>
      <c r="D971" s="1"/>
      <c r="E971" s="1"/>
      <c r="F971" s="1"/>
      <c r="G971" s="1"/>
      <c r="H971" s="1"/>
      <c r="I971" s="1"/>
    </row>
    <row r="972">
      <c r="A972" s="1"/>
      <c r="B972" s="1"/>
      <c r="C972" s="1"/>
      <c r="D972" s="1"/>
      <c r="E972" s="1"/>
      <c r="F972" s="1"/>
      <c r="G972" s="1"/>
      <c r="H972" s="1"/>
      <c r="I972" s="1"/>
    </row>
    <row r="973">
      <c r="A973" s="1"/>
      <c r="B973" s="1"/>
      <c r="C973" s="1"/>
      <c r="D973" s="1"/>
      <c r="E973" s="1"/>
      <c r="F973" s="1"/>
      <c r="G973" s="1"/>
      <c r="H973" s="1"/>
      <c r="I973" s="1"/>
    </row>
    <row r="974">
      <c r="A974" s="1"/>
      <c r="B974" s="1"/>
      <c r="C974" s="1"/>
      <c r="D974" s="1"/>
      <c r="E974" s="1"/>
      <c r="F974" s="1"/>
      <c r="G974" s="1"/>
      <c r="H974" s="1"/>
      <c r="I974" s="1"/>
    </row>
    <row r="975">
      <c r="A975" s="1"/>
      <c r="B975" s="1"/>
      <c r="C975" s="1"/>
      <c r="D975" s="1"/>
      <c r="E975" s="1"/>
      <c r="F975" s="1"/>
      <c r="G975" s="1"/>
      <c r="H975" s="1"/>
      <c r="I975" s="1"/>
    </row>
    <row r="976">
      <c r="A976" s="1"/>
      <c r="B976" s="1"/>
      <c r="C976" s="1"/>
      <c r="D976" s="1"/>
      <c r="E976" s="1"/>
      <c r="F976" s="1"/>
      <c r="G976" s="1"/>
      <c r="H976" s="1"/>
      <c r="I976" s="1"/>
    </row>
    <row r="977">
      <c r="A977" s="1"/>
      <c r="B977" s="1"/>
      <c r="C977" s="1"/>
      <c r="D977" s="1"/>
      <c r="E977" s="1"/>
      <c r="F977" s="1"/>
      <c r="G977" s="1"/>
      <c r="H977" s="1"/>
      <c r="I977" s="1"/>
    </row>
    <row r="978">
      <c r="A978" s="1"/>
      <c r="B978" s="1"/>
      <c r="C978" s="1"/>
      <c r="D978" s="1"/>
      <c r="E978" s="1"/>
      <c r="F978" s="1"/>
      <c r="G978" s="1"/>
      <c r="H978" s="1"/>
      <c r="I978" s="1"/>
    </row>
    <row r="979">
      <c r="A979" s="1"/>
      <c r="B979" s="1"/>
      <c r="C979" s="1"/>
      <c r="D979" s="1"/>
      <c r="E979" s="1"/>
      <c r="F979" s="1"/>
      <c r="G979" s="1"/>
      <c r="H979" s="1"/>
      <c r="I979" s="1"/>
    </row>
    <row r="980">
      <c r="A980" s="1"/>
      <c r="B980" s="1"/>
      <c r="C980" s="1"/>
      <c r="D980" s="1"/>
      <c r="E980" s="1"/>
      <c r="F980" s="1"/>
      <c r="G980" s="1"/>
      <c r="H980" s="1"/>
      <c r="I980" s="1"/>
    </row>
    <row r="981">
      <c r="A981" s="1"/>
      <c r="B981" s="1"/>
      <c r="C981" s="1"/>
      <c r="D981" s="1"/>
      <c r="E981" s="1"/>
      <c r="F981" s="1"/>
      <c r="G981" s="1"/>
      <c r="H981" s="1"/>
      <c r="I981" s="1"/>
    </row>
    <row r="982">
      <c r="A982" s="1"/>
      <c r="B982" s="1"/>
      <c r="C982" s="1"/>
      <c r="D982" s="1"/>
      <c r="E982" s="1"/>
      <c r="F982" s="1"/>
      <c r="G982" s="1"/>
      <c r="H982" s="1"/>
      <c r="I982" s="1"/>
    </row>
    <row r="983">
      <c r="A983" s="1"/>
      <c r="B983" s="1"/>
      <c r="C983" s="1"/>
      <c r="D983" s="1"/>
      <c r="E983" s="1"/>
      <c r="F983" s="1"/>
      <c r="G983" s="1"/>
      <c r="H983" s="1"/>
      <c r="I983" s="1"/>
    </row>
    <row r="984">
      <c r="A984" s="1"/>
      <c r="B984" s="1"/>
      <c r="C984" s="1"/>
      <c r="D984" s="1"/>
      <c r="E984" s="1"/>
      <c r="F984" s="1"/>
      <c r="G984" s="1"/>
      <c r="H984" s="1"/>
      <c r="I984" s="1"/>
    </row>
    <row r="985">
      <c r="A985" s="1"/>
      <c r="B985" s="1"/>
      <c r="C985" s="1"/>
      <c r="D985" s="1"/>
      <c r="E985" s="1"/>
      <c r="F985" s="1"/>
      <c r="G985" s="1"/>
      <c r="H985" s="1"/>
      <c r="I985" s="1"/>
    </row>
    <row r="986">
      <c r="A986" s="1"/>
      <c r="B986" s="1"/>
      <c r="C986" s="1"/>
      <c r="D986" s="1"/>
      <c r="E986" s="1"/>
      <c r="F986" s="1"/>
      <c r="G986" s="1"/>
      <c r="H986" s="1"/>
      <c r="I986" s="1"/>
    </row>
    <row r="987">
      <c r="A987" s="1"/>
      <c r="B987" s="1"/>
      <c r="C987" s="1"/>
      <c r="D987" s="1"/>
      <c r="E987" s="1"/>
      <c r="F987" s="1"/>
      <c r="G987" s="1"/>
      <c r="H987" s="1"/>
      <c r="I987" s="1"/>
    </row>
    <row r="988">
      <c r="A988" s="1"/>
      <c r="B988" s="1"/>
      <c r="C988" s="1"/>
      <c r="D988" s="1"/>
      <c r="E988" s="1"/>
      <c r="F988" s="1"/>
      <c r="G988" s="1"/>
      <c r="H988" s="1"/>
      <c r="I988" s="1"/>
    </row>
    <row r="989">
      <c r="A989" s="1"/>
      <c r="B989" s="1"/>
      <c r="C989" s="1"/>
      <c r="D989" s="1"/>
      <c r="E989" s="1"/>
      <c r="F989" s="1"/>
      <c r="G989" s="1"/>
      <c r="H989" s="1"/>
      <c r="I989" s="1"/>
    </row>
    <row r="990">
      <c r="A990" s="1"/>
      <c r="B990" s="1"/>
      <c r="C990" s="1"/>
      <c r="D990" s="1"/>
      <c r="E990" s="1"/>
      <c r="F990" s="1"/>
      <c r="G990" s="1"/>
      <c r="H990" s="1"/>
      <c r="I990" s="1"/>
    </row>
    <row r="991">
      <c r="A991" s="1"/>
      <c r="B991" s="1"/>
      <c r="C991" s="1"/>
      <c r="D991" s="1"/>
      <c r="E991" s="1"/>
      <c r="F991" s="1"/>
      <c r="G991" s="1"/>
      <c r="H991" s="1"/>
      <c r="I991" s="1"/>
    </row>
    <row r="992">
      <c r="A992" s="1"/>
      <c r="B992" s="1"/>
      <c r="C992" s="1"/>
      <c r="D992" s="1"/>
      <c r="E992" s="1"/>
      <c r="F992" s="1"/>
      <c r="G992" s="1"/>
      <c r="H992" s="1"/>
      <c r="I992" s="1"/>
    </row>
    <row r="993">
      <c r="A993" s="1"/>
      <c r="B993" s="1"/>
      <c r="C993" s="1"/>
      <c r="D993" s="1"/>
      <c r="E993" s="1"/>
      <c r="F993" s="1"/>
      <c r="G993" s="1"/>
      <c r="H993" s="1"/>
      <c r="I993" s="1"/>
    </row>
    <row r="994">
      <c r="A994" s="1"/>
      <c r="B994" s="1"/>
      <c r="C994" s="1"/>
      <c r="D994" s="1"/>
      <c r="E994" s="1"/>
      <c r="F994" s="1"/>
      <c r="G994" s="1"/>
      <c r="H994" s="1"/>
      <c r="I994" s="1"/>
    </row>
    <row r="995">
      <c r="A995" s="1"/>
      <c r="B995" s="1"/>
      <c r="C995" s="1"/>
      <c r="D995" s="1"/>
      <c r="E995" s="1"/>
      <c r="F995" s="1"/>
      <c r="G995" s="1"/>
      <c r="H995" s="1"/>
      <c r="I995" s="1"/>
    </row>
    <row r="996">
      <c r="A996" s="1"/>
      <c r="B996" s="1"/>
      <c r="C996" s="1"/>
      <c r="D996" s="1"/>
      <c r="E996" s="1"/>
      <c r="F996" s="1"/>
      <c r="G996" s="1"/>
      <c r="H996" s="1"/>
      <c r="I996" s="1"/>
    </row>
    <row r="997">
      <c r="A997" s="1"/>
      <c r="B997" s="1"/>
      <c r="C997" s="1"/>
      <c r="D997" s="1"/>
      <c r="E997" s="1"/>
      <c r="F997" s="1"/>
      <c r="G997" s="1"/>
      <c r="H997" s="1"/>
      <c r="I997" s="1"/>
    </row>
    <row r="998">
      <c r="A998" s="1"/>
      <c r="B998" s="1"/>
      <c r="C998" s="1"/>
      <c r="D998" s="1"/>
      <c r="E998" s="1"/>
      <c r="F998" s="1"/>
      <c r="G998" s="1"/>
      <c r="H998" s="1"/>
      <c r="I998" s="1"/>
    </row>
    <row r="999">
      <c r="A999" s="1"/>
      <c r="B999" s="1"/>
      <c r="C999" s="1"/>
      <c r="D999" s="1"/>
      <c r="E999" s="1"/>
      <c r="F999" s="1"/>
      <c r="G999" s="1"/>
      <c r="H999" s="1"/>
      <c r="I999" s="1"/>
    </row>
    <row r="1000">
      <c r="A1000" s="1"/>
      <c r="B1000" s="1"/>
      <c r="C1000" s="1"/>
      <c r="D1000" s="1"/>
      <c r="E1000" s="1"/>
      <c r="F1000" s="1"/>
      <c r="G1000" s="1"/>
      <c r="H1000" s="1"/>
      <c r="I1000" s="1"/>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location="november-17-2019-a-person-displayed-the-first-detectable-case-of-covid-19-in-china-1"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s>
  <drawing r:id="rId6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IFERROR(__xludf.DUMMYFUNCTION("IMPORTRANGE(""https://docs.google.com/spreadsheets/d/1k5kFdWii6F13PHSy0nsMJGvcj5IKZa95QbITVU0-6bQ/"", ""US Emergency Proclamation Timeline!A:i"")"),"Date")</f>
        <v>Date</v>
      </c>
      <c r="B1" s="1" t="str">
        <f>IFERROR(__xludf.DUMMYFUNCTION("""COMPUTED_VALUE"""),"State (US)")</f>
        <v>State (US)</v>
      </c>
      <c r="C1" s="1" t="str">
        <f>IFERROR(__xludf.DUMMYFUNCTION("""COMPUTED_VALUE"""),"Event")</f>
        <v>Event</v>
      </c>
      <c r="D1" s="1" t="str">
        <f>IFERROR(__xludf.DUMMYFUNCTION("""COMPUTED_VALUE"""),"Action")</f>
        <v>Action</v>
      </c>
      <c r="E1" s="1" t="str">
        <f>IFERROR(__xludf.DUMMYFUNCTION("""COMPUTED_VALUE"""),"Details")</f>
        <v>Details</v>
      </c>
      <c r="F1" s="1" t="str">
        <f>IFERROR(__xludf.DUMMYFUNCTION("""COMPUTED_VALUE"""),"Source")</f>
        <v>Source</v>
      </c>
      <c r="G1" s="1" t="str">
        <f>IFERROR(__xludf.DUMMYFUNCTION("""COMPUTED_VALUE"""),"URL")</f>
        <v>URL</v>
      </c>
      <c r="H1" s="1"/>
      <c r="I1" s="1"/>
    </row>
    <row r="2">
      <c r="A2" s="2">
        <f>IFERROR(__xludf.DUMMYFUNCTION("""COMPUTED_VALUE"""),43903.0)</f>
        <v>43903</v>
      </c>
      <c r="B2" s="1" t="str">
        <f>IFERROR(__xludf.DUMMYFUNCTION("""COMPUTED_VALUE"""),"Alabama")</f>
        <v>Alabama</v>
      </c>
      <c r="C2" s="1" t="str">
        <f>IFERROR(__xludf.DUMMYFUNCTION("""COMPUTED_VALUE"""),"State of Emergency")</f>
        <v>State of Emergency</v>
      </c>
      <c r="D2" s="1" t="str">
        <f>IFERROR(__xludf.DUMMYFUNCTION("""COMPUTED_VALUE"""),"Start")</f>
        <v>Start</v>
      </c>
      <c r="E2" s="1" t="str">
        <f>IFERROR(__xludf.DUMMYFUNCTION("""COMPUTED_VALUE"""),"Alabama Gov. Kay Ivey issued a state of emergency on March 13.")</f>
        <v>Alabama Gov. Kay Ivey issued a state of emergency on March 13.</v>
      </c>
      <c r="F2" s="1" t="str">
        <f>IFERROR(__xludf.DUMMYFUNCTION("""COMPUTED_VALUE"""),"Business Insider")</f>
        <v>Business Insider</v>
      </c>
      <c r="G2" s="3" t="str">
        <f>IFERROR(__xludf.DUMMYFUNCTION("""COMPUTED_VALUE"""),"https://www.businessinsider.com/california-washington-state-of-emergency-coronavirus-what-it-means-2020-3#alabama-31")</f>
        <v>https://www.businessinsider.com/california-washington-state-of-emergency-coronavirus-what-it-means-2020-3#alabama-31</v>
      </c>
      <c r="H2" s="1"/>
      <c r="I2" s="1"/>
    </row>
    <row r="3">
      <c r="A3" s="2">
        <f>IFERROR(__xludf.DUMMYFUNCTION("""COMPUTED_VALUE"""),43925.0)</f>
        <v>43925</v>
      </c>
      <c r="B3" s="1" t="str">
        <f>IFERROR(__xludf.DUMMYFUNCTION("""COMPUTED_VALUE"""),"Alabama")</f>
        <v>Alabama</v>
      </c>
      <c r="C3" s="1" t="str">
        <f>IFERROR(__xludf.DUMMYFUNCTION("""COMPUTED_VALUE"""),"Stay-at-Home Order")</f>
        <v>Stay-at-Home Order</v>
      </c>
      <c r="D3" s="1" t="str">
        <f>IFERROR(__xludf.DUMMYFUNCTION("""COMPUTED_VALUE"""),"Start")</f>
        <v>Start</v>
      </c>
      <c r="E3" s="1" t="str">
        <f>IFERROR(__xludf.DUMMYFUNCTION("""COMPUTED_VALUE"""),"Original stay-at-home order begins")</f>
        <v>Original stay-at-home order begins</v>
      </c>
      <c r="F3" s="1" t="str">
        <f>IFERROR(__xludf.DUMMYFUNCTION("""COMPUTED_VALUE"""),"National Academy for State Health Policy")</f>
        <v>National Academy for State Health Policy</v>
      </c>
      <c r="G3" s="3" t="str">
        <f>IFERROR(__xludf.DUMMYFUNCTION("""COMPUTED_VALUE"""),"https://www.nashp.org/2020-state-reopening-chart/")</f>
        <v>https://www.nashp.org/2020-state-reopening-chart/</v>
      </c>
      <c r="H3" s="1"/>
      <c r="I3" s="1"/>
    </row>
    <row r="4">
      <c r="A4" s="2">
        <f>IFERROR(__xludf.DUMMYFUNCTION("""COMPUTED_VALUE"""),43951.0)</f>
        <v>43951</v>
      </c>
      <c r="B4" s="1" t="str">
        <f>IFERROR(__xludf.DUMMYFUNCTION("""COMPUTED_VALUE"""),"Alabama")</f>
        <v>Alabama</v>
      </c>
      <c r="C4" s="1" t="str">
        <f>IFERROR(__xludf.DUMMYFUNCTION("""COMPUTED_VALUE"""),"Stay-at-Home Order")</f>
        <v>Stay-at-Home Order</v>
      </c>
      <c r="D4" s="1" t="str">
        <f>IFERROR(__xludf.DUMMYFUNCTION("""COMPUTED_VALUE"""),"End")</f>
        <v>End</v>
      </c>
      <c r="E4" s="1" t="str">
        <f>IFERROR(__xludf.DUMMYFUNCTION("""COMPUTED_VALUE"""),"Original stay-at-home order ends")</f>
        <v>Original stay-at-home order ends</v>
      </c>
      <c r="F4" s="1" t="str">
        <f>IFERROR(__xludf.DUMMYFUNCTION("""COMPUTED_VALUE"""),"National Academy for State Health Policy")</f>
        <v>National Academy for State Health Policy</v>
      </c>
      <c r="G4" s="3" t="str">
        <f>IFERROR(__xludf.DUMMYFUNCTION("""COMPUTED_VALUE"""),"https://www.nashp.org/2020-state-reopening-chart/")</f>
        <v>https://www.nashp.org/2020-state-reopening-chart/</v>
      </c>
      <c r="H4" s="1"/>
      <c r="I4" s="1"/>
    </row>
    <row r="5">
      <c r="A5" s="2">
        <f>IFERROR(__xludf.DUMMYFUNCTION("""COMPUTED_VALUE"""),43951.0)</f>
        <v>43951</v>
      </c>
      <c r="B5" s="1" t="str">
        <f>IFERROR(__xludf.DUMMYFUNCTION("""COMPUTED_VALUE"""),"Alabama")</f>
        <v>Alabama</v>
      </c>
      <c r="C5" s="1" t="str">
        <f>IFERROR(__xludf.DUMMYFUNCTION("""COMPUTED_VALUE"""),"State Proclamations ")</f>
        <v>State Proclamations </v>
      </c>
      <c r="D5" s="1" t="str">
        <f>IFERROR(__xludf.DUMMYFUNCTION("""COMPUTED_VALUE"""),"Opening")</f>
        <v>Opening</v>
      </c>
      <c r="E5" s="1" t="str">
        <f>IFERROR(__xludf.DUMMYFUNCTION("""COMPUTED_VALUE"""),"Alabama has reopened retail stores, restaurant dining, personal care services, houses of worship, entertainment venues, childcare facilities, outdoor recreation, and summer camps. Nonessential medical procedures resumed April 30, 2020.")</f>
        <v>Alabama has reopened retail stores, restaurant dining, personal care services, houses of worship, entertainment venues, childcare facilities, outdoor recreation, and summer camps. Nonessential medical procedures resumed April 30, 2020.</v>
      </c>
      <c r="F5" s="1" t="str">
        <f>IFERROR(__xludf.DUMMYFUNCTION("""COMPUTED_VALUE"""),"National Academy for State Health Policy")</f>
        <v>National Academy for State Health Policy</v>
      </c>
      <c r="G5" s="3" t="str">
        <f>IFERROR(__xludf.DUMMYFUNCTION("""COMPUTED_VALUE"""),"https://www.nashp.org/2020-state-reopening-chart/")</f>
        <v>https://www.nashp.org/2020-state-reopening-chart/</v>
      </c>
      <c r="H5" s="1"/>
      <c r="I5" s="1"/>
    </row>
    <row r="6">
      <c r="A6" s="2">
        <f>IFERROR(__xludf.DUMMYFUNCTION("""COMPUTED_VALUE"""),43983.0)</f>
        <v>43983</v>
      </c>
      <c r="B6" s="1" t="str">
        <f>IFERROR(__xludf.DUMMYFUNCTION("""COMPUTED_VALUE"""),"Alabama")</f>
        <v>Alabama</v>
      </c>
      <c r="C6" s="1" t="str">
        <f>IFERROR(__xludf.DUMMYFUNCTION("""COMPUTED_VALUE"""),"State Proclamations ")</f>
        <v>State Proclamations </v>
      </c>
      <c r="D6" s="1" t="str">
        <f>IFERROR(__xludf.DUMMYFUNCTION("""COMPUTED_VALUE"""),"Opening")</f>
        <v>Opening</v>
      </c>
      <c r="E6" s="1" t="str">
        <f>IFERROR(__xludf.DUMMYFUNCTION("""COMPUTED_VALUE"""),"Educational institutions reopened")</f>
        <v>Educational institutions reopened</v>
      </c>
      <c r="F6" s="1" t="str">
        <f>IFERROR(__xludf.DUMMYFUNCTION("""COMPUTED_VALUE"""),"National Academy for State Health Policy")</f>
        <v>National Academy for State Health Policy</v>
      </c>
      <c r="G6" s="3" t="str">
        <f>IFERROR(__xludf.DUMMYFUNCTION("""COMPUTED_VALUE"""),"https://www.nashp.org/2020-state-reopening-chart/")</f>
        <v>https://www.nashp.org/2020-state-reopening-chart/</v>
      </c>
      <c r="H6" s="1"/>
      <c r="I6" s="1"/>
    </row>
    <row r="7">
      <c r="A7" s="2">
        <f>IFERROR(__xludf.DUMMYFUNCTION("""COMPUTED_VALUE"""),44012.0)</f>
        <v>44012</v>
      </c>
      <c r="B7" s="1" t="str">
        <f>IFERROR(__xludf.DUMMYFUNCTION("""COMPUTED_VALUE"""),"Alabama")</f>
        <v>Alabama</v>
      </c>
      <c r="C7" s="1" t="str">
        <f>IFERROR(__xludf.DUMMYFUNCTION("""COMPUTED_VALUE"""),"State Proclamations ")</f>
        <v>State Proclamations </v>
      </c>
      <c r="D7" s="1" t="str">
        <f>IFERROR(__xludf.DUMMYFUNCTION("""COMPUTED_VALUE"""),"Closing")</f>
        <v>Closing</v>
      </c>
      <c r="E7" s="1" t="str">
        <f>IFERROR(__xludf.DUMMYFUNCTION("""COMPUTED_VALUE"""),"Due to an increase in infections, the governor has extended the Safer at Home guidelines through July 31, 2020")</f>
        <v>Due to an increase in infections, the governor has extended the Safer at Home guidelines through July 31, 2020</v>
      </c>
      <c r="F7" s="1" t="str">
        <f>IFERROR(__xludf.DUMMYFUNCTION("""COMPUTED_VALUE"""),"National Academy for State Health Policy")</f>
        <v>National Academy for State Health Policy</v>
      </c>
      <c r="G7" s="3" t="str">
        <f>IFERROR(__xludf.DUMMYFUNCTION("""COMPUTED_VALUE"""),"https://www.nashp.org/2020-state-reopening-chart/")</f>
        <v>https://www.nashp.org/2020-state-reopening-chart/</v>
      </c>
      <c r="H7" s="1"/>
      <c r="I7" s="1"/>
    </row>
    <row r="8">
      <c r="A8" s="2">
        <f>IFERROR(__xludf.DUMMYFUNCTION("""COMPUTED_VALUE"""),44027.0)</f>
        <v>44027</v>
      </c>
      <c r="B8" s="1" t="str">
        <f>IFERROR(__xludf.DUMMYFUNCTION("""COMPUTED_VALUE"""),"Alabama")</f>
        <v>Alabama</v>
      </c>
      <c r="C8" s="1" t="str">
        <f>IFERROR(__xludf.DUMMYFUNCTION("""COMPUTED_VALUE"""),"Mask Mandate")</f>
        <v>Mask Mandate</v>
      </c>
      <c r="D8" s="1" t="str">
        <f>IFERROR(__xludf.DUMMYFUNCTION("""COMPUTED_VALUE"""),"Start")</f>
        <v>Start</v>
      </c>
      <c r="E8" s="1" t="str">
        <f>IFERROR(__xludf.DUMMYFUNCTION("""COMPUTED_VALUE"""),"Gov. Kay Ivey issued an amended Safer at Home order which requires residents to wear a mask or face covering when in public and in close contact with other people. The order was extended through August 31, and it was expanded to include students in second"&amp;" grade and above.")</f>
        <v>Gov. Kay Ivey issued an amended Safer at Home order which requires residents to wear a mask or face covering when in public and in close contact with other people. The order was extended through August 31, and it was expanded to include students in second grade and above.</v>
      </c>
      <c r="F8" s="1" t="str">
        <f>IFERROR(__xludf.DUMMYFUNCTION("""COMPUTED_VALUE"""),"CNN")</f>
        <v>CNN</v>
      </c>
      <c r="G8" s="3" t="str">
        <f>IFERROR(__xludf.DUMMYFUNCTION("""COMPUTED_VALUE"""),"https://www.cnn.com/2020/06/19/us/states-face-mask-coronavirus-trnd/index.html")</f>
        <v>https://www.cnn.com/2020/06/19/us/states-face-mask-coronavirus-trnd/index.html</v>
      </c>
      <c r="H8" s="1"/>
      <c r="I8" s="1"/>
    </row>
    <row r="9">
      <c r="A9" s="2">
        <f>IFERROR(__xludf.DUMMYFUNCTION("""COMPUTED_VALUE"""),44039.0)</f>
        <v>44039</v>
      </c>
      <c r="B9" s="1" t="str">
        <f>IFERROR(__xludf.DUMMYFUNCTION("""COMPUTED_VALUE"""),"Alabama")</f>
        <v>Alabama</v>
      </c>
      <c r="C9" s="1" t="str">
        <f>IFERROR(__xludf.DUMMYFUNCTION("""COMPUTED_VALUE"""),"State Proclamations ")</f>
        <v>State Proclamations </v>
      </c>
      <c r="D9" s="1" t="str">
        <f>IFERROR(__xludf.DUMMYFUNCTION("""COMPUTED_VALUE"""),"Closing")</f>
        <v>Closing</v>
      </c>
      <c r="E9" s="1" t="str">
        <f>IFERROR(__xludf.DUMMYFUNCTION("""COMPUTED_VALUE"""),"The governor extended the Safer at Home guidelines through Oct. 2, 2020. This includes a face mask mandate.")</f>
        <v>The governor extended the Safer at Home guidelines through Oct. 2, 2020. This includes a face mask mandate.</v>
      </c>
      <c r="F9" s="1" t="str">
        <f>IFERROR(__xludf.DUMMYFUNCTION("""COMPUTED_VALUE"""),"National Academy for State Health Policy")</f>
        <v>National Academy for State Health Policy</v>
      </c>
      <c r="G9" s="3" t="str">
        <f>IFERROR(__xludf.DUMMYFUNCTION("""COMPUTED_VALUE"""),"https://www.nashp.org/2020-state-reopening-chart/")</f>
        <v>https://www.nashp.org/2020-state-reopening-chart/</v>
      </c>
      <c r="H9" s="1"/>
      <c r="I9" s="1"/>
    </row>
    <row r="10">
      <c r="A10" s="2">
        <f>IFERROR(__xludf.DUMMYFUNCTION("""COMPUTED_VALUE"""),44041.0)</f>
        <v>44041</v>
      </c>
      <c r="B10" s="1" t="str">
        <f>IFERROR(__xludf.DUMMYFUNCTION("""COMPUTED_VALUE"""),"Alabama")</f>
        <v>Alabama</v>
      </c>
      <c r="C10" s="1" t="str">
        <f>IFERROR(__xludf.DUMMYFUNCTION("""COMPUTED_VALUE"""),"State Proclamations ")</f>
        <v>State Proclamations </v>
      </c>
      <c r="D10" s="1" t="str">
        <f>IFERROR(__xludf.DUMMYFUNCTION("""COMPUTED_VALUE"""),"Closing")</f>
        <v>Closing</v>
      </c>
      <c r="E10" s="1" t="str">
        <f>IFERROR(__xludf.DUMMYFUNCTION("""COMPUTED_VALUE"""),"The governor extended the Safer at Home guidelines through Aug. 31, 2020")</f>
        <v>The governor extended the Safer at Home guidelines through Aug. 31, 2020</v>
      </c>
      <c r="F10" s="1" t="str">
        <f>IFERROR(__xludf.DUMMYFUNCTION("""COMPUTED_VALUE"""),"National Academy for State Health Policy")</f>
        <v>National Academy for State Health Policy</v>
      </c>
      <c r="G10" s="3" t="str">
        <f>IFERROR(__xludf.DUMMYFUNCTION("""COMPUTED_VALUE"""),"https://www.nashp.org/2020-state-reopening-chart/")</f>
        <v>https://www.nashp.org/2020-state-reopening-chart/</v>
      </c>
      <c r="H10" s="1"/>
      <c r="I10" s="1"/>
    </row>
    <row r="11">
      <c r="A11" s="2">
        <f>IFERROR(__xludf.DUMMYFUNCTION("""COMPUTED_VALUE"""),44073.0)</f>
        <v>44073</v>
      </c>
      <c r="B11" s="1" t="str">
        <f>IFERROR(__xludf.DUMMYFUNCTION("""COMPUTED_VALUE"""),"Alabama")</f>
        <v>Alabama</v>
      </c>
      <c r="C11" s="1" t="str">
        <f>IFERROR(__xludf.DUMMYFUNCTION("""COMPUTED_VALUE"""),"State Proclamations ")</f>
        <v>State Proclamations </v>
      </c>
      <c r="D11" s="1" t="str">
        <f>IFERROR(__xludf.DUMMYFUNCTION("""COMPUTED_VALUE"""),"Closing")</f>
        <v>Closing</v>
      </c>
      <c r="E11" s="1" t="str">
        <f>IFERROR(__xludf.DUMMYFUNCTION("""COMPUTED_VALUE"""),"Sept. 30: The governor extended the Safer at Home guidelines through Nov. 8, 2020. This includes a face mask mandate.")</f>
        <v>Sept. 30: The governor extended the Safer at Home guidelines through Nov. 8, 2020. This includes a face mask mandate.</v>
      </c>
      <c r="F11" s="1" t="str">
        <f>IFERROR(__xludf.DUMMYFUNCTION("""COMPUTED_VALUE"""),"National Academy for State Health Policy")</f>
        <v>National Academy for State Health Policy</v>
      </c>
      <c r="G11" s="3" t="str">
        <f>IFERROR(__xludf.DUMMYFUNCTION("""COMPUTED_VALUE"""),"https://www.nashp.org/2020-state-reopening-chart/")</f>
        <v>https://www.nashp.org/2020-state-reopening-chart/</v>
      </c>
      <c r="H11" s="1"/>
      <c r="I11" s="1"/>
    </row>
    <row r="12">
      <c r="A12" s="2">
        <f>IFERROR(__xludf.DUMMYFUNCTION("""COMPUTED_VALUE"""),44140.0)</f>
        <v>44140</v>
      </c>
      <c r="B12" s="1" t="str">
        <f>IFERROR(__xludf.DUMMYFUNCTION("""COMPUTED_VALUE"""),"Alabama")</f>
        <v>Alabama</v>
      </c>
      <c r="C12" s="1" t="str">
        <f>IFERROR(__xludf.DUMMYFUNCTION("""COMPUTED_VALUE"""),"State Proclamations ")</f>
        <v>State Proclamations </v>
      </c>
      <c r="D12" s="1" t="str">
        <f>IFERROR(__xludf.DUMMYFUNCTION("""COMPUTED_VALUE"""),"Opening")</f>
        <v>Opening</v>
      </c>
      <c r="E12" s="1" t="str">
        <f>IFERROR(__xludf.DUMMYFUNCTION("""COMPUTED_VALUE"""),"Nov. 5: The governor removed occupancy limits on gyms, retailers, and entertainment venues, and gave certain businesses exceptions to social distancing rules as long as patrons wear masks and are separated by barriers at businesses, such as hair salons, g"&amp;"yms, and restaurants.")</f>
        <v>Nov. 5: The governor removed occupancy limits on gyms, retailers, and entertainment venues, and gave certain businesses exceptions to social distancing rules as long as patrons wear masks and are separated by barriers at businesses, such as hair salons, gyms, and restaurants.</v>
      </c>
      <c r="F12" s="1" t="str">
        <f>IFERROR(__xludf.DUMMYFUNCTION("""COMPUTED_VALUE"""),"National Academy for State Health Policy")</f>
        <v>National Academy for State Health Policy</v>
      </c>
      <c r="G12" s="3" t="str">
        <f>IFERROR(__xludf.DUMMYFUNCTION("""COMPUTED_VALUE"""),"https://www.nashp.org/2020-state-reopening-chart/")</f>
        <v>https://www.nashp.org/2020-state-reopening-chart/</v>
      </c>
      <c r="H12" s="1"/>
      <c r="I12" s="1"/>
    </row>
    <row r="13">
      <c r="A13" s="2">
        <f>IFERROR(__xludf.DUMMYFUNCTION("""COMPUTED_VALUE"""),44175.0)</f>
        <v>44175</v>
      </c>
      <c r="B13" s="1" t="str">
        <f>IFERROR(__xludf.DUMMYFUNCTION("""COMPUTED_VALUE"""),"Alabama")</f>
        <v>Alabama</v>
      </c>
      <c r="C13" s="1" t="str">
        <f>IFERROR(__xludf.DUMMYFUNCTION("""COMPUTED_VALUE"""),"State Proclamations ")</f>
        <v>State Proclamations </v>
      </c>
      <c r="D13" s="1" t="str">
        <f>IFERROR(__xludf.DUMMYFUNCTION("""COMPUTED_VALUE"""),"Closing")</f>
        <v>Closing</v>
      </c>
      <c r="E13" s="1" t="str">
        <f>IFERROR(__xludf.DUMMYFUNCTION("""COMPUTED_VALUE"""),"Dec. 10: The governor extended the state's Safer At Home order through Jan. 22, 2021.")</f>
        <v>Dec. 10: The governor extended the state's Safer At Home order through Jan. 22, 2021.</v>
      </c>
      <c r="F13" s="1" t="str">
        <f>IFERROR(__xludf.DUMMYFUNCTION("""COMPUTED_VALUE"""),"National Academy for State Health Policy")</f>
        <v>National Academy for State Health Policy</v>
      </c>
      <c r="G13" s="3" t="str">
        <f>IFERROR(__xludf.DUMMYFUNCTION("""COMPUTED_VALUE"""),"https://www.nashp.org/2020-state-reopening-chart/")</f>
        <v>https://www.nashp.org/2020-state-reopening-chart/</v>
      </c>
      <c r="H13" s="1"/>
      <c r="I13" s="1"/>
    </row>
    <row r="14">
      <c r="A14" s="2">
        <f>IFERROR(__xludf.DUMMYFUNCTION("""COMPUTED_VALUE"""),44217.0)</f>
        <v>44217</v>
      </c>
      <c r="B14" s="1" t="str">
        <f>IFERROR(__xludf.DUMMYFUNCTION("""COMPUTED_VALUE"""),"Alabama")</f>
        <v>Alabama</v>
      </c>
      <c r="C14" s="1" t="str">
        <f>IFERROR(__xludf.DUMMYFUNCTION("""COMPUTED_VALUE"""),"State Proclamations ")</f>
        <v>State Proclamations </v>
      </c>
      <c r="D14" s="1" t="str">
        <f>IFERROR(__xludf.DUMMYFUNCTION("""COMPUTED_VALUE"""),"Closing")</f>
        <v>Closing</v>
      </c>
      <c r="E14" s="1" t="str">
        <f>IFERROR(__xludf.DUMMYFUNCTION("""COMPUTED_VALUE"""),"Gov. Kay Ivey extended the state’s Safer at Home order, including the requirement that people wear a face-covering in public spaces when social distancing with non-household members cannot be kept, until 5 p.m. to March 5.")</f>
        <v>Gov. Kay Ivey extended the state’s Safer at Home order, including the requirement that people wear a face-covering in public spaces when social distancing with non-household members cannot be kept, until 5 p.m. to March 5.</v>
      </c>
      <c r="F14" s="1" t="str">
        <f>IFERROR(__xludf.DUMMYFUNCTION("""COMPUTED_VALUE"""),"National Academy for State Health Policy")</f>
        <v>National Academy for State Health Policy</v>
      </c>
      <c r="G14" s="3" t="str">
        <f>IFERROR(__xludf.DUMMYFUNCTION("""COMPUTED_VALUE"""),"https://www.nashp.org/2021-covid-19-state-restrictions-re-openings-and-mask-requirements/")</f>
        <v>https://www.nashp.org/2021-covid-19-state-restrictions-re-openings-and-mask-requirements/</v>
      </c>
      <c r="H14" s="1"/>
      <c r="I14" s="1"/>
    </row>
    <row r="15">
      <c r="A15" s="2">
        <f>IFERROR(__xludf.DUMMYFUNCTION("""COMPUTED_VALUE"""),44295.0)</f>
        <v>44295</v>
      </c>
      <c r="B15" s="1" t="str">
        <f>IFERROR(__xludf.DUMMYFUNCTION("""COMPUTED_VALUE"""),"Alabama")</f>
        <v>Alabama</v>
      </c>
      <c r="C15" s="1" t="str">
        <f>IFERROR(__xludf.DUMMYFUNCTION("""COMPUTED_VALUE"""),"Mask Mandate")</f>
        <v>Mask Mandate</v>
      </c>
      <c r="D15" s="1" t="str">
        <f>IFERROR(__xludf.DUMMYFUNCTION("""COMPUTED_VALUE"""),"End")</f>
        <v>End</v>
      </c>
      <c r="E15" s="1" t="str">
        <f>IFERROR(__xludf.DUMMYFUNCTION("""COMPUTED_VALUE"""),"On April 9, the statewide mask mandate was lifted")</f>
        <v>On April 9, the statewide mask mandate was lifted</v>
      </c>
      <c r="F15" s="1" t="str">
        <f>IFERROR(__xludf.DUMMYFUNCTION("""COMPUTED_VALUE"""),"National Academy for State Health Policy")</f>
        <v>National Academy for State Health Policy</v>
      </c>
      <c r="G15" s="3" t="str">
        <f>IFERROR(__xludf.DUMMYFUNCTION("""COMPUTED_VALUE"""),"https://www.nashp.org/2021-covid-19-state-restrictions-re-openings-and-mask-requirements/")</f>
        <v>https://www.nashp.org/2021-covid-19-state-restrictions-re-openings-and-mask-requirements/</v>
      </c>
      <c r="H15" s="1"/>
      <c r="I15" s="1"/>
    </row>
    <row r="16">
      <c r="A16" s="2">
        <f>IFERROR(__xludf.DUMMYFUNCTION("""COMPUTED_VALUE"""),44295.0)</f>
        <v>44295</v>
      </c>
      <c r="B16" s="1" t="str">
        <f>IFERROR(__xludf.DUMMYFUNCTION("""COMPUTED_VALUE"""),"Alabama")</f>
        <v>Alabama</v>
      </c>
      <c r="C16" s="1" t="str">
        <f>IFERROR(__xludf.DUMMYFUNCTION("""COMPUTED_VALUE"""),"State Proclamations ")</f>
        <v>State Proclamations </v>
      </c>
      <c r="D16" s="1" t="str">
        <f>IFERROR(__xludf.DUMMYFUNCTION("""COMPUTED_VALUE"""),"Opening")</f>
        <v>Opening</v>
      </c>
      <c r="E16" s="1" t="str">
        <f>IFERROR(__xludf.DUMMYFUNCTION("""COMPUTED_VALUE"""),"A new Safer Apart order took effect, running through May 5. It replaces the Safer at Home order, and lifts most restrictions on businesses and individuals, including the statewide mask requirement.")</f>
        <v>A new Safer Apart order took effect, running through May 5. It replaces the Safer at Home order, and lifts most restrictions on businesses and individuals, including the statewide mask requirement.</v>
      </c>
      <c r="F16" s="1" t="str">
        <f>IFERROR(__xludf.DUMMYFUNCTION("""COMPUTED_VALUE"""),"National Academy for State Health Policy")</f>
        <v>National Academy for State Health Policy</v>
      </c>
      <c r="G16" s="3" t="str">
        <f>IFERROR(__xludf.DUMMYFUNCTION("""COMPUTED_VALUE"""),"https://www.nashp.org/2021-covid-19-state-restrictions-re-openings-and-mask-requirements/")</f>
        <v>https://www.nashp.org/2021-covid-19-state-restrictions-re-openings-and-mask-requirements/</v>
      </c>
      <c r="H16" s="1"/>
      <c r="I16" s="1"/>
    </row>
    <row r="17">
      <c r="A17" s="2">
        <f>IFERROR(__xludf.DUMMYFUNCTION("""COMPUTED_VALUE"""),44347.0)</f>
        <v>44347</v>
      </c>
      <c r="B17" s="1" t="str">
        <f>IFERROR(__xludf.DUMMYFUNCTION("""COMPUTED_VALUE"""),"Alabama")</f>
        <v>Alabama</v>
      </c>
      <c r="C17" s="1" t="str">
        <f>IFERROR(__xludf.DUMMYFUNCTION("""COMPUTED_VALUE"""),"State Proclamations ")</f>
        <v>State Proclamations </v>
      </c>
      <c r="D17" s="1" t="str">
        <f>IFERROR(__xludf.DUMMYFUNCTION("""COMPUTED_VALUE"""),"Opening")</f>
        <v>Opening</v>
      </c>
      <c r="E17" s="1" t="str">
        <f>IFERROR(__xludf.DUMMYFUNCTION("""COMPUTED_VALUE"""),"The governor will lift the Safer Apart order.")</f>
        <v>The governor will lift the Safer Apart order.</v>
      </c>
      <c r="F17" s="1" t="str">
        <f>IFERROR(__xludf.DUMMYFUNCTION("""COMPUTED_VALUE"""),"National Academy for State Health Policy")</f>
        <v>National Academy for State Health Policy</v>
      </c>
      <c r="G17" s="3" t="str">
        <f>IFERROR(__xludf.DUMMYFUNCTION("""COMPUTED_VALUE"""),"https://www.nashp.org/2021-covid-19-state-restrictions-re-openings-and-mask-requirements/")</f>
        <v>https://www.nashp.org/2021-covid-19-state-restrictions-re-openings-and-mask-requirements/</v>
      </c>
      <c r="H17" s="1"/>
      <c r="I17" s="1"/>
    </row>
    <row r="18">
      <c r="A18" s="2">
        <f>IFERROR(__xludf.DUMMYFUNCTION("""COMPUTED_VALUE"""),44383.0)</f>
        <v>44383</v>
      </c>
      <c r="B18" s="1" t="str">
        <f>IFERROR(__xludf.DUMMYFUNCTION("""COMPUTED_VALUE"""),"Alabama")</f>
        <v>Alabama</v>
      </c>
      <c r="C18" s="1" t="str">
        <f>IFERROR(__xludf.DUMMYFUNCTION("""COMPUTED_VALUE"""),"State of Emergency")</f>
        <v>State of Emergency</v>
      </c>
      <c r="D18" s="1" t="str">
        <f>IFERROR(__xludf.DUMMYFUNCTION("""COMPUTED_VALUE"""),"End")</f>
        <v>End</v>
      </c>
      <c r="E18" s="1" t="str">
        <f>IFERROR(__xludf.DUMMYFUNCTION("""COMPUTED_VALUE"""),"State of Emergency expired on July 6, 2021")</f>
        <v>State of Emergency expired on July 6, 2021</v>
      </c>
      <c r="F18" s="1" t="str">
        <f>IFERROR(__xludf.DUMMYFUNCTION("""COMPUTED_VALUE"""),"National Academy for State Health Policy")</f>
        <v>National Academy for State Health Policy</v>
      </c>
      <c r="G18" s="3" t="str">
        <f>IFERROR(__xludf.DUMMYFUNCTION("""COMPUTED_VALUE"""),"https://www.nashp.org/2021-covid-19-state-restrictions-re-openings-and-mask-requirements/")</f>
        <v>https://www.nashp.org/2021-covid-19-state-restrictions-re-openings-and-mask-requirements/</v>
      </c>
      <c r="H18" s="1"/>
      <c r="I18" s="1"/>
    </row>
    <row r="19">
      <c r="A19" s="2">
        <f>IFERROR(__xludf.DUMMYFUNCTION("""COMPUTED_VALUE"""),44421.0)</f>
        <v>44421</v>
      </c>
      <c r="B19" s="1" t="str">
        <f>IFERROR(__xludf.DUMMYFUNCTION("""COMPUTED_VALUE"""),"Alabama")</f>
        <v>Alabama</v>
      </c>
      <c r="C19" s="1" t="str">
        <f>IFERROR(__xludf.DUMMYFUNCTION("""COMPUTED_VALUE"""),"State of Emergency")</f>
        <v>State of Emergency</v>
      </c>
      <c r="D19" s="1" t="str">
        <f>IFERROR(__xludf.DUMMYFUNCTION("""COMPUTED_VALUE"""),"Start")</f>
        <v>Start</v>
      </c>
      <c r="E19" s="1" t="str">
        <f>IFERROR(__xludf.DUMMYFUNCTION("""COMPUTED_VALUE"""),"State of Emergency reissued on August 13")</f>
        <v>State of Emergency reissued on August 13</v>
      </c>
      <c r="F19" s="1" t="str">
        <f>IFERROR(__xludf.DUMMYFUNCTION("""COMPUTED_VALUE"""),"National Academy for State Health Policy")</f>
        <v>National Academy for State Health Policy</v>
      </c>
      <c r="G19" s="3" t="str">
        <f>IFERROR(__xludf.DUMMYFUNCTION("""COMPUTED_VALUE"""),"https://www.nashp.org/2021-covid-19-state-restrictions-re-openings-and-mask-requirements/")</f>
        <v>https://www.nashp.org/2021-covid-19-state-restrictions-re-openings-and-mask-requirements/</v>
      </c>
      <c r="H19" s="1"/>
      <c r="I19" s="1"/>
    </row>
    <row r="20">
      <c r="A20" s="2">
        <f>IFERROR(__xludf.DUMMYFUNCTION("""COMPUTED_VALUE"""),44500.0)</f>
        <v>44500</v>
      </c>
      <c r="B20" s="1" t="str">
        <f>IFERROR(__xludf.DUMMYFUNCTION("""COMPUTED_VALUE"""),"Alabama")</f>
        <v>Alabama</v>
      </c>
      <c r="C20" s="1" t="str">
        <f>IFERROR(__xludf.DUMMYFUNCTION("""COMPUTED_VALUE"""),"State of Emergency")</f>
        <v>State of Emergency</v>
      </c>
      <c r="D20" s="1" t="str">
        <f>IFERROR(__xludf.DUMMYFUNCTION("""COMPUTED_VALUE"""),"End")</f>
        <v>End</v>
      </c>
      <c r="E20" s="1" t="str">
        <f>IFERROR(__xludf.DUMMYFUNCTION("""COMPUTED_VALUE"""),"The State of Emergency expired on Oct. 31, 2021")</f>
        <v>The State of Emergency expired on Oct. 31, 2021</v>
      </c>
      <c r="F20" s="1" t="str">
        <f>IFERROR(__xludf.DUMMYFUNCTION("""COMPUTED_VALUE"""),"National Academy for State Health Policy")</f>
        <v>National Academy for State Health Policy</v>
      </c>
      <c r="G20" s="3" t="str">
        <f>IFERROR(__xludf.DUMMYFUNCTION("""COMPUTED_VALUE"""),"https://www.nashp.org/governors-prioritize-health-for-all/")</f>
        <v>https://www.nashp.org/governors-prioritize-health-for-all/</v>
      </c>
      <c r="H20" s="1"/>
      <c r="I20" s="1"/>
    </row>
    <row r="21">
      <c r="A21" s="2">
        <f>IFERROR(__xludf.DUMMYFUNCTION("""COMPUTED_VALUE"""),43918.0)</f>
        <v>43918</v>
      </c>
      <c r="B21" s="1" t="str">
        <f>IFERROR(__xludf.DUMMYFUNCTION("""COMPUTED_VALUE"""),"Alaska")</f>
        <v>Alaska</v>
      </c>
      <c r="C21" s="1" t="str">
        <f>IFERROR(__xludf.DUMMYFUNCTION("""COMPUTED_VALUE"""),"Stay-at-Home Order")</f>
        <v>Stay-at-Home Order</v>
      </c>
      <c r="D21" s="1" t="str">
        <f>IFERROR(__xludf.DUMMYFUNCTION("""COMPUTED_VALUE"""),"Start")</f>
        <v>Start</v>
      </c>
      <c r="E21" s="1" t="str">
        <f>IFERROR(__xludf.DUMMYFUNCTION("""COMPUTED_VALUE"""),"Original stay-at-home order begins")</f>
        <v>Original stay-at-home order begins</v>
      </c>
      <c r="F21" s="1" t="str">
        <f>IFERROR(__xludf.DUMMYFUNCTION("""COMPUTED_VALUE"""),"National Academy for State Health Policy")</f>
        <v>National Academy for State Health Policy</v>
      </c>
      <c r="G21" s="3" t="str">
        <f>IFERROR(__xludf.DUMMYFUNCTION("""COMPUTED_VALUE"""),"https://www.nashp.org/2020-state-reopening-chart/")</f>
        <v>https://www.nashp.org/2020-state-reopening-chart/</v>
      </c>
      <c r="H21" s="1"/>
      <c r="I21" s="1"/>
    </row>
    <row r="22">
      <c r="A22" s="2">
        <f>IFERROR(__xludf.DUMMYFUNCTION("""COMPUTED_VALUE"""),43945.0)</f>
        <v>43945</v>
      </c>
      <c r="B22" s="1" t="str">
        <f>IFERROR(__xludf.DUMMYFUNCTION("""COMPUTED_VALUE"""),"Alaska")</f>
        <v>Alaska</v>
      </c>
      <c r="C22" s="1" t="str">
        <f>IFERROR(__xludf.DUMMYFUNCTION("""COMPUTED_VALUE"""),"Stay-at-Home Order")</f>
        <v>Stay-at-Home Order</v>
      </c>
      <c r="D22" s="1" t="str">
        <f>IFERROR(__xludf.DUMMYFUNCTION("""COMPUTED_VALUE"""),"End")</f>
        <v>End</v>
      </c>
      <c r="E22" s="1" t="str">
        <f>IFERROR(__xludf.DUMMYFUNCTION("""COMPUTED_VALUE"""),"Original stay-at-home order ends")</f>
        <v>Original stay-at-home order ends</v>
      </c>
      <c r="F22" s="1" t="str">
        <f>IFERROR(__xludf.DUMMYFUNCTION("""COMPUTED_VALUE"""),"National Academy for State Health Policy")</f>
        <v>National Academy for State Health Policy</v>
      </c>
      <c r="G22" s="3" t="str">
        <f>IFERROR(__xludf.DUMMYFUNCTION("""COMPUTED_VALUE"""),"https://www.nashp.org/2020-state-reopening-chart/")</f>
        <v>https://www.nashp.org/2020-state-reopening-chart/</v>
      </c>
      <c r="H22" s="1"/>
      <c r="I22" s="1"/>
    </row>
    <row r="23">
      <c r="A23" s="2">
        <f>IFERROR(__xludf.DUMMYFUNCTION("""COMPUTED_VALUE"""),43955.0)</f>
        <v>43955</v>
      </c>
      <c r="B23" s="1" t="str">
        <f>IFERROR(__xludf.DUMMYFUNCTION("""COMPUTED_VALUE"""),"Alaska")</f>
        <v>Alaska</v>
      </c>
      <c r="C23" s="1" t="str">
        <f>IFERROR(__xludf.DUMMYFUNCTION("""COMPUTED_VALUE"""),"State Proclamations ")</f>
        <v>State Proclamations </v>
      </c>
      <c r="D23" s="1" t="str">
        <f>IFERROR(__xludf.DUMMYFUNCTION("""COMPUTED_VALUE"""),"Opening")</f>
        <v>Opening</v>
      </c>
      <c r="E23" s="1" t="str">
        <f>IFERROR(__xludf.DUMMYFUNCTION("""COMPUTED_VALUE"""),"Alaska has reopened retail stores, dining, bars, personal care services, houses of worship, libraries, theaters, bowling alleys, museums, gyms, and pools. Nonessential medical procedures resumed May 4")</f>
        <v>Alaska has reopened retail stores, dining, bars, personal care services, houses of worship, libraries, theaters, bowling alleys, museums, gyms, and pools. Nonessential medical procedures resumed May 4</v>
      </c>
      <c r="F23" s="1" t="str">
        <f>IFERROR(__xludf.DUMMYFUNCTION("""COMPUTED_VALUE"""),"National Academy for State Health Policy")</f>
        <v>National Academy for State Health Policy</v>
      </c>
      <c r="G23" s="3" t="str">
        <f>IFERROR(__xludf.DUMMYFUNCTION("""COMPUTED_VALUE"""),"https://www.nashp.org/2020-state-reopening-chart/")</f>
        <v>https://www.nashp.org/2020-state-reopening-chart/</v>
      </c>
      <c r="H23" s="1"/>
      <c r="I23" s="1"/>
    </row>
    <row r="24">
      <c r="A24" s="2">
        <f>IFERROR(__xludf.DUMMYFUNCTION("""COMPUTED_VALUE"""),44241.0)</f>
        <v>44241</v>
      </c>
      <c r="B24" s="1" t="str">
        <f>IFERROR(__xludf.DUMMYFUNCTION("""COMPUTED_VALUE"""),"Alaska")</f>
        <v>Alaska</v>
      </c>
      <c r="C24" s="1" t="str">
        <f>IFERROR(__xludf.DUMMYFUNCTION("""COMPUTED_VALUE"""),"State Proclamations ")</f>
        <v>State Proclamations </v>
      </c>
      <c r="D24" s="1" t="str">
        <f>IFERROR(__xludf.DUMMYFUNCTION("""COMPUTED_VALUE"""),"Opening")</f>
        <v>Opening</v>
      </c>
      <c r="E24" s="1" t="str">
        <f>IFERROR(__xludf.DUMMYFUNCTION("""COMPUTED_VALUE"""),"Gov. Mike Dunleavy allowed the state’s coronavirus emergency order to expire. Four health advisories replaced the order, including recommendations for mitigating virus spread among individuals (like wearing a face-covering and social distancing). Alaska’s"&amp;" interstate pre-travel testing requirements also expired with the emergency order, but individuals who have COVID-19 are still prohibited from entering the state.")</f>
        <v>Gov. Mike Dunleavy allowed the state’s coronavirus emergency order to expire. Four health advisories replaced the order, including recommendations for mitigating virus spread among individuals (like wearing a face-covering and social distancing). Alaska’s interstate pre-travel testing requirements also expired with the emergency order, but individuals who have COVID-19 are still prohibited from entering the state.</v>
      </c>
      <c r="F24" s="1" t="str">
        <f>IFERROR(__xludf.DUMMYFUNCTION("""COMPUTED_VALUE"""),"National Academy for State Health Policy")</f>
        <v>National Academy for State Health Policy</v>
      </c>
      <c r="G24" s="3" t="str">
        <f>IFERROR(__xludf.DUMMYFUNCTION("""COMPUTED_VALUE"""),"https://www.nashp.org/2021-covid-19-state-restrictions-re-openings-and-mask-requirements/")</f>
        <v>https://www.nashp.org/2021-covid-19-state-restrictions-re-openings-and-mask-requirements/</v>
      </c>
      <c r="H24" s="1"/>
      <c r="I24" s="1"/>
    </row>
    <row r="25">
      <c r="A25" s="2">
        <f>IFERROR(__xludf.DUMMYFUNCTION("""COMPUTED_VALUE"""),44316.0)</f>
        <v>44316</v>
      </c>
      <c r="B25" s="1" t="str">
        <f>IFERROR(__xludf.DUMMYFUNCTION("""COMPUTED_VALUE"""),"Alaska")</f>
        <v>Alaska</v>
      </c>
      <c r="C25" s="1" t="str">
        <f>IFERROR(__xludf.DUMMYFUNCTION("""COMPUTED_VALUE"""),"State of Emergency")</f>
        <v>State of Emergency</v>
      </c>
      <c r="D25" s="1" t="str">
        <f>IFERROR(__xludf.DUMMYFUNCTION("""COMPUTED_VALUE"""),"End")</f>
        <v>End</v>
      </c>
      <c r="E25" s="1" t="str">
        <f>IFERROR(__xludf.DUMMYFUNCTION("""COMPUTED_VALUE"""),"State of Emergency expired on April 30, 2021")</f>
        <v>State of Emergency expired on April 30, 2021</v>
      </c>
      <c r="F25" s="1" t="str">
        <f>IFERROR(__xludf.DUMMYFUNCTION("""COMPUTED_VALUE"""),"National Academy for State Health Policy")</f>
        <v>National Academy for State Health Policy</v>
      </c>
      <c r="G25" s="3" t="str">
        <f>IFERROR(__xludf.DUMMYFUNCTION("""COMPUTED_VALUE"""),"https://www.nashp.org/2021-covid-19-state-restrictions-re-openings-and-mask-requirements/")</f>
        <v>https://www.nashp.org/2021-covid-19-state-restrictions-re-openings-and-mask-requirements/</v>
      </c>
      <c r="H25" s="1"/>
      <c r="I25" s="1"/>
    </row>
    <row r="26">
      <c r="A26" s="2">
        <f>IFERROR(__xludf.DUMMYFUNCTION("""COMPUTED_VALUE"""),43895.0)</f>
        <v>43895</v>
      </c>
      <c r="B26" s="1" t="str">
        <f>IFERROR(__xludf.DUMMYFUNCTION("""COMPUTED_VALUE"""),"Arizona")</f>
        <v>Arizona</v>
      </c>
      <c r="C26" s="1" t="str">
        <f>IFERROR(__xludf.DUMMYFUNCTION("""COMPUTED_VALUE"""),"State Proclamations ")</f>
        <v>State Proclamations </v>
      </c>
      <c r="D26" s="1" t="str">
        <f>IFERROR(__xludf.DUMMYFUNCTION("""COMPUTED_VALUE"""),"Opening")</f>
        <v>Opening</v>
      </c>
      <c r="E26" s="1" t="str">
        <f>IFERROR(__xludf.DUMMYFUNCTION("""COMPUTED_VALUE"""),"Gov. Doug Ducey lifted the state’s capacity limits on businesses, including restaurants, bars providing dine-in services, gyms, theaters, and bowling alleys.")</f>
        <v>Gov. Doug Ducey lifted the state’s capacity limits on businesses, including restaurants, bars providing dine-in services, gyms, theaters, and bowling alleys.</v>
      </c>
      <c r="F26" s="1" t="str">
        <f>IFERROR(__xludf.DUMMYFUNCTION("""COMPUTED_VALUE"""),"National Academy for State Health Policy")</f>
        <v>National Academy for State Health Policy</v>
      </c>
      <c r="G26" s="3" t="str">
        <f>IFERROR(__xludf.DUMMYFUNCTION("""COMPUTED_VALUE"""),"https://www.nashp.org/2020-state-reopening-chart/")</f>
        <v>https://www.nashp.org/2020-state-reopening-chart/</v>
      </c>
      <c r="H26" s="1"/>
      <c r="I26" s="1"/>
    </row>
    <row r="27">
      <c r="A27" s="2">
        <f>IFERROR(__xludf.DUMMYFUNCTION("""COMPUTED_VALUE"""),43901.0)</f>
        <v>43901</v>
      </c>
      <c r="B27" s="1" t="str">
        <f>IFERROR(__xludf.DUMMYFUNCTION("""COMPUTED_VALUE"""),"Arizona")</f>
        <v>Arizona</v>
      </c>
      <c r="C27" s="1" t="str">
        <f>IFERROR(__xludf.DUMMYFUNCTION("""COMPUTED_VALUE"""),"State of Emergency")</f>
        <v>State of Emergency</v>
      </c>
      <c r="D27" s="1" t="str">
        <f>IFERROR(__xludf.DUMMYFUNCTION("""COMPUTED_VALUE"""),"Start")</f>
        <v>Start</v>
      </c>
      <c r="E27" s="1" t="str">
        <f>IFERROR(__xludf.DUMMYFUNCTION("""COMPUTED_VALUE"""),"Gov. Doug Ducey declared an emergency Wednesday afternoon in response to the new coronavirus, hours after health officials announced a ninth case in the state and the head of the World Health Organization called the outbreak a pandemic.")</f>
        <v>Gov. Doug Ducey declared an emergency Wednesday afternoon in response to the new coronavirus, hours after health officials announced a ninth case in the state and the head of the World Health Organization called the outbreak a pandemic.</v>
      </c>
      <c r="F27" s="1" t="str">
        <f>IFERROR(__xludf.DUMMYFUNCTION("""COMPUTED_VALUE"""),"azcentral")</f>
        <v>azcentral</v>
      </c>
      <c r="G27" s="3" t="str">
        <f>IFERROR(__xludf.DUMMYFUNCTION("""COMPUTED_VALUE"""),"https://www.azcentral.com/story/news/politics/arizona/2020/03/11/ducey-declares-health-emergency-arizona-new-coronavirus/5025505002/")</f>
        <v>https://www.azcentral.com/story/news/politics/arizona/2020/03/11/ducey-declares-health-emergency-arizona-new-coronavirus/5025505002/</v>
      </c>
      <c r="H27" s="1"/>
      <c r="I27" s="1"/>
    </row>
    <row r="28">
      <c r="A28" s="2">
        <f>IFERROR(__xludf.DUMMYFUNCTION("""COMPUTED_VALUE"""),43905.0)</f>
        <v>43905</v>
      </c>
      <c r="B28" s="1" t="str">
        <f>IFERROR(__xludf.DUMMYFUNCTION("""COMPUTED_VALUE"""),"Arizona")</f>
        <v>Arizona</v>
      </c>
      <c r="C28" s="1" t="str">
        <f>IFERROR(__xludf.DUMMYFUNCTION("""COMPUTED_VALUE"""),"State Proclamations ")</f>
        <v>State Proclamations </v>
      </c>
      <c r="D28" s="1" t="str">
        <f>IFERROR(__xludf.DUMMYFUNCTION("""COMPUTED_VALUE"""),"Opening")</f>
        <v>Opening</v>
      </c>
      <c r="E28" s="1" t="str">
        <f>IFERROR(__xludf.DUMMYFUNCTION("""COMPUTED_VALUE"""),"Public schools are required to offer in-person instruction. High schools and middle schools in high-transmission counties will be exempt from the order and parents will still be able to keep their children in virtual classes.")</f>
        <v>Public schools are required to offer in-person instruction. High schools and middle schools in high-transmission counties will be exempt from the order and parents will still be able to keep their children in virtual classes.</v>
      </c>
      <c r="F28" s="1" t="str">
        <f>IFERROR(__xludf.DUMMYFUNCTION("""COMPUTED_VALUE"""),"National Academy for State Health Policy")</f>
        <v>National Academy for State Health Policy</v>
      </c>
      <c r="G28" s="3" t="str">
        <f>IFERROR(__xludf.DUMMYFUNCTION("""COMPUTED_VALUE"""),"https://www.nashp.org/2021-covid-19-state-restrictions-re-openings-and-mask-requirements/")</f>
        <v>https://www.nashp.org/2021-covid-19-state-restrictions-re-openings-and-mask-requirements/</v>
      </c>
      <c r="H28" s="1"/>
      <c r="I28" s="1"/>
    </row>
    <row r="29">
      <c r="A29" s="2">
        <f>IFERROR(__xludf.DUMMYFUNCTION("""COMPUTED_VALUE"""),43915.0)</f>
        <v>43915</v>
      </c>
      <c r="B29" s="1" t="str">
        <f>IFERROR(__xludf.DUMMYFUNCTION("""COMPUTED_VALUE"""),"Arizona")</f>
        <v>Arizona</v>
      </c>
      <c r="C29" s="1" t="str">
        <f>IFERROR(__xludf.DUMMYFUNCTION("""COMPUTED_VALUE"""),"State Proclamations ")</f>
        <v>State Proclamations </v>
      </c>
      <c r="D29" s="1" t="str">
        <f>IFERROR(__xludf.DUMMYFUNCTION("""COMPUTED_VALUE"""),"Opening")</f>
        <v>Opening</v>
      </c>
      <c r="E29" s="1" t="str">
        <f>IFERROR(__xludf.DUMMYFUNCTION("""COMPUTED_VALUE"""),"The governor lifted restrictions on businesses and gatherings.")</f>
        <v>The governor lifted restrictions on businesses and gatherings.</v>
      </c>
      <c r="F29" s="1" t="str">
        <f>IFERROR(__xludf.DUMMYFUNCTION("""COMPUTED_VALUE"""),"National Academy for State Health Policy")</f>
        <v>National Academy for State Health Policy</v>
      </c>
      <c r="G29" s="3" t="str">
        <f>IFERROR(__xludf.DUMMYFUNCTION("""COMPUTED_VALUE"""),"https://www.nashp.org/2021-covid-19-state-restrictions-re-openings-and-mask-requirements/")</f>
        <v>https://www.nashp.org/2021-covid-19-state-restrictions-re-openings-and-mask-requirements/</v>
      </c>
      <c r="H29" s="1"/>
      <c r="I29" s="1"/>
    </row>
    <row r="30">
      <c r="A30" s="2">
        <f>IFERROR(__xludf.DUMMYFUNCTION("""COMPUTED_VALUE"""),43921.0)</f>
        <v>43921</v>
      </c>
      <c r="B30" s="1" t="str">
        <f>IFERROR(__xludf.DUMMYFUNCTION("""COMPUTED_VALUE"""),"Arizona")</f>
        <v>Arizona</v>
      </c>
      <c r="C30" s="1" t="str">
        <f>IFERROR(__xludf.DUMMYFUNCTION("""COMPUTED_VALUE"""),"Stay-at-Home Order")</f>
        <v>Stay-at-Home Order</v>
      </c>
      <c r="D30" s="1" t="str">
        <f>IFERROR(__xludf.DUMMYFUNCTION("""COMPUTED_VALUE"""),"Start")</f>
        <v>Start</v>
      </c>
      <c r="E30" s="1" t="str">
        <f>IFERROR(__xludf.DUMMYFUNCTION("""COMPUTED_VALUE"""),"Original stay-at-home order begins")</f>
        <v>Original stay-at-home order begins</v>
      </c>
      <c r="F30" s="1" t="str">
        <f>IFERROR(__xludf.DUMMYFUNCTION("""COMPUTED_VALUE"""),"National Academy for State Health Policy")</f>
        <v>National Academy for State Health Policy</v>
      </c>
      <c r="G30" s="3" t="str">
        <f>IFERROR(__xludf.DUMMYFUNCTION("""COMPUTED_VALUE"""),"https://www.nashp.org/2021-covid-19-state-restrictions-re-openings-and-mask-requirements/")</f>
        <v>https://www.nashp.org/2021-covid-19-state-restrictions-re-openings-and-mask-requirements/</v>
      </c>
      <c r="H30" s="1"/>
      <c r="I30" s="1"/>
    </row>
    <row r="31">
      <c r="A31" s="2">
        <f>IFERROR(__xludf.DUMMYFUNCTION("""COMPUTED_VALUE"""),43952.0)</f>
        <v>43952</v>
      </c>
      <c r="B31" s="1" t="str">
        <f>IFERROR(__xludf.DUMMYFUNCTION("""COMPUTED_VALUE"""),"Arizona")</f>
        <v>Arizona</v>
      </c>
      <c r="C31" s="1" t="str">
        <f>IFERROR(__xludf.DUMMYFUNCTION("""COMPUTED_VALUE"""),"State Proclamations ")</f>
        <v>State Proclamations </v>
      </c>
      <c r="D31" s="1" t="str">
        <f>IFERROR(__xludf.DUMMYFUNCTION("""COMPUTED_VALUE"""),"Opening")</f>
        <v>Opening</v>
      </c>
      <c r="E31" s="1" t="str">
        <f>IFERROR(__xludf.DUMMYFUNCTION("""COMPUTED_VALUE"""),"Arizona has reopened retail stores, restaurant dining, personal care services, houses of worship, casinos, pools, gyms, and spas. Nonessential medical procedures resumed May 1.")</f>
        <v>Arizona has reopened retail stores, restaurant dining, personal care services, houses of worship, casinos, pools, gyms, and spas. Nonessential medical procedures resumed May 1.</v>
      </c>
      <c r="F31" s="1" t="str">
        <f>IFERROR(__xludf.DUMMYFUNCTION("""COMPUTED_VALUE"""),"National Academy for State Health Policy")</f>
        <v>National Academy for State Health Policy</v>
      </c>
      <c r="G31" s="3" t="str">
        <f>IFERROR(__xludf.DUMMYFUNCTION("""COMPUTED_VALUE"""),"https://www.nashp.org/2020-state-reopening-chart/")</f>
        <v>https://www.nashp.org/2020-state-reopening-chart/</v>
      </c>
      <c r="H31" s="1"/>
      <c r="I31" s="1"/>
    </row>
    <row r="32">
      <c r="A32" s="2">
        <f>IFERROR(__xludf.DUMMYFUNCTION("""COMPUTED_VALUE"""),43966.0)</f>
        <v>43966</v>
      </c>
      <c r="B32" s="1" t="str">
        <f>IFERROR(__xludf.DUMMYFUNCTION("""COMPUTED_VALUE"""),"Arizona")</f>
        <v>Arizona</v>
      </c>
      <c r="C32" s="1" t="str">
        <f>IFERROR(__xludf.DUMMYFUNCTION("""COMPUTED_VALUE"""),"Stay-at-Home Order")</f>
        <v>Stay-at-Home Order</v>
      </c>
      <c r="D32" s="1" t="str">
        <f>IFERROR(__xludf.DUMMYFUNCTION("""COMPUTED_VALUE"""),"End")</f>
        <v>End</v>
      </c>
      <c r="E32" s="1" t="str">
        <f>IFERROR(__xludf.DUMMYFUNCTION("""COMPUTED_VALUE"""),"Original stay-at-home order ends")</f>
        <v>Original stay-at-home order ends</v>
      </c>
      <c r="F32" s="1" t="str">
        <f>IFERROR(__xludf.DUMMYFUNCTION("""COMPUTED_VALUE"""),"National Academy for State Health Policy")</f>
        <v>National Academy for State Health Policy</v>
      </c>
      <c r="G32" s="3" t="str">
        <f>IFERROR(__xludf.DUMMYFUNCTION("""COMPUTED_VALUE"""),"https://www.nashp.org/2021-covid-19-state-restrictions-re-openings-and-mask-requirements/")</f>
        <v>https://www.nashp.org/2021-covid-19-state-restrictions-re-openings-and-mask-requirements/</v>
      </c>
      <c r="H32" s="1"/>
      <c r="I32" s="1"/>
    </row>
    <row r="33">
      <c r="A33" s="2">
        <f>IFERROR(__xludf.DUMMYFUNCTION("""COMPUTED_VALUE"""),44011.0)</f>
        <v>44011</v>
      </c>
      <c r="B33" s="1" t="str">
        <f>IFERROR(__xludf.DUMMYFUNCTION("""COMPUTED_VALUE"""),"Arizona")</f>
        <v>Arizona</v>
      </c>
      <c r="C33" s="1" t="str">
        <f>IFERROR(__xludf.DUMMYFUNCTION("""COMPUTED_VALUE"""),"State Proclamations ")</f>
        <v>State Proclamations </v>
      </c>
      <c r="D33" s="1" t="str">
        <f>IFERROR(__xludf.DUMMYFUNCTION("""COMPUTED_VALUE"""),"Closing")</f>
        <v>Closing</v>
      </c>
      <c r="E33" s="1" t="str">
        <f>IFERROR(__xludf.DUMMYFUNCTION("""COMPUTED_VALUE"""),"The governor closed all bars, gyms, movie theaters, water parks, and tubing rentals for at least a month.")</f>
        <v>The governor closed all bars, gyms, movie theaters, water parks, and tubing rentals for at least a month.</v>
      </c>
      <c r="F33" s="1" t="str">
        <f>IFERROR(__xludf.DUMMYFUNCTION("""COMPUTED_VALUE"""),"National Academy for State Health Policy")</f>
        <v>National Academy for State Health Policy</v>
      </c>
      <c r="G33" s="3" t="str">
        <f>IFERROR(__xludf.DUMMYFUNCTION("""COMPUTED_VALUE"""),"https://www.nashp.org/2020-state-reopening-chart/")</f>
        <v>https://www.nashp.org/2020-state-reopening-chart/</v>
      </c>
      <c r="H33" s="1"/>
      <c r="I33" s="1"/>
    </row>
    <row r="34">
      <c r="A34" s="2">
        <f>IFERROR(__xludf.DUMMYFUNCTION("""COMPUTED_VALUE"""),44035.0)</f>
        <v>44035</v>
      </c>
      <c r="B34" s="1" t="str">
        <f>IFERROR(__xludf.DUMMYFUNCTION("""COMPUTED_VALUE"""),"Arizona")</f>
        <v>Arizona</v>
      </c>
      <c r="C34" s="1" t="str">
        <f>IFERROR(__xludf.DUMMYFUNCTION("""COMPUTED_VALUE"""),"State Proclamations ")</f>
        <v>State Proclamations </v>
      </c>
      <c r="D34" s="1" t="str">
        <f>IFERROR(__xludf.DUMMYFUNCTION("""COMPUTED_VALUE"""),"Closing")</f>
        <v>Closing</v>
      </c>
      <c r="E34" s="1" t="str">
        <f>IFERROR(__xludf.DUMMYFUNCTION("""COMPUTED_VALUE"""),"Extended the order that closed all bars, gyms, movie theaters, water parks, and tubing rentals.")</f>
        <v>Extended the order that closed all bars, gyms, movie theaters, water parks, and tubing rentals.</v>
      </c>
      <c r="F34" s="1" t="str">
        <f>IFERROR(__xludf.DUMMYFUNCTION("""COMPUTED_VALUE"""),"National Academy for State Health Policy")</f>
        <v>National Academy for State Health Policy</v>
      </c>
      <c r="G34" s="3" t="str">
        <f>IFERROR(__xludf.DUMMYFUNCTION("""COMPUTED_VALUE"""),"https://www.nashp.org/2020-state-reopening-chart/")</f>
        <v>https://www.nashp.org/2020-state-reopening-chart/</v>
      </c>
      <c r="H34" s="1"/>
      <c r="I34" s="1"/>
    </row>
    <row r="35">
      <c r="A35" s="2">
        <f>IFERROR(__xludf.DUMMYFUNCTION("""COMPUTED_VALUE"""),44053.0)</f>
        <v>44053</v>
      </c>
      <c r="B35" s="1" t="str">
        <f>IFERROR(__xludf.DUMMYFUNCTION("""COMPUTED_VALUE"""),"Arizona")</f>
        <v>Arizona</v>
      </c>
      <c r="C35" s="1" t="str">
        <f>IFERROR(__xludf.DUMMYFUNCTION("""COMPUTED_VALUE"""),"State Proclamations ")</f>
        <v>State Proclamations </v>
      </c>
      <c r="D35" s="1" t="str">
        <f>IFERROR(__xludf.DUMMYFUNCTION("""COMPUTED_VALUE"""),"Opening")</f>
        <v>Opening</v>
      </c>
      <c r="E35" s="1" t="str">
        <f>IFERROR(__xludf.DUMMYFUNCTION("""COMPUTED_VALUE"""),"A court ruled that the state had to give businesses the opportunity to reopen safely, prompting Gov. Doug Ducey to release guidelines for “paused businesses” to follow in order to reopen.")</f>
        <v>A court ruled that the state had to give businesses the opportunity to reopen safely, prompting Gov. Doug Ducey to release guidelines for “paused businesses” to follow in order to reopen.</v>
      </c>
      <c r="F35" s="1" t="str">
        <f>IFERROR(__xludf.DUMMYFUNCTION("""COMPUTED_VALUE"""),"National Academy for State Health Policy")</f>
        <v>National Academy for State Health Policy</v>
      </c>
      <c r="G35" s="3" t="str">
        <f>IFERROR(__xludf.DUMMYFUNCTION("""COMPUTED_VALUE"""),"https://www.nashp.org/2020-state-reopening-chart/")</f>
        <v>https://www.nashp.org/2020-state-reopening-chart/</v>
      </c>
      <c r="H35" s="1"/>
      <c r="I35" s="1"/>
    </row>
    <row r="36">
      <c r="A36" s="2">
        <f>IFERROR(__xludf.DUMMYFUNCTION("""COMPUTED_VALUE"""),44060.0)</f>
        <v>44060</v>
      </c>
      <c r="B36" s="1" t="str">
        <f>IFERROR(__xludf.DUMMYFUNCTION("""COMPUTED_VALUE"""),"Arizona")</f>
        <v>Arizona</v>
      </c>
      <c r="C36" s="1" t="str">
        <f>IFERROR(__xludf.DUMMYFUNCTION("""COMPUTED_VALUE"""),"State Proclamations ")</f>
        <v>State Proclamations </v>
      </c>
      <c r="D36" s="1" t="str">
        <f>IFERROR(__xludf.DUMMYFUNCTION("""COMPUTED_VALUE"""),"Opening")</f>
        <v>Opening</v>
      </c>
      <c r="E36" s="1" t="str">
        <f>IFERROR(__xludf.DUMMYFUNCTION("""COMPUTED_VALUE"""),"Several school districts in Arizona plan to bring students back to classrooms despite not meeting the suggested health benchmarks.")</f>
        <v>Several school districts in Arizona plan to bring students back to classrooms despite not meeting the suggested health benchmarks.</v>
      </c>
      <c r="F36" s="1" t="str">
        <f>IFERROR(__xludf.DUMMYFUNCTION("""COMPUTED_VALUE"""),"National Academy for State Health Policy")</f>
        <v>National Academy for State Health Policy</v>
      </c>
      <c r="G36" s="3" t="str">
        <f>IFERROR(__xludf.DUMMYFUNCTION("""COMPUTED_VALUE"""),"https://www.nashp.org/2020-state-reopening-chart/")</f>
        <v>https://www.nashp.org/2020-state-reopening-chart/</v>
      </c>
      <c r="H36" s="1"/>
      <c r="I36" s="1"/>
    </row>
    <row r="37">
      <c r="A37" s="2">
        <f>IFERROR(__xludf.DUMMYFUNCTION("""COMPUTED_VALUE"""),44105.0)</f>
        <v>44105</v>
      </c>
      <c r="B37" s="1" t="str">
        <f>IFERROR(__xludf.DUMMYFUNCTION("""COMPUTED_VALUE"""),"Arizona")</f>
        <v>Arizona</v>
      </c>
      <c r="C37" s="1" t="str">
        <f>IFERROR(__xludf.DUMMYFUNCTION("""COMPUTED_VALUE"""),"State Proclamations ")</f>
        <v>State Proclamations </v>
      </c>
      <c r="D37" s="1" t="str">
        <f>IFERROR(__xludf.DUMMYFUNCTION("""COMPUTED_VALUE"""),"Opening")</f>
        <v>Opening</v>
      </c>
      <c r="E37" s="1" t="str">
        <f>IFERROR(__xludf.DUMMYFUNCTION("""COMPUTED_VALUE"""),"The Department of Health Services announced that all 15 counties in the state have met benchmarks for safely reopening gyms, bars that serve food, and movie theaters.")</f>
        <v>The Department of Health Services announced that all 15 counties in the state have met benchmarks for safely reopening gyms, bars that serve food, and movie theaters.</v>
      </c>
      <c r="F37" s="1" t="str">
        <f>IFERROR(__xludf.DUMMYFUNCTION("""COMPUTED_VALUE"""),"National Academy for State Health Policy")</f>
        <v>National Academy for State Health Policy</v>
      </c>
      <c r="G37" s="3" t="str">
        <f>IFERROR(__xludf.DUMMYFUNCTION("""COMPUTED_VALUE"""),"https://www.nashp.org/2020-state-reopening-chart/")</f>
        <v>https://www.nashp.org/2020-state-reopening-chart/</v>
      </c>
      <c r="H37" s="1"/>
      <c r="I37" s="1"/>
    </row>
    <row r="38">
      <c r="A38" s="2">
        <f>IFERROR(__xludf.DUMMYFUNCTION("""COMPUTED_VALUE"""),43901.0)</f>
        <v>43901</v>
      </c>
      <c r="B38" s="1" t="str">
        <f>IFERROR(__xludf.DUMMYFUNCTION("""COMPUTED_VALUE"""),"Arkansas")</f>
        <v>Arkansas</v>
      </c>
      <c r="C38" s="1" t="str">
        <f>IFERROR(__xludf.DUMMYFUNCTION("""COMPUTED_VALUE"""),"State of Emergency")</f>
        <v>State of Emergency</v>
      </c>
      <c r="D38" s="1" t="str">
        <f>IFERROR(__xludf.DUMMYFUNCTION("""COMPUTED_VALUE"""),"Start")</f>
        <v>Start</v>
      </c>
      <c r="E38" s="1" t="str">
        <f>IFERROR(__xludf.DUMMYFUNCTION("""COMPUTED_VALUE"""),"According to local news outlets, Gov. Asa Hutchinson declared a public-health emergency on March 11")</f>
        <v>According to local news outlets, Gov. Asa Hutchinson declared a public-health emergency on March 11</v>
      </c>
      <c r="F38" s="1" t="str">
        <f>IFERROR(__xludf.DUMMYFUNCTION("""COMPUTED_VALUE"""),"Business Insider")</f>
        <v>Business Insider</v>
      </c>
      <c r="G38" s="3" t="str">
        <f>IFERROR(__xludf.DUMMYFUNCTION("""COMPUTED_VALUE"""),"https://www.businessinsider.com/california-washington-state-of-emergency-coronavirus-what-it-means-2020-3#arkansas-26")</f>
        <v>https://www.businessinsider.com/california-washington-state-of-emergency-coronavirus-what-it-means-2020-3#arkansas-26</v>
      </c>
      <c r="H38" s="1"/>
      <c r="I38" s="1"/>
    </row>
    <row r="39">
      <c r="A39" s="2">
        <f>IFERROR(__xludf.DUMMYFUNCTION("""COMPUTED_VALUE"""),43948.0)</f>
        <v>43948</v>
      </c>
      <c r="B39" s="1" t="str">
        <f>IFERROR(__xludf.DUMMYFUNCTION("""COMPUTED_VALUE"""),"Arkansas")</f>
        <v>Arkansas</v>
      </c>
      <c r="C39" s="1" t="str">
        <f>IFERROR(__xludf.DUMMYFUNCTION("""COMPUTED_VALUE"""),"State Proclamations ")</f>
        <v>State Proclamations </v>
      </c>
      <c r="D39" s="1" t="str">
        <f>IFERROR(__xludf.DUMMYFUNCTION("""COMPUTED_VALUE"""),"Opening")</f>
        <v>Opening</v>
      </c>
      <c r="E39" s="1" t="str">
        <f>IFERROR(__xludf.DUMMYFUNCTION("""COMPUTED_VALUE"""),"Arkansas never issued a stay-at-home order and instead closed high-contact businesses. Gyms and athletic facilities, restaurants, retail, houses of worship, theaters, stadiums, museums, bowling alleys, casinos and large venues have reopened. Nonessential "&amp;"medical procedures resumed April 27.")</f>
        <v>Arkansas never issued a stay-at-home order and instead closed high-contact businesses. Gyms and athletic facilities, restaurants, retail, houses of worship, theaters, stadiums, museums, bowling alleys, casinos and large venues have reopened. Nonessential medical procedures resumed April 27.</v>
      </c>
      <c r="F39" s="1" t="str">
        <f>IFERROR(__xludf.DUMMYFUNCTION("""COMPUTED_VALUE"""),"National Academy for State Health Policy")</f>
        <v>National Academy for State Health Policy</v>
      </c>
      <c r="G39" s="3" t="str">
        <f>IFERROR(__xludf.DUMMYFUNCTION("""COMPUTED_VALUE"""),"https://www.nashp.org/2020-state-reopening-chart/")</f>
        <v>https://www.nashp.org/2020-state-reopening-chart/</v>
      </c>
      <c r="H39" s="1"/>
      <c r="I39" s="1"/>
    </row>
    <row r="40">
      <c r="A40" s="2">
        <f>IFERROR(__xludf.DUMMYFUNCTION("""COMPUTED_VALUE"""),43983.0)</f>
        <v>43983</v>
      </c>
      <c r="B40" s="1" t="str">
        <f>IFERROR(__xludf.DUMMYFUNCTION("""COMPUTED_VALUE"""),"Arkansas")</f>
        <v>Arkansas</v>
      </c>
      <c r="C40" s="1" t="str">
        <f>IFERROR(__xludf.DUMMYFUNCTION("""COMPUTED_VALUE"""),"State Proclamations ")</f>
        <v>State Proclamations </v>
      </c>
      <c r="D40" s="1" t="str">
        <f>IFERROR(__xludf.DUMMYFUNCTION("""COMPUTED_VALUE"""),"Opening")</f>
        <v>Opening</v>
      </c>
      <c r="E40" s="1" t="str">
        <f>IFERROR(__xludf.DUMMYFUNCTION("""COMPUTED_VALUE"""),"High school and community teams can resume skill training.")</f>
        <v>High school and community teams can resume skill training.</v>
      </c>
      <c r="F40" s="1" t="str">
        <f>IFERROR(__xludf.DUMMYFUNCTION("""COMPUTED_VALUE"""),"National Academy for State Health Policy")</f>
        <v>National Academy for State Health Policy</v>
      </c>
      <c r="G40" s="3" t="str">
        <f>IFERROR(__xludf.DUMMYFUNCTION("""COMPUTED_VALUE"""),"https://www.nashp.org/2020-state-reopening-chart/")</f>
        <v>https://www.nashp.org/2020-state-reopening-chart/</v>
      </c>
      <c r="H40" s="1"/>
      <c r="I40" s="1"/>
    </row>
    <row r="41">
      <c r="A41" s="2">
        <f>IFERROR(__xludf.DUMMYFUNCTION("""COMPUTED_VALUE"""),43997.0)</f>
        <v>43997</v>
      </c>
      <c r="B41" s="1" t="str">
        <f>IFERROR(__xludf.DUMMYFUNCTION("""COMPUTED_VALUE"""),"Arkansas")</f>
        <v>Arkansas</v>
      </c>
      <c r="C41" s="1" t="str">
        <f>IFERROR(__xludf.DUMMYFUNCTION("""COMPUTED_VALUE"""),"State Proclamations ")</f>
        <v>State Proclamations </v>
      </c>
      <c r="D41" s="1" t="str">
        <f>IFERROR(__xludf.DUMMYFUNCTION("""COMPUTED_VALUE"""),"Opening")</f>
        <v>Opening</v>
      </c>
      <c r="E41" s="1" t="str">
        <f>IFERROR(__xludf.DUMMYFUNCTION("""COMPUTED_VALUE"""),"Large indoor venues can have up to 100 people and businesses can increase capacity to 66%.")</f>
        <v>Large indoor venues can have up to 100 people and businesses can increase capacity to 66%.</v>
      </c>
      <c r="F41" s="1" t="str">
        <f>IFERROR(__xludf.DUMMYFUNCTION("""COMPUTED_VALUE"""),"National Academy for State Health Policy")</f>
        <v>National Academy for State Health Policy</v>
      </c>
      <c r="G41" s="3" t="str">
        <f>IFERROR(__xludf.DUMMYFUNCTION("""COMPUTED_VALUE"""),"https://www.nashp.org/2020-state-reopening-chart/")</f>
        <v>https://www.nashp.org/2020-state-reopening-chart/</v>
      </c>
      <c r="H41" s="1"/>
      <c r="I41" s="1"/>
    </row>
    <row r="42">
      <c r="A42" s="2">
        <f>IFERROR(__xludf.DUMMYFUNCTION("""COMPUTED_VALUE"""),44008.0)</f>
        <v>44008</v>
      </c>
      <c r="B42" s="1" t="str">
        <f>IFERROR(__xludf.DUMMYFUNCTION("""COMPUTED_VALUE"""),"Arkansas")</f>
        <v>Arkansas</v>
      </c>
      <c r="C42" s="1" t="str">
        <f>IFERROR(__xludf.DUMMYFUNCTION("""COMPUTED_VALUE"""),"State Proclamations ")</f>
        <v>State Proclamations </v>
      </c>
      <c r="D42" s="1" t="str">
        <f>IFERROR(__xludf.DUMMYFUNCTION("""COMPUTED_VALUE"""),"Closing")</f>
        <v>Closing</v>
      </c>
      <c r="E42" s="1" t="str">
        <f>IFERROR(__xludf.DUMMYFUNCTION("""COMPUTED_VALUE"""),"Due to an increase in infections, the governor said he will not ease additional restrictions on businesses.")</f>
        <v>Due to an increase in infections, the governor said he will not ease additional restrictions on businesses.</v>
      </c>
      <c r="F42" s="1" t="str">
        <f>IFERROR(__xludf.DUMMYFUNCTION("""COMPUTED_VALUE"""),"National Academy for State Health Policy")</f>
        <v>National Academy for State Health Policy</v>
      </c>
      <c r="G42" s="3" t="str">
        <f>IFERROR(__xludf.DUMMYFUNCTION("""COMPUTED_VALUE"""),"https://www.nashp.org/2020-state-reopening-chart/")</f>
        <v>https://www.nashp.org/2020-state-reopening-chart/</v>
      </c>
      <c r="H42" s="1"/>
      <c r="I42" s="1"/>
    </row>
    <row r="43">
      <c r="A43" s="2">
        <f>IFERROR(__xludf.DUMMYFUNCTION("""COMPUTED_VALUE"""),44032.0)</f>
        <v>44032</v>
      </c>
      <c r="B43" s="1" t="str">
        <f>IFERROR(__xludf.DUMMYFUNCTION("""COMPUTED_VALUE"""),"Arkansas")</f>
        <v>Arkansas</v>
      </c>
      <c r="C43" s="1" t="str">
        <f>IFERROR(__xludf.DUMMYFUNCTION("""COMPUTED_VALUE"""),"Mask Mandate")</f>
        <v>Mask Mandate</v>
      </c>
      <c r="D43" s="1" t="str">
        <f>IFERROR(__xludf.DUMMYFUNCTION("""COMPUTED_VALUE"""),"Start")</f>
        <v>Start</v>
      </c>
      <c r="E43" s="1" t="str">
        <f>IFERROR(__xludf.DUMMYFUNCTION("""COMPUTED_VALUE"""),"Gov. Asa Hutchinson announced that beginning on Monday, July 20, residents 10 years and older must wear masks when in the presence of non-household members and aren't able to socially distance. The order is enforceable and offenders can be cited for a mis"&amp;"demeanor or fined.")</f>
        <v>Gov. Asa Hutchinson announced that beginning on Monday, July 20, residents 10 years and older must wear masks when in the presence of non-household members and aren't able to socially distance. The order is enforceable and offenders can be cited for a misdemeanor or fined.</v>
      </c>
      <c r="F43" s="1" t="str">
        <f>IFERROR(__xludf.DUMMYFUNCTION("""COMPUTED_VALUE"""),"CNN")</f>
        <v>CNN</v>
      </c>
      <c r="G43" s="3" t="str">
        <f>IFERROR(__xludf.DUMMYFUNCTION("""COMPUTED_VALUE"""),"https://www.cnn.com/2020/06/19/us/states-face-mask-coronavirus-trnd/index.html")</f>
        <v>https://www.cnn.com/2020/06/19/us/states-face-mask-coronavirus-trnd/index.html</v>
      </c>
      <c r="H43" s="1"/>
      <c r="I43" s="1"/>
    </row>
    <row r="44">
      <c r="A44" s="2">
        <f>IFERROR(__xludf.DUMMYFUNCTION("""COMPUTED_VALUE"""),44067.0)</f>
        <v>44067</v>
      </c>
      <c r="B44" s="1" t="str">
        <f>IFERROR(__xludf.DUMMYFUNCTION("""COMPUTED_VALUE"""),"Arkansas")</f>
        <v>Arkansas</v>
      </c>
      <c r="C44" s="1" t="str">
        <f>IFERROR(__xludf.DUMMYFUNCTION("""COMPUTED_VALUE"""),"State Proclamations ")</f>
        <v>State Proclamations </v>
      </c>
      <c r="D44" s="1" t="str">
        <f>IFERROR(__xludf.DUMMYFUNCTION("""COMPUTED_VALUE"""),"Opening")</f>
        <v>Opening</v>
      </c>
      <c r="E44" s="1" t="str">
        <f>IFERROR(__xludf.DUMMYFUNCTION("""COMPUTED_VALUE"""),"Schools reopened for in-person instruction.")</f>
        <v>Schools reopened for in-person instruction.</v>
      </c>
      <c r="F44" s="1" t="str">
        <f>IFERROR(__xludf.DUMMYFUNCTION("""COMPUTED_VALUE"""),"National Academy for State Health Policy")</f>
        <v>National Academy for State Health Policy</v>
      </c>
      <c r="G44" s="3" t="str">
        <f>IFERROR(__xludf.DUMMYFUNCTION("""COMPUTED_VALUE"""),"https://www.nashp.org/2020-state-reopening-chart/")</f>
        <v>https://www.nashp.org/2020-state-reopening-chart/</v>
      </c>
      <c r="H44" s="1"/>
      <c r="I44" s="1"/>
    </row>
    <row r="45">
      <c r="A45" s="2">
        <f>IFERROR(__xludf.DUMMYFUNCTION("""COMPUTED_VALUE"""),44155.0)</f>
        <v>44155</v>
      </c>
      <c r="B45" s="1" t="str">
        <f>IFERROR(__xludf.DUMMYFUNCTION("""COMPUTED_VALUE"""),"Arkansas")</f>
        <v>Arkansas</v>
      </c>
      <c r="C45" s="1" t="str">
        <f>IFERROR(__xludf.DUMMYFUNCTION("""COMPUTED_VALUE"""),"State Proclamations ")</f>
        <v>State Proclamations </v>
      </c>
      <c r="D45" s="1" t="str">
        <f>IFERROR(__xludf.DUMMYFUNCTION("""COMPUTED_VALUE"""),"Opening")</f>
        <v>Opening</v>
      </c>
      <c r="E45" s="1" t="str">
        <f>IFERROR(__xludf.DUMMYFUNCTION("""COMPUTED_VALUE"""),"Bars and resturants that serve alcohol must close by 11 p.m.")</f>
        <v>Bars and resturants that serve alcohol must close by 11 p.m.</v>
      </c>
      <c r="F45" s="1" t="str">
        <f>IFERROR(__xludf.DUMMYFUNCTION("""COMPUTED_VALUE"""),"National Academy for State Health Policy")</f>
        <v>National Academy for State Health Policy</v>
      </c>
      <c r="G45" s="3" t="str">
        <f>IFERROR(__xludf.DUMMYFUNCTION("""COMPUTED_VALUE"""),"https://www.nashp.org/2020-state-reopening-chart/")</f>
        <v>https://www.nashp.org/2020-state-reopening-chart/</v>
      </c>
      <c r="H45" s="1"/>
      <c r="I45" s="1"/>
    </row>
    <row r="46">
      <c r="A46" s="2">
        <f>IFERROR(__xludf.DUMMYFUNCTION("""COMPUTED_VALUE"""),44230.0)</f>
        <v>44230</v>
      </c>
      <c r="B46" s="1" t="str">
        <f>IFERROR(__xludf.DUMMYFUNCTION("""COMPUTED_VALUE"""),"Arkansas")</f>
        <v>Arkansas</v>
      </c>
      <c r="C46" s="1" t="str">
        <f>IFERROR(__xludf.DUMMYFUNCTION("""COMPUTED_VALUE"""),"State Proclamations ")</f>
        <v>State Proclamations </v>
      </c>
      <c r="D46" s="1" t="str">
        <f>IFERROR(__xludf.DUMMYFUNCTION("""COMPUTED_VALUE"""),"Opening")</f>
        <v>Opening</v>
      </c>
      <c r="E46" s="1" t="str">
        <f>IFERROR(__xludf.DUMMYFUNCTION("""COMPUTED_VALUE"""),"An order expired that had required bars and restaurants that serve alcohol to close nightly by 11 pm.")</f>
        <v>An order expired that had required bars and restaurants that serve alcohol to close nightly by 11 pm.</v>
      </c>
      <c r="F46" s="1" t="str">
        <f>IFERROR(__xludf.DUMMYFUNCTION("""COMPUTED_VALUE"""),"National Academy for State Health Policy")</f>
        <v>National Academy for State Health Policy</v>
      </c>
      <c r="G46" s="3" t="str">
        <f>IFERROR(__xludf.DUMMYFUNCTION("""COMPUTED_VALUE"""),"https://www.nashp.org/2021-covid-19-state-restrictions-re-openings-and-mask-requirements/")</f>
        <v>https://www.nashp.org/2021-covid-19-state-restrictions-re-openings-and-mask-requirements/</v>
      </c>
      <c r="H46" s="1"/>
      <c r="I46" s="1"/>
    </row>
    <row r="47">
      <c r="A47" s="2">
        <f>IFERROR(__xludf.DUMMYFUNCTION("""COMPUTED_VALUE"""),44243.0)</f>
        <v>44243</v>
      </c>
      <c r="B47" s="1" t="str">
        <f>IFERROR(__xludf.DUMMYFUNCTION("""COMPUTED_VALUE"""),"Arkansas")</f>
        <v>Arkansas</v>
      </c>
      <c r="C47" s="1" t="str">
        <f>IFERROR(__xludf.DUMMYFUNCTION("""COMPUTED_VALUE"""),"State Proclamations ")</f>
        <v>State Proclamations </v>
      </c>
      <c r="D47" s="1" t="str">
        <f>IFERROR(__xludf.DUMMYFUNCTION("""COMPUTED_VALUE"""),"Opening")</f>
        <v>Opening</v>
      </c>
      <c r="E47" s="1" t="str">
        <f>IFERROR(__xludf.DUMMYFUNCTION("""COMPUTED_VALUE"""),"Gov. Asa Hutchinson lifted the requirement that indoor event gatherings of more than 10 people must obtain state approval. Indoor events larger than 100 people still need state approval.")</f>
        <v>Gov. Asa Hutchinson lifted the requirement that indoor event gatherings of more than 10 people must obtain state approval. Indoor events larger than 100 people still need state approval.</v>
      </c>
      <c r="F47" s="1" t="str">
        <f>IFERROR(__xludf.DUMMYFUNCTION("""COMPUTED_VALUE"""),"National Academy for State Health Policy")</f>
        <v>National Academy for State Health Policy</v>
      </c>
      <c r="G47" s="3" t="str">
        <f>IFERROR(__xludf.DUMMYFUNCTION("""COMPUTED_VALUE"""),"https://www.nashp.org/2021-covid-19-state-restrictions-re-openings-and-mask-requirements/")</f>
        <v>https://www.nashp.org/2021-covid-19-state-restrictions-re-openings-and-mask-requirements/</v>
      </c>
      <c r="H47" s="1"/>
      <c r="I47" s="1"/>
    </row>
    <row r="48">
      <c r="A48" s="2">
        <f>IFERROR(__xludf.DUMMYFUNCTION("""COMPUTED_VALUE"""),44253.0)</f>
        <v>44253</v>
      </c>
      <c r="B48" s="1" t="str">
        <f>IFERROR(__xludf.DUMMYFUNCTION("""COMPUTED_VALUE"""),"Arkansas")</f>
        <v>Arkansas</v>
      </c>
      <c r="C48" s="1" t="str">
        <f>IFERROR(__xludf.DUMMYFUNCTION("""COMPUTED_VALUE"""),"State Proclamations ")</f>
        <v>State Proclamations </v>
      </c>
      <c r="D48" s="1" t="str">
        <f>IFERROR(__xludf.DUMMYFUNCTION("""COMPUTED_VALUE"""),"Opening")</f>
        <v>Opening</v>
      </c>
      <c r="E48" s="1" t="str">
        <f>IFERROR(__xludf.DUMMYFUNCTION("""COMPUTED_VALUE"""),"The governor changed all public health directives, excluding the mask mandate, to non-mandatory public health guidelines, including capacity limits on bars, restaurants, and gyms.")</f>
        <v>The governor changed all public health directives, excluding the mask mandate, to non-mandatory public health guidelines, including capacity limits on bars, restaurants, and gyms.</v>
      </c>
      <c r="F48" s="1" t="str">
        <f>IFERROR(__xludf.DUMMYFUNCTION("""COMPUTED_VALUE"""),"National Academy for State Health Policy")</f>
        <v>National Academy for State Health Policy</v>
      </c>
      <c r="G48" s="3" t="str">
        <f>IFERROR(__xludf.DUMMYFUNCTION("""COMPUTED_VALUE"""),"https://www.nashp.org/2021-covid-19-state-restrictions-re-openings-and-mask-requirements/")</f>
        <v>https://www.nashp.org/2021-covid-19-state-restrictions-re-openings-and-mask-requirements/</v>
      </c>
      <c r="H48" s="1"/>
      <c r="I48" s="1"/>
    </row>
    <row r="49">
      <c r="A49" s="2">
        <f>IFERROR(__xludf.DUMMYFUNCTION("""COMPUTED_VALUE"""),44286.0)</f>
        <v>44286</v>
      </c>
      <c r="B49" s="1" t="str">
        <f>IFERROR(__xludf.DUMMYFUNCTION("""COMPUTED_VALUE"""),"Arkansas")</f>
        <v>Arkansas</v>
      </c>
      <c r="C49" s="1" t="str">
        <f>IFERROR(__xludf.DUMMYFUNCTION("""COMPUTED_VALUE"""),"Mask Mandate")</f>
        <v>Mask Mandate</v>
      </c>
      <c r="D49" s="1" t="str">
        <f>IFERROR(__xludf.DUMMYFUNCTION("""COMPUTED_VALUE"""),"End")</f>
        <v>End</v>
      </c>
      <c r="E49" s="1" t="str">
        <f>IFERROR(__xludf.DUMMYFUNCTION("""COMPUTED_VALUE"""),"On March 31, the governor lifted the mask mandate")</f>
        <v>On March 31, the governor lifted the mask mandate</v>
      </c>
      <c r="F49" s="1" t="str">
        <f>IFERROR(__xludf.DUMMYFUNCTION("""COMPUTED_VALUE"""),"National Academy for State Health Policy")</f>
        <v>National Academy for State Health Policy</v>
      </c>
      <c r="G49" s="3" t="str">
        <f>IFERROR(__xludf.DUMMYFUNCTION("""COMPUTED_VALUE"""),"https://www.nashp.org/2021-covid-19-state-restrictions-re-openings-and-mask-requirements/")</f>
        <v>https://www.nashp.org/2021-covid-19-state-restrictions-re-openings-and-mask-requirements/</v>
      </c>
      <c r="H49" s="1"/>
      <c r="I49" s="1"/>
    </row>
    <row r="50">
      <c r="A50" s="2">
        <f>IFERROR(__xludf.DUMMYFUNCTION("""COMPUTED_VALUE"""),44346.0)</f>
        <v>44346</v>
      </c>
      <c r="B50" s="1" t="str">
        <f>IFERROR(__xludf.DUMMYFUNCTION("""COMPUTED_VALUE"""),"Arkansas")</f>
        <v>Arkansas</v>
      </c>
      <c r="C50" s="1" t="str">
        <f>IFERROR(__xludf.DUMMYFUNCTION("""COMPUTED_VALUE"""),"State of Emergency")</f>
        <v>State of Emergency</v>
      </c>
      <c r="D50" s="1" t="str">
        <f>IFERROR(__xludf.DUMMYFUNCTION("""COMPUTED_VALUE"""),"End")</f>
        <v>End</v>
      </c>
      <c r="E50" s="1" t="str">
        <f>IFERROR(__xludf.DUMMYFUNCTION("""COMPUTED_VALUE"""),"State of Emergency ended on May 30, 2021")</f>
        <v>State of Emergency ended on May 30, 2021</v>
      </c>
      <c r="F50" s="1" t="str">
        <f>IFERROR(__xludf.DUMMYFUNCTION("""COMPUTED_VALUE"""),"National Academy for State Health Policy")</f>
        <v>National Academy for State Health Policy</v>
      </c>
      <c r="G50" s="3" t="str">
        <f>IFERROR(__xludf.DUMMYFUNCTION("""COMPUTED_VALUE"""),"https://www.nashp.org/2021-covid-19-state-restrictions-re-openings-and-mask-requirements/")</f>
        <v>https://www.nashp.org/2021-covid-19-state-restrictions-re-openings-and-mask-requirements/</v>
      </c>
      <c r="H50" s="1"/>
      <c r="I50" s="1"/>
    </row>
    <row r="51">
      <c r="A51" s="2">
        <f>IFERROR(__xludf.DUMMYFUNCTION("""COMPUTED_VALUE"""),44406.0)</f>
        <v>44406</v>
      </c>
      <c r="B51" s="1" t="str">
        <f>IFERROR(__xludf.DUMMYFUNCTION("""COMPUTED_VALUE"""),"Arkansas")</f>
        <v>Arkansas</v>
      </c>
      <c r="C51" s="1" t="str">
        <f>IFERROR(__xludf.DUMMYFUNCTION("""COMPUTED_VALUE"""),"State of Emergency")</f>
        <v>State of Emergency</v>
      </c>
      <c r="D51" s="1" t="str">
        <f>IFERROR(__xludf.DUMMYFUNCTION("""COMPUTED_VALUE"""),"Start")</f>
        <v>Start</v>
      </c>
      <c r="E51" s="1" t="str">
        <f>IFERROR(__xludf.DUMMYFUNCTION("""COMPUTED_VALUE"""),"State of Emergency started back up on July 29, 2021")</f>
        <v>State of Emergency started back up on July 29, 2021</v>
      </c>
      <c r="F51" s="1" t="str">
        <f>IFERROR(__xludf.DUMMYFUNCTION("""COMPUTED_VALUE"""),"National Academy for State Health Policy")</f>
        <v>National Academy for State Health Policy</v>
      </c>
      <c r="G51" s="3" t="str">
        <f>IFERROR(__xludf.DUMMYFUNCTION("""COMPUTED_VALUE"""),"https://www.nashp.org/2021-covid-19-state-restrictions-re-openings-and-mask-requirements/")</f>
        <v>https://www.nashp.org/2021-covid-19-state-restrictions-re-openings-and-mask-requirements/</v>
      </c>
      <c r="H51" s="1"/>
      <c r="I51" s="1"/>
    </row>
    <row r="52">
      <c r="A52" s="2">
        <f>IFERROR(__xludf.DUMMYFUNCTION("""COMPUTED_VALUE"""),44466.0)</f>
        <v>44466</v>
      </c>
      <c r="B52" s="1" t="str">
        <f>IFERROR(__xludf.DUMMYFUNCTION("""COMPUTED_VALUE"""),"Arkansas")</f>
        <v>Arkansas</v>
      </c>
      <c r="C52" s="1" t="str">
        <f>IFERROR(__xludf.DUMMYFUNCTION("""COMPUTED_VALUE"""),"State of Emergency")</f>
        <v>State of Emergency</v>
      </c>
      <c r="D52" s="1" t="str">
        <f>IFERROR(__xludf.DUMMYFUNCTION("""COMPUTED_VALUE"""),"End")</f>
        <v>End</v>
      </c>
      <c r="E52" s="1" t="str">
        <f>IFERROR(__xludf.DUMMYFUNCTION("""COMPUTED_VALUE"""),"State of Emergency ended on Sep. 27, 2021")</f>
        <v>State of Emergency ended on Sep. 27, 2021</v>
      </c>
      <c r="F52" s="1" t="str">
        <f>IFERROR(__xludf.DUMMYFUNCTION("""COMPUTED_VALUE"""),"National Academy for State Health Policy")</f>
        <v>National Academy for State Health Policy</v>
      </c>
      <c r="G52" s="3" t="str">
        <f>IFERROR(__xludf.DUMMYFUNCTION("""COMPUTED_VALUE"""),"https://www.nashp.org/2021-covid-19-state-restrictions-re-openings-and-mask-requirements/")</f>
        <v>https://www.nashp.org/2021-covid-19-state-restrictions-re-openings-and-mask-requirements/</v>
      </c>
      <c r="H52" s="1"/>
      <c r="I52" s="1"/>
    </row>
    <row r="53">
      <c r="A53" s="2">
        <f>IFERROR(__xludf.DUMMYFUNCTION("""COMPUTED_VALUE"""),43894.0)</f>
        <v>43894</v>
      </c>
      <c r="B53" s="1" t="str">
        <f>IFERROR(__xludf.DUMMYFUNCTION("""COMPUTED_VALUE"""),"California")</f>
        <v>California</v>
      </c>
      <c r="C53" s="1" t="str">
        <f>IFERROR(__xludf.DUMMYFUNCTION("""COMPUTED_VALUE"""),"State of Emergency")</f>
        <v>State of Emergency</v>
      </c>
      <c r="D53" s="1" t="str">
        <f>IFERROR(__xludf.DUMMYFUNCTION("""COMPUTED_VALUE"""),"Start")</f>
        <v>Start</v>
      </c>
      <c r="E53" s="1" t="str">
        <f>IFERROR(__xludf.DUMMYFUNCTION("""COMPUTED_VALUE"""),"California declared a state of emergency on March 4 after reporting the first death from coronavirus in the state.")</f>
        <v>California declared a state of emergency on March 4 after reporting the first death from coronavirus in the state.</v>
      </c>
      <c r="F53" s="1" t="str">
        <f>IFERROR(__xludf.DUMMYFUNCTION("""COMPUTED_VALUE"""),"Business Insider")</f>
        <v>Business Insider</v>
      </c>
      <c r="G53" s="3" t="str">
        <f>IFERROR(__xludf.DUMMYFUNCTION("""COMPUTED_VALUE"""),"https://www.businessinsider.com/california-washington-state-of-emergency-coronavirus-what-it-means-2020-3#california-2")</f>
        <v>https://www.businessinsider.com/california-washington-state-of-emergency-coronavirus-what-it-means-2020-3#california-2</v>
      </c>
      <c r="H53" s="1"/>
      <c r="I53" s="1"/>
    </row>
    <row r="54">
      <c r="A54" s="2">
        <f>IFERROR(__xludf.DUMMYFUNCTION("""COMPUTED_VALUE"""),43909.0)</f>
        <v>43909</v>
      </c>
      <c r="B54" s="1" t="str">
        <f>IFERROR(__xludf.DUMMYFUNCTION("""COMPUTED_VALUE"""),"California")</f>
        <v>California</v>
      </c>
      <c r="C54" s="1" t="str">
        <f>IFERROR(__xludf.DUMMYFUNCTION("""COMPUTED_VALUE"""),"Stay-at-Home Order")</f>
        <v>Stay-at-Home Order</v>
      </c>
      <c r="D54" s="1" t="str">
        <f>IFERROR(__xludf.DUMMYFUNCTION("""COMPUTED_VALUE"""),"Start")</f>
        <v>Start</v>
      </c>
      <c r="E54" s="1" t="str">
        <f>IFERROR(__xludf.DUMMYFUNCTION("""COMPUTED_VALUE"""),"Original stay-at-home begins")</f>
        <v>Original stay-at-home begins</v>
      </c>
      <c r="F54" s="1" t="str">
        <f>IFERROR(__xludf.DUMMYFUNCTION("""COMPUTED_VALUE"""),"National Academy for State Health Policy")</f>
        <v>National Academy for State Health Policy</v>
      </c>
      <c r="G54" s="3" t="str">
        <f>IFERROR(__xludf.DUMMYFUNCTION("""COMPUTED_VALUE"""),"https://www.nashp.org/2020-state-reopening-chart/")</f>
        <v>https://www.nashp.org/2020-state-reopening-chart/</v>
      </c>
      <c r="H54" s="1"/>
      <c r="I54" s="1"/>
    </row>
    <row r="55">
      <c r="A55" s="2">
        <f>IFERROR(__xludf.DUMMYFUNCTION("""COMPUTED_VALUE"""),43943.0)</f>
        <v>43943</v>
      </c>
      <c r="B55" s="1" t="str">
        <f>IFERROR(__xludf.DUMMYFUNCTION("""COMPUTED_VALUE"""),"California")</f>
        <v>California</v>
      </c>
      <c r="C55" s="1" t="str">
        <f>IFERROR(__xludf.DUMMYFUNCTION("""COMPUTED_VALUE"""),"State Proclamations ")</f>
        <v>State Proclamations </v>
      </c>
      <c r="D55" s="1" t="str">
        <f>IFERROR(__xludf.DUMMYFUNCTION("""COMPUTED_VALUE"""),"Opening")</f>
        <v>Opening</v>
      </c>
      <c r="E55" s="1" t="str">
        <f>IFERROR(__xludf.DUMMYFUNCTION("""COMPUTED_VALUE"""),"Most counties have reopened restaurants and personal care services. Counties can move into the second stage of reopening if they file an application with the state. Nonessential medical procedures resumed April 22, 2020.")</f>
        <v>Most counties have reopened restaurants and personal care services. Counties can move into the second stage of reopening if they file an application with the state. Nonessential medical procedures resumed April 22, 2020.</v>
      </c>
      <c r="F55" s="1" t="str">
        <f>IFERROR(__xludf.DUMMYFUNCTION("""COMPUTED_VALUE"""),"National Academy for State Health Policy")</f>
        <v>National Academy for State Health Policy</v>
      </c>
      <c r="G55" s="3" t="str">
        <f>IFERROR(__xludf.DUMMYFUNCTION("""COMPUTED_VALUE"""),"https://www.nashp.org/2020-state-reopening-chart/")</f>
        <v>https://www.nashp.org/2020-state-reopening-chart/</v>
      </c>
      <c r="H55" s="1"/>
      <c r="I55" s="1"/>
    </row>
    <row r="56">
      <c r="A56" s="2">
        <f>IFERROR(__xludf.DUMMYFUNCTION("""COMPUTED_VALUE"""),44000.0)</f>
        <v>44000</v>
      </c>
      <c r="B56" s="1" t="str">
        <f>IFERROR(__xludf.DUMMYFUNCTION("""COMPUTED_VALUE"""),"California")</f>
        <v>California</v>
      </c>
      <c r="C56" s="1" t="str">
        <f>IFERROR(__xludf.DUMMYFUNCTION("""COMPUTED_VALUE"""),"Mask Mandate")</f>
        <v>Mask Mandate</v>
      </c>
      <c r="D56" s="1" t="str">
        <f>IFERROR(__xludf.DUMMYFUNCTION("""COMPUTED_VALUE"""),"Start")</f>
        <v>Start</v>
      </c>
      <c r="E56" s="1" t="str">
        <f>IFERROR(__xludf.DUMMYFUNCTION("""COMPUTED_VALUE"""),"Gov. Gavin Newsom issued a statewide order requiring the use of face coverings in public indoor spaces, including while shopping, riding on public transportation or seeking medical care. Newsom's order also mandated the use of masks or face coverings in p"&amp;"ublic outdoor spaces when social distancing is not an option. There was no guidance on how the order will be enforced or if violators will face any penalties or citations.")</f>
        <v>Gov. Gavin Newsom issued a statewide order requiring the use of face coverings in public indoor spaces, including while shopping, riding on public transportation or seeking medical care. Newsom's order also mandated the use of masks or face coverings in public outdoor spaces when social distancing is not an option. There was no guidance on how the order will be enforced or if violators will face any penalties or citations.</v>
      </c>
      <c r="F56" s="1" t="str">
        <f>IFERROR(__xludf.DUMMYFUNCTION("""COMPUTED_VALUE"""),"CNN")</f>
        <v>CNN</v>
      </c>
      <c r="G56" s="3" t="str">
        <f>IFERROR(__xludf.DUMMYFUNCTION("""COMPUTED_VALUE"""),"https://www.cnn.com/2020/06/19/us/states-face-mask-coronavirus-trnd/index.html")</f>
        <v>https://www.cnn.com/2020/06/19/us/states-face-mask-coronavirus-trnd/index.html</v>
      </c>
      <c r="H56" s="1"/>
      <c r="I56" s="1"/>
    </row>
    <row r="57">
      <c r="A57" s="2">
        <f>IFERROR(__xludf.DUMMYFUNCTION("""COMPUTED_VALUE"""),44010.0)</f>
        <v>44010</v>
      </c>
      <c r="B57" s="1" t="str">
        <f>IFERROR(__xludf.DUMMYFUNCTION("""COMPUTED_VALUE"""),"California")</f>
        <v>California</v>
      </c>
      <c r="C57" s="1" t="str">
        <f>IFERROR(__xludf.DUMMYFUNCTION("""COMPUTED_VALUE"""),"State Proclamations ")</f>
        <v>State Proclamations </v>
      </c>
      <c r="D57" s="1" t="str">
        <f>IFERROR(__xludf.DUMMYFUNCTION("""COMPUTED_VALUE"""),"Closing")</f>
        <v>Closing</v>
      </c>
      <c r="E57" s="1" t="str">
        <f>IFERROR(__xludf.DUMMYFUNCTION("""COMPUTED_VALUE"""),"Due to a resurgence of infections, the governor ordered bars closed in seven counties, including Los Angeles.")</f>
        <v>Due to a resurgence of infections, the governor ordered bars closed in seven counties, including Los Angeles.</v>
      </c>
      <c r="F57" s="1" t="str">
        <f>IFERROR(__xludf.DUMMYFUNCTION("""COMPUTED_VALUE"""),"National Academy for State Health Policy")</f>
        <v>National Academy for State Health Policy</v>
      </c>
      <c r="G57" s="3" t="str">
        <f>IFERROR(__xludf.DUMMYFUNCTION("""COMPUTED_VALUE"""),"https://www.nashp.org/2020-state-reopening-chart/")</f>
        <v>https://www.nashp.org/2020-state-reopening-chart/</v>
      </c>
      <c r="H57" s="1"/>
      <c r="I57" s="1"/>
    </row>
    <row r="58">
      <c r="A58" s="2">
        <f>IFERROR(__xludf.DUMMYFUNCTION("""COMPUTED_VALUE"""),44013.0)</f>
        <v>44013</v>
      </c>
      <c r="B58" s="1" t="str">
        <f>IFERROR(__xludf.DUMMYFUNCTION("""COMPUTED_VALUE"""),"California")</f>
        <v>California</v>
      </c>
      <c r="C58" s="1" t="str">
        <f>IFERROR(__xludf.DUMMYFUNCTION("""COMPUTED_VALUE"""),"State Proclamations ")</f>
        <v>State Proclamations </v>
      </c>
      <c r="D58" s="1" t="str">
        <f>IFERROR(__xludf.DUMMYFUNCTION("""COMPUTED_VALUE"""),"Closing")</f>
        <v>Closing</v>
      </c>
      <c r="E58" s="1" t="str">
        <f>IFERROR(__xludf.DUMMYFUNCTION("""COMPUTED_VALUE"""),"The governor ordered indoor service for restaurants, bars, movie theaters, museums, and zoos to close immediately in 19 counties.")</f>
        <v>The governor ordered indoor service for restaurants, bars, movie theaters, museums, and zoos to close immediately in 19 counties.</v>
      </c>
      <c r="F58" s="1" t="str">
        <f>IFERROR(__xludf.DUMMYFUNCTION("""COMPUTED_VALUE"""),"National Academy for State Health Policy")</f>
        <v>National Academy for State Health Policy</v>
      </c>
      <c r="G58" s="3" t="str">
        <f>IFERROR(__xludf.DUMMYFUNCTION("""COMPUTED_VALUE"""),"https://www.nashp.org/2020-state-reopening-chart/")</f>
        <v>https://www.nashp.org/2020-state-reopening-chart/</v>
      </c>
      <c r="H58" s="1"/>
      <c r="I58" s="1"/>
    </row>
    <row r="59">
      <c r="A59" s="2">
        <f>IFERROR(__xludf.DUMMYFUNCTION("""COMPUTED_VALUE"""),44025.0)</f>
        <v>44025</v>
      </c>
      <c r="B59" s="1" t="str">
        <f>IFERROR(__xludf.DUMMYFUNCTION("""COMPUTED_VALUE"""),"California")</f>
        <v>California</v>
      </c>
      <c r="C59" s="1" t="str">
        <f>IFERROR(__xludf.DUMMYFUNCTION("""COMPUTED_VALUE"""),"State Proclamations ")</f>
        <v>State Proclamations </v>
      </c>
      <c r="D59" s="1" t="str">
        <f>IFERROR(__xludf.DUMMYFUNCTION("""COMPUTED_VALUE"""),"Closing")</f>
        <v>Closing</v>
      </c>
      <c r="E59" s="1" t="str">
        <f>IFERROR(__xludf.DUMMYFUNCTION("""COMPUTED_VALUE"""),"The governor ordered the statewide closure of all bars and halted the indoor operations of restaurants, wineries, and theaters. The state also closed indoor operations at gyms, places of worship, malls, hair salons, and barbershops in 30 counties on its "&amp;"""watchlist"" of counties with increasing infection trends.")</f>
        <v>The governor ordered the statewide closure of all bars and halted the indoor operations of restaurants, wineries, and theaters. The state also closed indoor operations at gyms, places of worship, malls, hair salons, and barbershops in 30 counties on its "watchlist" of counties with increasing infection trends.</v>
      </c>
      <c r="F59" s="1" t="str">
        <f>IFERROR(__xludf.DUMMYFUNCTION("""COMPUTED_VALUE"""),"National Academy for State Health Policy")</f>
        <v>National Academy for State Health Policy</v>
      </c>
      <c r="G59" s="3" t="str">
        <f>IFERROR(__xludf.DUMMYFUNCTION("""COMPUTED_VALUE"""),"https://www.nashp.org/2020-state-reopening-chart/")</f>
        <v>https://www.nashp.org/2020-state-reopening-chart/</v>
      </c>
      <c r="H59" s="1"/>
      <c r="I59" s="1"/>
    </row>
    <row r="60">
      <c r="A60" s="2">
        <f>IFERROR(__xludf.DUMMYFUNCTION("""COMPUTED_VALUE"""),44029.0)</f>
        <v>44029</v>
      </c>
      <c r="B60" s="1" t="str">
        <f>IFERROR(__xludf.DUMMYFUNCTION("""COMPUTED_VALUE"""),"California")</f>
        <v>California</v>
      </c>
      <c r="C60" s="1" t="str">
        <f>IFERROR(__xludf.DUMMYFUNCTION("""COMPUTED_VALUE"""),"State Proclamations ")</f>
        <v>State Proclamations </v>
      </c>
      <c r="D60" s="1" t="str">
        <f>IFERROR(__xludf.DUMMYFUNCTION("""COMPUTED_VALUE"""),"Closing")</f>
        <v>Closing</v>
      </c>
      <c r="E60" s="1" t="str">
        <f>IFERROR(__xludf.DUMMYFUNCTION("""COMPUTED_VALUE"""),"The governor announced new guidelines that will bar most schools from reopening in the fall unless their counties meet strict standards for preventing the spread of the coronavirus.")</f>
        <v>The governor announced new guidelines that will bar most schools from reopening in the fall unless their counties meet strict standards for preventing the spread of the coronavirus.</v>
      </c>
      <c r="F60" s="1" t="str">
        <f>IFERROR(__xludf.DUMMYFUNCTION("""COMPUTED_VALUE"""),"National Academy for State Health Policy")</f>
        <v>National Academy for State Health Policy</v>
      </c>
      <c r="G60" s="3" t="str">
        <f>IFERROR(__xludf.DUMMYFUNCTION("""COMPUTED_VALUE"""),"https://www.nashp.org/2020-state-reopening-chart/")</f>
        <v>https://www.nashp.org/2020-state-reopening-chart/</v>
      </c>
      <c r="H60" s="1"/>
      <c r="I60" s="1"/>
    </row>
    <row r="61">
      <c r="A61" s="2">
        <f>IFERROR(__xludf.DUMMYFUNCTION("""COMPUTED_VALUE"""),44074.0)</f>
        <v>44074</v>
      </c>
      <c r="B61" s="1" t="str">
        <f>IFERROR(__xludf.DUMMYFUNCTION("""COMPUTED_VALUE"""),"California")</f>
        <v>California</v>
      </c>
      <c r="C61" s="1" t="str">
        <f>IFERROR(__xludf.DUMMYFUNCTION("""COMPUTED_VALUE"""),"State Proclamations ")</f>
        <v>State Proclamations </v>
      </c>
      <c r="D61" s="1" t="str">
        <f>IFERROR(__xludf.DUMMYFUNCTION("""COMPUTED_VALUE"""),"Opening")</f>
        <v>Opening</v>
      </c>
      <c r="E61" s="1" t="str">
        <f>IFERROR(__xludf.DUMMYFUNCTION("""COMPUTED_VALUE"""),"The governor introduced a reopening plan that classifies counties in four tiers that determine when and how businesses reopen. As of Sept. 10, 2020, 33 counties were deemed too risky to reopen, although rural counties have been allowed to loosen restricti"&amp;"ons.")</f>
        <v>The governor introduced a reopening plan that classifies counties in four tiers that determine when and how businesses reopen. As of Sept. 10, 2020, 33 counties were deemed too risky to reopen, although rural counties have been allowed to loosen restrictions.</v>
      </c>
      <c r="F61" s="1" t="str">
        <f>IFERROR(__xludf.DUMMYFUNCTION("""COMPUTED_VALUE"""),"National Academy for State Health Policy")</f>
        <v>National Academy for State Health Policy</v>
      </c>
      <c r="G61" s="3" t="str">
        <f>IFERROR(__xludf.DUMMYFUNCTION("""COMPUTED_VALUE"""),"https://www.nashp.org/2020-state-reopening-chart/")</f>
        <v>https://www.nashp.org/2020-state-reopening-chart/</v>
      </c>
      <c r="H61" s="1"/>
      <c r="I61" s="1"/>
    </row>
    <row r="62">
      <c r="A62" s="2">
        <f>IFERROR(__xludf.DUMMYFUNCTION("""COMPUTED_VALUE"""),44083.0)</f>
        <v>44083</v>
      </c>
      <c r="B62" s="1" t="str">
        <f>IFERROR(__xludf.DUMMYFUNCTION("""COMPUTED_VALUE"""),"California")</f>
        <v>California</v>
      </c>
      <c r="C62" s="1" t="str">
        <f>IFERROR(__xludf.DUMMYFUNCTION("""COMPUTED_VALUE"""),"State Proclamations ")</f>
        <v>State Proclamations </v>
      </c>
      <c r="D62" s="1" t="str">
        <f>IFERROR(__xludf.DUMMYFUNCTION("""COMPUTED_VALUE"""),"Closing")</f>
        <v>Closing</v>
      </c>
      <c r="E62" s="1" t="str">
        <f>IFERROR(__xludf.DUMMYFUNCTION("""COMPUTED_VALUE"""),"Los Angeles County banned Halloween parties.")</f>
        <v>Los Angeles County banned Halloween parties.</v>
      </c>
      <c r="F62" s="1" t="str">
        <f>IFERROR(__xludf.DUMMYFUNCTION("""COMPUTED_VALUE"""),"National Academy for State Health Policy")</f>
        <v>National Academy for State Health Policy</v>
      </c>
      <c r="G62" s="3" t="str">
        <f>IFERROR(__xludf.DUMMYFUNCTION("""COMPUTED_VALUE"""),"https://www.nashp.org/2020-state-reopening-chart/")</f>
        <v>https://www.nashp.org/2020-state-reopening-chart/</v>
      </c>
      <c r="H62" s="1"/>
      <c r="I62" s="1"/>
    </row>
    <row r="63">
      <c r="A63" s="2">
        <f>IFERROR(__xludf.DUMMYFUNCTION("""COMPUTED_VALUE"""),44103.0)</f>
        <v>44103</v>
      </c>
      <c r="B63" s="1" t="str">
        <f>IFERROR(__xludf.DUMMYFUNCTION("""COMPUTED_VALUE"""),"California")</f>
        <v>California</v>
      </c>
      <c r="C63" s="1" t="str">
        <f>IFERROR(__xludf.DUMMYFUNCTION("""COMPUTED_VALUE"""),"State Proclamations ")</f>
        <v>State Proclamations </v>
      </c>
      <c r="D63" s="1" t="str">
        <f>IFERROR(__xludf.DUMMYFUNCTION("""COMPUTED_VALUE"""),"Closing")</f>
        <v>Closing</v>
      </c>
      <c r="E63" s="1" t="str">
        <f>IFERROR(__xludf.DUMMYFUNCTION("""COMPUTED_VALUE"""),"Outdoor playgrounds reopened, regardless of tier status.")</f>
        <v>Outdoor playgrounds reopened, regardless of tier status.</v>
      </c>
      <c r="F63" s="1" t="str">
        <f>IFERROR(__xludf.DUMMYFUNCTION("""COMPUTED_VALUE"""),"National Academy for State Health Policy")</f>
        <v>National Academy for State Health Policy</v>
      </c>
      <c r="G63" s="3" t="str">
        <f>IFERROR(__xludf.DUMMYFUNCTION("""COMPUTED_VALUE"""),"https://www.nashp.org/2020-state-reopening-chart/")</f>
        <v>https://www.nashp.org/2020-state-reopening-chart/</v>
      </c>
      <c r="H63" s="1"/>
      <c r="I63" s="1"/>
    </row>
    <row r="64">
      <c r="A64" s="2">
        <f>IFERROR(__xludf.DUMMYFUNCTION("""COMPUTED_VALUE"""),44106.0)</f>
        <v>44106</v>
      </c>
      <c r="B64" s="1" t="str">
        <f>IFERROR(__xludf.DUMMYFUNCTION("""COMPUTED_VALUE"""),"California")</f>
        <v>California</v>
      </c>
      <c r="C64" s="1" t="str">
        <f>IFERROR(__xludf.DUMMYFUNCTION("""COMPUTED_VALUE"""),"State Proclamations ")</f>
        <v>State Proclamations </v>
      </c>
      <c r="D64" s="1" t="str">
        <f>IFERROR(__xludf.DUMMYFUNCTION("""COMPUTED_VALUE"""),"Opening")</f>
        <v>Opening</v>
      </c>
      <c r="E64" s="1" t="str">
        <f>IFERROR(__xludf.DUMMYFUNCTION("""COMPUTED_VALUE"""),"The health secretary announced an equity metric rule requiring counties to reduce infection rates in disadvantaged communities before moving to the next phase of reopening.")</f>
        <v>The health secretary announced an equity metric rule requiring counties to reduce infection rates in disadvantaged communities before moving to the next phase of reopening.</v>
      </c>
      <c r="F64" s="1" t="str">
        <f>IFERROR(__xludf.DUMMYFUNCTION("""COMPUTED_VALUE"""),"National Academy for State Health Policy")</f>
        <v>National Academy for State Health Policy</v>
      </c>
      <c r="G64" s="3" t="str">
        <f>IFERROR(__xludf.DUMMYFUNCTION("""COMPUTED_VALUE"""),"https://www.nashp.org/2020-state-reopening-chart/")</f>
        <v>https://www.nashp.org/2020-state-reopening-chart/</v>
      </c>
      <c r="H64" s="1"/>
      <c r="I64" s="1"/>
    </row>
    <row r="65">
      <c r="A65" s="2">
        <f>IFERROR(__xludf.DUMMYFUNCTION("""COMPUTED_VALUE"""),44117.0)</f>
        <v>44117</v>
      </c>
      <c r="B65" s="1" t="str">
        <f>IFERROR(__xludf.DUMMYFUNCTION("""COMPUTED_VALUE"""),"California")</f>
        <v>California</v>
      </c>
      <c r="C65" s="1" t="str">
        <f>IFERROR(__xludf.DUMMYFUNCTION("""COMPUTED_VALUE"""),"State Proclamations ")</f>
        <v>State Proclamations </v>
      </c>
      <c r="D65" s="1" t="str">
        <f>IFERROR(__xludf.DUMMYFUNCTION("""COMPUTED_VALUE"""),"Opening")</f>
        <v>Opening</v>
      </c>
      <c r="E65" s="1" t="str">
        <f>IFERROR(__xludf.DUMMYFUNCTION("""COMPUTED_VALUE"""),"Individuals from up to three households are permitted to gather privately.")</f>
        <v>Individuals from up to three households are permitted to gather privately.</v>
      </c>
      <c r="F65" s="1" t="str">
        <f>IFERROR(__xludf.DUMMYFUNCTION("""COMPUTED_VALUE"""),"National Academy for State Health Policy")</f>
        <v>National Academy for State Health Policy</v>
      </c>
      <c r="G65" s="3" t="str">
        <f>IFERROR(__xludf.DUMMYFUNCTION("""COMPUTED_VALUE"""),"https://www.nashp.org/2020-state-reopening-chart/")</f>
        <v>https://www.nashp.org/2020-state-reopening-chart/</v>
      </c>
      <c r="H65" s="1"/>
      <c r="I65" s="1"/>
    </row>
    <row r="66">
      <c r="A66" s="2">
        <f>IFERROR(__xludf.DUMMYFUNCTION("""COMPUTED_VALUE"""),44125.0)</f>
        <v>44125</v>
      </c>
      <c r="B66" s="1" t="str">
        <f>IFERROR(__xludf.DUMMYFUNCTION("""COMPUTED_VALUE"""),"California")</f>
        <v>California</v>
      </c>
      <c r="C66" s="1" t="str">
        <f>IFERROR(__xludf.DUMMYFUNCTION("""COMPUTED_VALUE"""),"State Proclamations ")</f>
        <v>State Proclamations </v>
      </c>
      <c r="D66" s="1" t="str">
        <f>IFERROR(__xludf.DUMMYFUNCTION("""COMPUTED_VALUE"""),"Opening")</f>
        <v>Opening</v>
      </c>
      <c r="E66" s="1" t="str">
        <f>IFERROR(__xludf.DUMMYFUNCTION("""COMPUTED_VALUE"""),"The state released guidance for reopening theme parks. Under the rules, large parks like Disneyland will not be able to reopen until the counties where they are located enter the yellow risk tier.")</f>
        <v>The state released guidance for reopening theme parks. Under the rules, large parks like Disneyland will not be able to reopen until the counties where they are located enter the yellow risk tier.</v>
      </c>
      <c r="F66" s="1" t="str">
        <f>IFERROR(__xludf.DUMMYFUNCTION("""COMPUTED_VALUE"""),"National Academy for State Health Policy")</f>
        <v>National Academy for State Health Policy</v>
      </c>
      <c r="G66" s="3" t="str">
        <f>IFERROR(__xludf.DUMMYFUNCTION("""COMPUTED_VALUE"""),"https://www.nashp.org/2020-state-reopening-chart/")</f>
        <v>https://www.nashp.org/2020-state-reopening-chart/</v>
      </c>
      <c r="H66" s="1"/>
      <c r="I66" s="1"/>
    </row>
    <row r="67">
      <c r="A67" s="2">
        <f>IFERROR(__xludf.DUMMYFUNCTION("""COMPUTED_VALUE"""),44126.0)</f>
        <v>44126</v>
      </c>
      <c r="B67" s="1" t="str">
        <f>IFERROR(__xludf.DUMMYFUNCTION("""COMPUTED_VALUE"""),"California")</f>
        <v>California</v>
      </c>
      <c r="C67" s="1" t="str">
        <f>IFERROR(__xludf.DUMMYFUNCTION("""COMPUTED_VALUE"""),"State Proclamations ")</f>
        <v>State Proclamations </v>
      </c>
      <c r="D67" s="1" t="str">
        <f>IFERROR(__xludf.DUMMYFUNCTION("""COMPUTED_VALUE"""),"Opening")</f>
        <v>Opening</v>
      </c>
      <c r="E67" s="1" t="str">
        <f>IFERROR(__xludf.DUMMYFUNCTION("""COMPUTED_VALUE"""),"The Department of Public Health issued updated guidance for personal care service businesses that permits them to resume limited, in-person operations.")</f>
        <v>The Department of Public Health issued updated guidance for personal care service businesses that permits them to resume limited, in-person operations.</v>
      </c>
      <c r="F67" s="1" t="str">
        <f>IFERROR(__xludf.DUMMYFUNCTION("""COMPUTED_VALUE"""),"National Academy for State Health Policy")</f>
        <v>National Academy for State Health Policy</v>
      </c>
      <c r="G67" s="3" t="str">
        <f>IFERROR(__xludf.DUMMYFUNCTION("""COMPUTED_VALUE"""),"https://www.nashp.org/2020-state-reopening-chart/")</f>
        <v>https://www.nashp.org/2020-state-reopening-chart/</v>
      </c>
      <c r="H67" s="1"/>
      <c r="I67" s="1"/>
    </row>
    <row r="68">
      <c r="A68" s="2">
        <f>IFERROR(__xludf.DUMMYFUNCTION("""COMPUTED_VALUE"""),44152.0)</f>
        <v>44152</v>
      </c>
      <c r="B68" s="1" t="str">
        <f>IFERROR(__xludf.DUMMYFUNCTION("""COMPUTED_VALUE"""),"California")</f>
        <v>California</v>
      </c>
      <c r="C68" s="1" t="str">
        <f>IFERROR(__xludf.DUMMYFUNCTION("""COMPUTED_VALUE"""),"State Proclamations ")</f>
        <v>State Proclamations </v>
      </c>
      <c r="D68" s="1" t="str">
        <f>IFERROR(__xludf.DUMMYFUNCTION("""COMPUTED_VALUE"""),"Closing")</f>
        <v>Closing</v>
      </c>
      <c r="E68" s="1" t="str">
        <f>IFERROR(__xludf.DUMMYFUNCTION("""COMPUTED_VALUE"""),"The governor moved 28 counties back to the most restrictive phase of reopening, prohibiting in-person services at non-essential businesses.")</f>
        <v>The governor moved 28 counties back to the most restrictive phase of reopening, prohibiting in-person services at non-essential businesses.</v>
      </c>
      <c r="F68" s="1" t="str">
        <f>IFERROR(__xludf.DUMMYFUNCTION("""COMPUTED_VALUE"""),"National Academy for State Health Policy")</f>
        <v>National Academy for State Health Policy</v>
      </c>
      <c r="G68" s="3" t="str">
        <f>IFERROR(__xludf.DUMMYFUNCTION("""COMPUTED_VALUE"""),"https://www.nashp.org/2020-state-reopening-chart/")</f>
        <v>https://www.nashp.org/2020-state-reopening-chart/</v>
      </c>
      <c r="H68" s="1"/>
      <c r="I68" s="1"/>
    </row>
    <row r="69">
      <c r="A69" s="2">
        <f>IFERROR(__xludf.DUMMYFUNCTION("""COMPUTED_VALUE"""),44165.0)</f>
        <v>44165</v>
      </c>
      <c r="B69" s="1" t="str">
        <f>IFERROR(__xludf.DUMMYFUNCTION("""COMPUTED_VALUE"""),"California")</f>
        <v>California</v>
      </c>
      <c r="C69" s="1" t="str">
        <f>IFERROR(__xludf.DUMMYFUNCTION("""COMPUTED_VALUE"""),"State Proclamations ")</f>
        <v>State Proclamations </v>
      </c>
      <c r="D69" s="1" t="str">
        <f>IFERROR(__xludf.DUMMYFUNCTION("""COMPUTED_VALUE"""),"Closing")</f>
        <v>Closing</v>
      </c>
      <c r="E69" s="1" t="str">
        <f>IFERROR(__xludf.DUMMYFUNCTION("""COMPUTED_VALUE"""),"Los Angeles County began a three-week stay-at-home order that lasts until Dec. 20, 2020.")</f>
        <v>Los Angeles County began a three-week stay-at-home order that lasts until Dec. 20, 2020.</v>
      </c>
      <c r="F69" s="1" t="str">
        <f>IFERROR(__xludf.DUMMYFUNCTION("""COMPUTED_VALUE"""),"National Academy for State Health Policy")</f>
        <v>National Academy for State Health Policy</v>
      </c>
      <c r="G69" s="3" t="str">
        <f>IFERROR(__xludf.DUMMYFUNCTION("""COMPUTED_VALUE"""),"https://www.nashp.org/2020-state-reopening-chart/")</f>
        <v>https://www.nashp.org/2020-state-reopening-chart/</v>
      </c>
      <c r="H69" s="1"/>
      <c r="I69" s="1"/>
    </row>
    <row r="70">
      <c r="A70" s="2">
        <f>IFERROR(__xludf.DUMMYFUNCTION("""COMPUTED_VALUE"""),44170.0)</f>
        <v>44170</v>
      </c>
      <c r="B70" s="1" t="str">
        <f>IFERROR(__xludf.DUMMYFUNCTION("""COMPUTED_VALUE"""),"California")</f>
        <v>California</v>
      </c>
      <c r="C70" s="1" t="str">
        <f>IFERROR(__xludf.DUMMYFUNCTION("""COMPUTED_VALUE"""),"State Proclamations ")</f>
        <v>State Proclamations </v>
      </c>
      <c r="D70" s="1" t="str">
        <f>IFERROR(__xludf.DUMMYFUNCTION("""COMPUTED_VALUE"""),"Closing")</f>
        <v>Closing</v>
      </c>
      <c r="E70" s="1" t="str">
        <f>IFERROR(__xludf.DUMMYFUNCTION("""COMPUTED_VALUE"""),"The governor issued a regional stay-at-home order in southern California and other regions whose hospitals’ intensive care units fall below 15% capacity.")</f>
        <v>The governor issued a regional stay-at-home order in southern California and other regions whose hospitals’ intensive care units fall below 15% capacity.</v>
      </c>
      <c r="F70" s="1" t="str">
        <f>IFERROR(__xludf.DUMMYFUNCTION("""COMPUTED_VALUE"""),"National Academy for State Health Policy")</f>
        <v>National Academy for State Health Policy</v>
      </c>
      <c r="G70" s="3" t="str">
        <f>IFERROR(__xludf.DUMMYFUNCTION("""COMPUTED_VALUE"""),"https://www.nashp.org/2020-state-reopening-chart/")</f>
        <v>https://www.nashp.org/2020-state-reopening-chart/</v>
      </c>
      <c r="H70" s="1"/>
      <c r="I70" s="1"/>
    </row>
    <row r="71">
      <c r="A71" s="2">
        <f>IFERROR(__xludf.DUMMYFUNCTION("""COMPUTED_VALUE"""),44182.0)</f>
        <v>44182</v>
      </c>
      <c r="B71" s="1" t="str">
        <f>IFERROR(__xludf.DUMMYFUNCTION("""COMPUTED_VALUE"""),"California")</f>
        <v>California</v>
      </c>
      <c r="C71" s="1" t="str">
        <f>IFERROR(__xludf.DUMMYFUNCTION("""COMPUTED_VALUE"""),"State Proclamations ")</f>
        <v>State Proclamations </v>
      </c>
      <c r="D71" s="1" t="str">
        <f>IFERROR(__xludf.DUMMYFUNCTION("""COMPUTED_VALUE"""),"Closing")</f>
        <v>Closing</v>
      </c>
      <c r="E71" s="1" t="str">
        <f>IFERROR(__xludf.DUMMYFUNCTION("""COMPUTED_VALUE"""),"The governor extended the regional stat-at-home order to the Bay Area until at least Jan. 7, making it the 4th out of the state's 5 regions to enter the order.")</f>
        <v>The governor extended the regional stat-at-home order to the Bay Area until at least Jan. 7, making it the 4th out of the state's 5 regions to enter the order.</v>
      </c>
      <c r="F71" s="1" t="str">
        <f>IFERROR(__xludf.DUMMYFUNCTION("""COMPUTED_VALUE"""),"National Academy for State Health Policy")</f>
        <v>National Academy for State Health Policy</v>
      </c>
      <c r="G71" s="3" t="str">
        <f>IFERROR(__xludf.DUMMYFUNCTION("""COMPUTED_VALUE"""),"https://www.nashp.org/2020-state-reopening-chart/")</f>
        <v>https://www.nashp.org/2020-state-reopening-chart/</v>
      </c>
      <c r="H71" s="1"/>
      <c r="I71" s="1"/>
    </row>
    <row r="72">
      <c r="A72" s="2">
        <f>IFERROR(__xludf.DUMMYFUNCTION("""COMPUTED_VALUE"""),44198.0)</f>
        <v>44198</v>
      </c>
      <c r="B72" s="1" t="str">
        <f>IFERROR(__xludf.DUMMYFUNCTION("""COMPUTED_VALUE"""),"California")</f>
        <v>California</v>
      </c>
      <c r="C72" s="1" t="str">
        <f>IFERROR(__xludf.DUMMYFUNCTION("""COMPUTED_VALUE"""),"State Proclamations ")</f>
        <v>State Proclamations </v>
      </c>
      <c r="D72" s="1" t="str">
        <f>IFERROR(__xludf.DUMMYFUNCTION("""COMPUTED_VALUE"""),"Closing")</f>
        <v>Closing</v>
      </c>
      <c r="E72" s="1" t="str">
        <f>IFERROR(__xludf.DUMMYFUNCTION("""COMPUTED_VALUE"""),"Health Secretary Mark Ghaly extended the stay-at-home order for the Greater Sacramento region. Restrictions will remain until the region’s four-week projected available ICU capacity is equal to or greater than 15%.")</f>
        <v>Health Secretary Mark Ghaly extended the stay-at-home order for the Greater Sacramento region. Restrictions will remain until the region’s four-week projected available ICU capacity is equal to or greater than 15%.</v>
      </c>
      <c r="F72" s="1" t="str">
        <f>IFERROR(__xludf.DUMMYFUNCTION("""COMPUTED_VALUE"""),"National Academy for State Health Policy")</f>
        <v>National Academy for State Health Policy</v>
      </c>
      <c r="G72" s="3" t="str">
        <f>IFERROR(__xludf.DUMMYFUNCTION("""COMPUTED_VALUE"""),"https://www.nashp.org/2021-covid-19-state-restrictions-re-openings-and-mask-requirements/")</f>
        <v>https://www.nashp.org/2021-covid-19-state-restrictions-re-openings-and-mask-requirements/</v>
      </c>
      <c r="H72" s="1"/>
      <c r="I72" s="1"/>
    </row>
    <row r="73">
      <c r="A73" s="2">
        <f>IFERROR(__xludf.DUMMYFUNCTION("""COMPUTED_VALUE"""),44203.0)</f>
        <v>44203</v>
      </c>
      <c r="B73" s="1" t="str">
        <f>IFERROR(__xludf.DUMMYFUNCTION("""COMPUTED_VALUE"""),"California")</f>
        <v>California</v>
      </c>
      <c r="C73" s="1" t="str">
        <f>IFERROR(__xludf.DUMMYFUNCTION("""COMPUTED_VALUE"""),"State Proclamations ")</f>
        <v>State Proclamations </v>
      </c>
      <c r="D73" s="1" t="str">
        <f>IFERROR(__xludf.DUMMYFUNCTION("""COMPUTED_VALUE"""),"Opeing")</f>
        <v>Opeing</v>
      </c>
      <c r="E73" s="1" t="str">
        <f>IFERROR(__xludf.DUMMYFUNCTION("""COMPUTED_VALUE"""),"Stay-at-home orders for the Bay Area region will expire.")</f>
        <v>Stay-at-home orders for the Bay Area region will expire.</v>
      </c>
      <c r="F73" s="1" t="str">
        <f>IFERROR(__xludf.DUMMYFUNCTION("""COMPUTED_VALUE"""),"National Academy for State Health Policy")</f>
        <v>National Academy for State Health Policy</v>
      </c>
      <c r="G73" s="3" t="str">
        <f>IFERROR(__xludf.DUMMYFUNCTION("""COMPUTED_VALUE"""),"https://www.nashp.org/2021-covid-19-state-restrictions-re-openings-and-mask-requirements/")</f>
        <v>https://www.nashp.org/2021-covid-19-state-restrictions-re-openings-and-mask-requirements/</v>
      </c>
      <c r="H73" s="1"/>
      <c r="I73" s="1"/>
    </row>
    <row r="74">
      <c r="A74" s="2">
        <f>IFERROR(__xludf.DUMMYFUNCTION("""COMPUTED_VALUE"""),44208.0)</f>
        <v>44208</v>
      </c>
      <c r="B74" s="1" t="str">
        <f>IFERROR(__xludf.DUMMYFUNCTION("""COMPUTED_VALUE"""),"California")</f>
        <v>California</v>
      </c>
      <c r="C74" s="1" t="str">
        <f>IFERROR(__xludf.DUMMYFUNCTION("""COMPUTED_VALUE"""),"State Proclamations ")</f>
        <v>State Proclamations </v>
      </c>
      <c r="D74" s="1" t="str">
        <f>IFERROR(__xludf.DUMMYFUNCTION("""COMPUTED_VALUE"""),"Opeining")</f>
        <v>Opeining</v>
      </c>
      <c r="E74" s="1" t="str">
        <f>IFERROR(__xludf.DUMMYFUNCTION("""COMPUTED_VALUE"""),"The state lifted the Greater Sacramento region’s stay-at-home order. Three of the state’s five regions still have active stay-at-home orders. Counties in the Greater Sacramento region are now subject to the state’s color-coded risk level restrictions.")</f>
        <v>The state lifted the Greater Sacramento region’s stay-at-home order. Three of the state’s five regions still have active stay-at-home orders. Counties in the Greater Sacramento region are now subject to the state’s color-coded risk level restrictions.</v>
      </c>
      <c r="F74" s="1" t="str">
        <f>IFERROR(__xludf.DUMMYFUNCTION("""COMPUTED_VALUE"""),"National Academy for State Health Policy")</f>
        <v>National Academy for State Health Policy</v>
      </c>
      <c r="G74" s="3" t="str">
        <f>IFERROR(__xludf.DUMMYFUNCTION("""COMPUTED_VALUE"""),"https://www.nashp.org/2021-covid-19-state-restrictions-re-openings-and-mask-requirements/")</f>
        <v>https://www.nashp.org/2021-covid-19-state-restrictions-re-openings-and-mask-requirements/</v>
      </c>
      <c r="H74" s="1"/>
      <c r="I74" s="1"/>
    </row>
    <row r="75">
      <c r="A75" s="2">
        <f>IFERROR(__xludf.DUMMYFUNCTION("""COMPUTED_VALUE"""),44211.0)</f>
        <v>44211</v>
      </c>
      <c r="B75" s="1" t="str">
        <f>IFERROR(__xludf.DUMMYFUNCTION("""COMPUTED_VALUE"""),"California")</f>
        <v>California</v>
      </c>
      <c r="C75" s="1" t="str">
        <f>IFERROR(__xludf.DUMMYFUNCTION("""COMPUTED_VALUE"""),"State Proclamations ")</f>
        <v>State Proclamations </v>
      </c>
      <c r="D75" s="1" t="str">
        <f>IFERROR(__xludf.DUMMYFUNCTION("""COMPUTED_VALUE"""),"Opening")</f>
        <v>Opening</v>
      </c>
      <c r="E75" s="1" t="str">
        <f>IFERROR(__xludf.DUMMYFUNCTION("""COMPUTED_VALUE"""),"K-6 schools in counties with a seven-day average of 25 or fewer cases per 100,000 residents are eligible to begin reopening, down from the 28 cases per 100,000.")</f>
        <v>K-6 schools in counties with a seven-day average of 25 or fewer cases per 100,000 residents are eligible to begin reopening, down from the 28 cases per 100,000.</v>
      </c>
      <c r="F75" s="1" t="str">
        <f>IFERROR(__xludf.DUMMYFUNCTION("""COMPUTED_VALUE"""),"National Academy for State Health Policy")</f>
        <v>National Academy for State Health Policy</v>
      </c>
      <c r="G75" s="3" t="str">
        <f>IFERROR(__xludf.DUMMYFUNCTION("""COMPUTED_VALUE"""),"https://www.nashp.org/2021-covid-19-state-restrictions-re-openings-and-mask-requirements/")</f>
        <v>https://www.nashp.org/2021-covid-19-state-restrictions-re-openings-and-mask-requirements/</v>
      </c>
      <c r="H75" s="1"/>
      <c r="I75" s="1"/>
    </row>
    <row r="76">
      <c r="A76" s="2">
        <f>IFERROR(__xludf.DUMMYFUNCTION("""COMPUTED_VALUE"""),44212.0)</f>
        <v>44212</v>
      </c>
      <c r="B76" s="1" t="str">
        <f>IFERROR(__xludf.DUMMYFUNCTION("""COMPUTED_VALUE"""),"California")</f>
        <v>California</v>
      </c>
      <c r="C76" s="1" t="str">
        <f>IFERROR(__xludf.DUMMYFUNCTION("""COMPUTED_VALUE"""),"State Proclamations ")</f>
        <v>State Proclamations </v>
      </c>
      <c r="D76" s="1" t="str">
        <f>IFERROR(__xludf.DUMMYFUNCTION("""COMPUTED_VALUE"""),"Opening")</f>
        <v>Opening</v>
      </c>
      <c r="E76" s="1" t="str">
        <f>IFERROR(__xludf.DUMMYFUNCTION("""COMPUTED_VALUE"""),"Stay-at-home orders for the Southern California and San Joaquin Valley regions will expire.")</f>
        <v>Stay-at-home orders for the Southern California and San Joaquin Valley regions will expire.</v>
      </c>
      <c r="F76" s="1" t="str">
        <f>IFERROR(__xludf.DUMMYFUNCTION("""COMPUTED_VALUE"""),"National Academy for State Health Policy")</f>
        <v>National Academy for State Health Policy</v>
      </c>
      <c r="G76" s="3" t="str">
        <f>IFERROR(__xludf.DUMMYFUNCTION("""COMPUTED_VALUE"""),"https://www.nashp.org/2021-covid-19-state-restrictions-re-openings-and-mask-requirements/")</f>
        <v>https://www.nashp.org/2021-covid-19-state-restrictions-re-openings-and-mask-requirements/</v>
      </c>
      <c r="H76" s="1"/>
      <c r="I76" s="1"/>
    </row>
    <row r="77">
      <c r="A77" s="2">
        <f>IFERROR(__xludf.DUMMYFUNCTION("""COMPUTED_VALUE"""),44221.0)</f>
        <v>44221</v>
      </c>
      <c r="B77" s="1" t="str">
        <f>IFERROR(__xludf.DUMMYFUNCTION("""COMPUTED_VALUE"""),"California")</f>
        <v>California</v>
      </c>
      <c r="C77" s="1" t="str">
        <f>IFERROR(__xludf.DUMMYFUNCTION("""COMPUTED_VALUE"""),"State Proclamations ")</f>
        <v>State Proclamations </v>
      </c>
      <c r="D77" s="1" t="str">
        <f>IFERROR(__xludf.DUMMYFUNCTION("""COMPUTED_VALUE"""),"Opening")</f>
        <v>Opening</v>
      </c>
      <c r="E77" s="1" t="str">
        <f>IFERROR(__xludf.DUMMYFUNCTION("""COMPUTED_VALUE"""),"Gov. Gavin Newsom lifted the regional stay-at-home orders and statewide 10 pm to 5 am curfew, and counties are returning to the color-coded tier system")</f>
        <v>Gov. Gavin Newsom lifted the regional stay-at-home orders and statewide 10 pm to 5 am curfew, and counties are returning to the color-coded tier system</v>
      </c>
      <c r="F77" s="1" t="str">
        <f>IFERROR(__xludf.DUMMYFUNCTION("""COMPUTED_VALUE"""),"National Academy for State Health Policy")</f>
        <v>National Academy for State Health Policy</v>
      </c>
      <c r="G77" s="3" t="str">
        <f>IFERROR(__xludf.DUMMYFUNCTION("""COMPUTED_VALUE"""),"https://www.nashp.org/2021-covid-19-state-restrictions-re-openings-and-mask-requirements/")</f>
        <v>https://www.nashp.org/2021-covid-19-state-restrictions-re-openings-and-mask-requirements/</v>
      </c>
      <c r="H77" s="1"/>
      <c r="I77" s="1"/>
    </row>
    <row r="78">
      <c r="A78" s="2">
        <f>IFERROR(__xludf.DUMMYFUNCTION("""COMPUTED_VALUE"""),44233.0)</f>
        <v>44233</v>
      </c>
      <c r="B78" s="1" t="str">
        <f>IFERROR(__xludf.DUMMYFUNCTION("""COMPUTED_VALUE"""),"California")</f>
        <v>California</v>
      </c>
      <c r="C78" s="1" t="str">
        <f>IFERROR(__xludf.DUMMYFUNCTION("""COMPUTED_VALUE"""),"State Proclamations ")</f>
        <v>State Proclamations </v>
      </c>
      <c r="D78" s="1" t="str">
        <f>IFERROR(__xludf.DUMMYFUNCTION("""COMPUTED_VALUE"""),"Opening")</f>
        <v>Opening</v>
      </c>
      <c r="E78" s="1" t="str">
        <f>IFERROR(__xludf.DUMMYFUNCTION("""COMPUTED_VALUE"""),"After the US Supreme Court voted 6-3 that the state’s ban on religious services in purple-tier counties (with the strictest mitigation rules) was unconstitutional, indoor worship services were allowed at 25% capacity in purple tier counties.")</f>
        <v>After the US Supreme Court voted 6-3 that the state’s ban on religious services in purple-tier counties (with the strictest mitigation rules) was unconstitutional, indoor worship services were allowed at 25% capacity in purple tier counties.</v>
      </c>
      <c r="F78" s="1" t="str">
        <f>IFERROR(__xludf.DUMMYFUNCTION("""COMPUTED_VALUE"""),"National Academy for State Health Policy")</f>
        <v>National Academy for State Health Policy</v>
      </c>
      <c r="G78" s="3" t="str">
        <f>IFERROR(__xludf.DUMMYFUNCTION("""COMPUTED_VALUE"""),"https://www.nashp.org/2021-covid-19-state-restrictions-re-openings-and-mask-requirements/")</f>
        <v>https://www.nashp.org/2021-covid-19-state-restrictions-re-openings-and-mask-requirements/</v>
      </c>
      <c r="H78" s="1"/>
      <c r="I78" s="1"/>
    </row>
    <row r="79">
      <c r="A79" s="2">
        <f>IFERROR(__xludf.DUMMYFUNCTION("""COMPUTED_VALUE"""),44267.0)</f>
        <v>44267</v>
      </c>
      <c r="B79" s="1" t="str">
        <f>IFERROR(__xludf.DUMMYFUNCTION("""COMPUTED_VALUE"""),"California")</f>
        <v>California</v>
      </c>
      <c r="C79" s="1" t="str">
        <f>IFERROR(__xludf.DUMMYFUNCTION("""COMPUTED_VALUE"""),"State Proclamations ")</f>
        <v>State Proclamations </v>
      </c>
      <c r="D79" s="1" t="str">
        <f>IFERROR(__xludf.DUMMYFUNCTION("""COMPUTED_VALUE"""),"Opening")</f>
        <v>Opening</v>
      </c>
      <c r="E79" s="1" t="str">
        <f>IFERROR(__xludf.DUMMYFUNCTION("""COMPUTED_VALUE"""),"The governor changed the state’s reopening plan to make it easier for counties to move out of the purple (most restrictive) mitigation tier into less-restrictive tiers.")</f>
        <v>The governor changed the state’s reopening plan to make it easier for counties to move out of the purple (most restrictive) mitigation tier into less-restrictive tiers.</v>
      </c>
      <c r="F79" s="1" t="str">
        <f>IFERROR(__xludf.DUMMYFUNCTION("""COMPUTED_VALUE"""),"National Academy for State Health Policy")</f>
        <v>National Academy for State Health Policy</v>
      </c>
      <c r="G79" s="3" t="str">
        <f>IFERROR(__xludf.DUMMYFUNCTION("""COMPUTED_VALUE"""),"https://www.nashp.org/2021-covid-19-state-restrictions-re-openings-and-mask-requirements/")</f>
        <v>https://www.nashp.org/2021-covid-19-state-restrictions-re-openings-and-mask-requirements/</v>
      </c>
      <c r="H79" s="1"/>
      <c r="I79" s="1"/>
    </row>
    <row r="80">
      <c r="A80" s="2">
        <f>IFERROR(__xludf.DUMMYFUNCTION("""COMPUTED_VALUE"""),44301.0)</f>
        <v>44301</v>
      </c>
      <c r="B80" s="1" t="str">
        <f>IFERROR(__xludf.DUMMYFUNCTION("""COMPUTED_VALUE"""),"California")</f>
        <v>California</v>
      </c>
      <c r="C80" s="1" t="str">
        <f>IFERROR(__xludf.DUMMYFUNCTION("""COMPUTED_VALUE"""),"State Proclamations ")</f>
        <v>State Proclamations </v>
      </c>
      <c r="D80" s="1" t="str">
        <f>IFERROR(__xludf.DUMMYFUNCTION("""COMPUTED_VALUE"""),"Opening")</f>
        <v>Opening</v>
      </c>
      <c r="E80" s="1" t="str">
        <f>IFERROR(__xludf.DUMMYFUNCTION("""COMPUTED_VALUE"""),"Indoor venues can reopen for events, with capacity limits based on the county’s color tier and whether the event has testing and vaccination requirements.")</f>
        <v>Indoor venues can reopen for events, with capacity limits based on the county’s color tier and whether the event has testing and vaccination requirements.</v>
      </c>
      <c r="F80" s="1" t="str">
        <f>IFERROR(__xludf.DUMMYFUNCTION("""COMPUTED_VALUE"""),"National Academy for State Health Policy")</f>
        <v>National Academy for State Health Policy</v>
      </c>
      <c r="G80" s="3" t="str">
        <f>IFERROR(__xludf.DUMMYFUNCTION("""COMPUTED_VALUE"""),"https://www.nashp.org/2021-covid-19-state-restrictions-re-openings-and-mask-requirements/")</f>
        <v>https://www.nashp.org/2021-covid-19-state-restrictions-re-openings-and-mask-requirements/</v>
      </c>
      <c r="H80" s="1"/>
      <c r="I80" s="1"/>
    </row>
    <row r="81">
      <c r="A81" s="2">
        <f>IFERROR(__xludf.DUMMYFUNCTION("""COMPUTED_VALUE"""),44362.0)</f>
        <v>44362</v>
      </c>
      <c r="B81" s="1" t="str">
        <f>IFERROR(__xludf.DUMMYFUNCTION("""COMPUTED_VALUE"""),"California")</f>
        <v>California</v>
      </c>
      <c r="C81" s="1" t="str">
        <f>IFERROR(__xludf.DUMMYFUNCTION("""COMPUTED_VALUE"""),"State Proclamations ")</f>
        <v>State Proclamations </v>
      </c>
      <c r="D81" s="1" t="str">
        <f>IFERROR(__xludf.DUMMYFUNCTION("""COMPUTED_VALUE"""),"Opening")</f>
        <v>Opening</v>
      </c>
      <c r="E81" s="1" t="str">
        <f>IFERROR(__xludf.DUMMYFUNCTION("""COMPUTED_VALUE"""),"The governor will lift physical distancing requirements at businesses, capacity limits, and restrictions at restaurants and bars. Organizers of indoor events with more than 5,000 people will be required to verify that attendees are either fully vaccinated"&amp;" or have tested negative within 72 hours of the event’s start time; and organizers of outdoor events with more than 10,000 attendees will be recommended, but not required, to do the same, though venues in those instances will have the option of allowing u"&amp;"nvaccinated and untested attendees, provided those people wear a mask at all times.")</f>
        <v>The governor will lift physical distancing requirements at businesses, capacity limits, and restrictions at restaurants and bars. Organizers of indoor events with more than 5,000 people will be required to verify that attendees are either fully vaccinated or have tested negative within 72 hours of the event’s start time; and organizers of outdoor events with more than 10,000 attendees will be recommended, but not required, to do the same, though venues in those instances will have the option of allowing unvaccinated and untested attendees, provided those people wear a mask at all times.</v>
      </c>
      <c r="F81" s="1" t="str">
        <f>IFERROR(__xludf.DUMMYFUNCTION("""COMPUTED_VALUE"""),"National Academy for State Health Policy")</f>
        <v>National Academy for State Health Policy</v>
      </c>
      <c r="G81" s="3" t="str">
        <f>IFERROR(__xludf.DUMMYFUNCTION("""COMPUTED_VALUE"""),"https://www.nashp.org/2021-covid-19-state-restrictions-re-openings-and-mask-requirements/")</f>
        <v>https://www.nashp.org/2021-covid-19-state-restrictions-re-openings-and-mask-requirements/</v>
      </c>
      <c r="H81" s="1"/>
      <c r="I81" s="1"/>
    </row>
    <row r="82">
      <c r="A82" s="2">
        <f>IFERROR(__xludf.DUMMYFUNCTION("""COMPUTED_VALUE"""),44543.0)</f>
        <v>44543</v>
      </c>
      <c r="B82" s="1" t="str">
        <f>IFERROR(__xludf.DUMMYFUNCTION("""COMPUTED_VALUE"""),"California")</f>
        <v>California</v>
      </c>
      <c r="C82" s="1" t="str">
        <f>IFERROR(__xludf.DUMMYFUNCTION("""COMPUTED_VALUE"""),"Mask Mandate")</f>
        <v>Mask Mandate</v>
      </c>
      <c r="D82" s="1" t="str">
        <f>IFERROR(__xludf.DUMMYFUNCTION("""COMPUTED_VALUE"""),"Start")</f>
        <v>Start</v>
      </c>
      <c r="E82" s="1" t="str">
        <f>IFERROR(__xludf.DUMMYFUNCTION("""COMPUTED_VALUE"""),"On Dec. 13, 2021, the California Department of Health announced a statewide indoor mask requirement for all individuals, regardless of vaccination status, effective Dec. 15.")</f>
        <v>On Dec. 13, 2021, the California Department of Health announced a statewide indoor mask requirement for all individuals, regardless of vaccination status, effective Dec. 15.</v>
      </c>
      <c r="F82" s="1" t="str">
        <f>IFERROR(__xludf.DUMMYFUNCTION("""COMPUTED_VALUE"""),"National Academy for State Health Policy")</f>
        <v>National Academy for State Health Policy</v>
      </c>
      <c r="G82" s="3" t="str">
        <f>IFERROR(__xludf.DUMMYFUNCTION("""COMPUTED_VALUE"""),"https://www.nashp.org/2021-covid-19-state-restrictions-re-openings-and-mask-requirements/")</f>
        <v>https://www.nashp.org/2021-covid-19-state-restrictions-re-openings-and-mask-requirements/</v>
      </c>
      <c r="H82" s="1"/>
      <c r="I82" s="1"/>
    </row>
    <row r="83">
      <c r="A83" s="2">
        <f>IFERROR(__xludf.DUMMYFUNCTION("""COMPUTED_VALUE"""),44607.0)</f>
        <v>44607</v>
      </c>
      <c r="B83" s="1" t="str">
        <f>IFERROR(__xludf.DUMMYFUNCTION("""COMPUTED_VALUE"""),"California")</f>
        <v>California</v>
      </c>
      <c r="C83" s="1" t="str">
        <f>IFERROR(__xludf.DUMMYFUNCTION("""COMPUTED_VALUE"""),"Mask Mandate")</f>
        <v>Mask Mandate</v>
      </c>
      <c r="D83" s="1" t="str">
        <f>IFERROR(__xludf.DUMMYFUNCTION("""COMPUTED_VALUE"""),"End")</f>
        <v>End</v>
      </c>
      <c r="E83" s="1" t="str">
        <f>IFERROR(__xludf.DUMMYFUNCTION("""COMPUTED_VALUE"""),"Effective February 15, 2022, the statewide indoor mask requirement for vaccinated individuals expired. Unvaccinated individuals are still required to wear masks indoors.")</f>
        <v>Effective February 15, 2022, the statewide indoor mask requirement for vaccinated individuals expired. Unvaccinated individuals are still required to wear masks indoors.</v>
      </c>
      <c r="F83" s="1"/>
      <c r="G83" s="1"/>
      <c r="H83" s="1"/>
      <c r="I83" s="1"/>
    </row>
    <row r="84">
      <c r="A84" s="2">
        <f>IFERROR(__xludf.DUMMYFUNCTION("""COMPUTED_VALUE"""),43900.0)</f>
        <v>43900</v>
      </c>
      <c r="B84" s="1" t="str">
        <f>IFERROR(__xludf.DUMMYFUNCTION("""COMPUTED_VALUE"""),"Colorado")</f>
        <v>Colorado</v>
      </c>
      <c r="C84" s="1" t="str">
        <f>IFERROR(__xludf.DUMMYFUNCTION("""COMPUTED_VALUE"""),"State of Emergency")</f>
        <v>State of Emergency</v>
      </c>
      <c r="D84" s="1" t="str">
        <f>IFERROR(__xludf.DUMMYFUNCTION("""COMPUTED_VALUE"""),"Start")</f>
        <v>Start</v>
      </c>
      <c r="E84" s="1" t="str">
        <f>IFERROR(__xludf.DUMMYFUNCTION("""COMPUTED_VALUE"""),"Gov. Jared Polis made the declaration March 10 after Colorado confirmed its 15th case, with all cases surfacing in just a few days.")</f>
        <v>Gov. Jared Polis made the declaration March 10 after Colorado confirmed its 15th case, with all cases surfacing in just a few days.</v>
      </c>
      <c r="F84" s="1" t="str">
        <f>IFERROR(__xludf.DUMMYFUNCTION("""COMPUTED_VALUE"""),"Business Insider")</f>
        <v>Business Insider</v>
      </c>
      <c r="G84" s="3" t="str">
        <f>IFERROR(__xludf.DUMMYFUNCTION("""COMPUTED_VALUE"""),"https://www.businessinsider.com/california-washington-state-of-emergency-coronavirus-what-it-means-2020-3#colorado-11")</f>
        <v>https://www.businessinsider.com/california-washington-state-of-emergency-coronavirus-what-it-means-2020-3#colorado-11</v>
      </c>
      <c r="H84" s="1"/>
      <c r="I84" s="1"/>
    </row>
    <row r="85">
      <c r="A85" s="2">
        <f>IFERROR(__xludf.DUMMYFUNCTION("""COMPUTED_VALUE"""),43916.0)</f>
        <v>43916</v>
      </c>
      <c r="B85" s="1" t="str">
        <f>IFERROR(__xludf.DUMMYFUNCTION("""COMPUTED_VALUE"""),"Colorado")</f>
        <v>Colorado</v>
      </c>
      <c r="C85" s="1" t="str">
        <f>IFERROR(__xludf.DUMMYFUNCTION("""COMPUTED_VALUE"""),"Stay-at-Home Order")</f>
        <v>Stay-at-Home Order</v>
      </c>
      <c r="D85" s="1" t="str">
        <f>IFERROR(__xludf.DUMMYFUNCTION("""COMPUTED_VALUE"""),"Start")</f>
        <v>Start</v>
      </c>
      <c r="E85" s="1" t="str">
        <f>IFERROR(__xludf.DUMMYFUNCTION("""COMPUTED_VALUE"""),"Original stay-at-home order begins")</f>
        <v>Original stay-at-home order begins</v>
      </c>
      <c r="F85" s="1" t="str">
        <f>IFERROR(__xludf.DUMMYFUNCTION("""COMPUTED_VALUE"""),"National Academy for State Health Policy")</f>
        <v>National Academy for State Health Policy</v>
      </c>
      <c r="G85" s="3" t="str">
        <f>IFERROR(__xludf.DUMMYFUNCTION("""COMPUTED_VALUE"""),"https://www.nashp.org/2020-state-reopening-chart/")</f>
        <v>https://www.nashp.org/2020-state-reopening-chart/</v>
      </c>
      <c r="H85" s="1"/>
      <c r="I85" s="1"/>
    </row>
    <row r="86">
      <c r="A86" s="2">
        <f>IFERROR(__xludf.DUMMYFUNCTION("""COMPUTED_VALUE"""),43947.0)</f>
        <v>43947</v>
      </c>
      <c r="B86" s="1" t="str">
        <f>IFERROR(__xludf.DUMMYFUNCTION("""COMPUTED_VALUE"""),"Colorado")</f>
        <v>Colorado</v>
      </c>
      <c r="C86" s="1" t="str">
        <f>IFERROR(__xludf.DUMMYFUNCTION("""COMPUTED_VALUE"""),"Stay-at-Home Order")</f>
        <v>Stay-at-Home Order</v>
      </c>
      <c r="D86" s="1" t="str">
        <f>IFERROR(__xludf.DUMMYFUNCTION("""COMPUTED_VALUE"""),"End")</f>
        <v>End</v>
      </c>
      <c r="E86" s="1" t="str">
        <f>IFERROR(__xludf.DUMMYFUNCTION("""COMPUTED_VALUE"""),"Original stay-at-home order ends")</f>
        <v>Original stay-at-home order ends</v>
      </c>
      <c r="F86" s="1" t="str">
        <f>IFERROR(__xludf.DUMMYFUNCTION("""COMPUTED_VALUE"""),"National Academy for State Health Policy")</f>
        <v>National Academy for State Health Policy</v>
      </c>
      <c r="G86" s="3" t="str">
        <f>IFERROR(__xludf.DUMMYFUNCTION("""COMPUTED_VALUE"""),"https://www.nashp.org/2020-state-reopening-chart/")</f>
        <v>https://www.nashp.org/2020-state-reopening-chart/</v>
      </c>
      <c r="H86" s="1"/>
      <c r="I86" s="1"/>
    </row>
    <row r="87">
      <c r="A87" s="2">
        <f>IFERROR(__xludf.DUMMYFUNCTION("""COMPUTED_VALUE"""),43948.0)</f>
        <v>43948</v>
      </c>
      <c r="B87" s="1" t="str">
        <f>IFERROR(__xludf.DUMMYFUNCTION("""COMPUTED_VALUE"""),"Colorado")</f>
        <v>Colorado</v>
      </c>
      <c r="C87" s="1" t="str">
        <f>IFERROR(__xludf.DUMMYFUNCTION("""COMPUTED_VALUE"""),"State Proclamations ")</f>
        <v>State Proclamations </v>
      </c>
      <c r="D87" s="1" t="str">
        <f>IFERROR(__xludf.DUMMYFUNCTION("""COMPUTED_VALUE"""),"Opening")</f>
        <v>Opening</v>
      </c>
      <c r="E87" s="1" t="str">
        <f>IFERROR(__xludf.DUMMYFUNCTION("""COMPUTED_VALUE"""),"Colorado has reopened retail stores, restaurant dining, bars, personal care services, houses of worship, museums, indoor events, fairs, rodeos, concerts, outdoor events, campgrounds, pools, playgrounds, gyms, offices and manufacturing. Nonessential medica"&amp;"l procedures resumed April 27.")</f>
        <v>Colorado has reopened retail stores, restaurant dining, bars, personal care services, houses of worship, museums, indoor events, fairs, rodeos, concerts, outdoor events, campgrounds, pools, playgrounds, gyms, offices and manufacturing. Nonessential medical procedures resumed April 27.</v>
      </c>
      <c r="F87" s="1" t="str">
        <f>IFERROR(__xludf.DUMMYFUNCTION("""COMPUTED_VALUE"""),"National Academy for State Health Policy")</f>
        <v>National Academy for State Health Policy</v>
      </c>
      <c r="G87" s="3" t="str">
        <f>IFERROR(__xludf.DUMMYFUNCTION("""COMPUTED_VALUE"""),"https://www.nashp.org/2020-state-reopening-chart/")</f>
        <v>https://www.nashp.org/2020-state-reopening-chart/</v>
      </c>
      <c r="H87" s="1"/>
      <c r="I87" s="1"/>
    </row>
    <row r="88">
      <c r="A88" s="2">
        <f>IFERROR(__xludf.DUMMYFUNCTION("""COMPUTED_VALUE"""),44012.0)</f>
        <v>44012</v>
      </c>
      <c r="B88" s="1" t="str">
        <f>IFERROR(__xludf.DUMMYFUNCTION("""COMPUTED_VALUE"""),"Colorado")</f>
        <v>Colorado</v>
      </c>
      <c r="C88" s="1" t="str">
        <f>IFERROR(__xludf.DUMMYFUNCTION("""COMPUTED_VALUE"""),"State Proclamations ")</f>
        <v>State Proclamations </v>
      </c>
      <c r="D88" s="1" t="str">
        <f>IFERROR(__xludf.DUMMYFUNCTION("""COMPUTED_VALUE"""),"Closing")</f>
        <v>Closing</v>
      </c>
      <c r="E88" s="1" t="str">
        <f>IFERROR(__xludf.DUMMYFUNCTION("""COMPUTED_VALUE"""),"Due to the risk of transmitting the virus in indoor spaces, the Department of Public Health and Environment announced that bars and nightclubs will close for in-person service.")</f>
        <v>Due to the risk of transmitting the virus in indoor spaces, the Department of Public Health and Environment announced that bars and nightclubs will close for in-person service.</v>
      </c>
      <c r="F88" s="1" t="str">
        <f>IFERROR(__xludf.DUMMYFUNCTION("""COMPUTED_VALUE"""),"National Academy for State Health Policy")</f>
        <v>National Academy for State Health Policy</v>
      </c>
      <c r="G88" s="3" t="str">
        <f>IFERROR(__xludf.DUMMYFUNCTION("""COMPUTED_VALUE"""),"https://www.nashp.org/2020-state-reopening-chart/")</f>
        <v>https://www.nashp.org/2020-state-reopening-chart/</v>
      </c>
      <c r="H88" s="1"/>
      <c r="I88" s="1"/>
    </row>
    <row r="89">
      <c r="A89" s="2">
        <f>IFERROR(__xludf.DUMMYFUNCTION("""COMPUTED_VALUE"""),44029.0)</f>
        <v>44029</v>
      </c>
      <c r="B89" s="1" t="str">
        <f>IFERROR(__xludf.DUMMYFUNCTION("""COMPUTED_VALUE"""),"Colorado")</f>
        <v>Colorado</v>
      </c>
      <c r="C89" s="1" t="str">
        <f>IFERROR(__xludf.DUMMYFUNCTION("""COMPUTED_VALUE"""),"Mask Mandate")</f>
        <v>Mask Mandate</v>
      </c>
      <c r="D89" s="1" t="str">
        <f>IFERROR(__xludf.DUMMYFUNCTION("""COMPUTED_VALUE"""),"Start")</f>
        <v>Start</v>
      </c>
      <c r="E89" s="1" t="str">
        <f>IFERROR(__xludf.DUMMYFUNCTION("""COMPUTED_VALUE"""),"Gov. Jared Polis announced that residents will be required to wear masks when in public indoor spaces and not able to socially distance from others.")</f>
        <v>Gov. Jared Polis announced that residents will be required to wear masks when in public indoor spaces and not able to socially distance from others.</v>
      </c>
      <c r="F89" s="1" t="str">
        <f>IFERROR(__xludf.DUMMYFUNCTION("""COMPUTED_VALUE"""),"CNN")</f>
        <v>CNN</v>
      </c>
      <c r="G89" s="3" t="str">
        <f>IFERROR(__xludf.DUMMYFUNCTION("""COMPUTED_VALUE"""),"https://www.cnn.com/2020/06/19/us/states-face-mask-coronavirus-trnd/index.html")</f>
        <v>https://www.cnn.com/2020/06/19/us/states-face-mask-coronavirus-trnd/index.html</v>
      </c>
      <c r="H89" s="1"/>
      <c r="I89" s="1"/>
    </row>
    <row r="90">
      <c r="A90" s="2">
        <f>IFERROR(__xludf.DUMMYFUNCTION("""COMPUTED_VALUE"""),44033.0)</f>
        <v>44033</v>
      </c>
      <c r="B90" s="1" t="str">
        <f>IFERROR(__xludf.DUMMYFUNCTION("""COMPUTED_VALUE"""),"Colorado")</f>
        <v>Colorado</v>
      </c>
      <c r="C90" s="1" t="str">
        <f>IFERROR(__xludf.DUMMYFUNCTION("""COMPUTED_VALUE"""),"State Proclamations ")</f>
        <v>State Proclamations </v>
      </c>
      <c r="D90" s="1" t="str">
        <f>IFERROR(__xludf.DUMMYFUNCTION("""COMPUTED_VALUE"""),"Closing")</f>
        <v>Closing</v>
      </c>
      <c r="E90" s="1" t="str">
        <f>IFERROR(__xludf.DUMMYFUNCTION("""COMPUTED_VALUE"""),"The governor extended the state's ""Safer at Home"" guidelines.")</f>
        <v>The governor extended the state's "Safer at Home" guidelines.</v>
      </c>
      <c r="F90" s="1" t="str">
        <f>IFERROR(__xludf.DUMMYFUNCTION("""COMPUTED_VALUE"""),"National Academy for State Health Policy")</f>
        <v>National Academy for State Health Policy</v>
      </c>
      <c r="G90" s="3" t="str">
        <f>IFERROR(__xludf.DUMMYFUNCTION("""COMPUTED_VALUE"""),"https://www.nashp.org/2020-state-reopening-chart/")</f>
        <v>https://www.nashp.org/2020-state-reopening-chart/</v>
      </c>
      <c r="H90" s="1"/>
      <c r="I90" s="1"/>
    </row>
    <row r="91">
      <c r="A91" s="2">
        <f>IFERROR(__xludf.DUMMYFUNCTION("""COMPUTED_VALUE"""),44034.0)</f>
        <v>44034</v>
      </c>
      <c r="B91" s="1" t="str">
        <f>IFERROR(__xludf.DUMMYFUNCTION("""COMPUTED_VALUE"""),"Colorado")</f>
        <v>Colorado</v>
      </c>
      <c r="C91" s="1" t="str">
        <f>IFERROR(__xludf.DUMMYFUNCTION("""COMPUTED_VALUE"""),"State Proclamations ")</f>
        <v>State Proclamations </v>
      </c>
      <c r="D91" s="1" t="str">
        <f>IFERROR(__xludf.DUMMYFUNCTION("""COMPUTED_VALUE"""),"Opening")</f>
        <v>Opening</v>
      </c>
      <c r="E91" s="1" t="str">
        <f>IFERROR(__xludf.DUMMYFUNCTION("""COMPUTED_VALUE"""),"Bars and restaurants statewide must stop serving alcohol at 10 p.m.")</f>
        <v>Bars and restaurants statewide must stop serving alcohol at 10 p.m.</v>
      </c>
      <c r="F91" s="1" t="str">
        <f>IFERROR(__xludf.DUMMYFUNCTION("""COMPUTED_VALUE"""),"National Academy for State Health Policy")</f>
        <v>National Academy for State Health Policy</v>
      </c>
      <c r="G91" s="3" t="str">
        <f>IFERROR(__xludf.DUMMYFUNCTION("""COMPUTED_VALUE"""),"https://www.nashp.org/2020-state-reopening-chart/")</f>
        <v>https://www.nashp.org/2020-state-reopening-chart/</v>
      </c>
      <c r="H91" s="1"/>
      <c r="I91" s="1"/>
    </row>
    <row r="92">
      <c r="A92" s="2">
        <f>IFERROR(__xludf.DUMMYFUNCTION("""COMPUTED_VALUE"""),44067.0)</f>
        <v>44067</v>
      </c>
      <c r="B92" s="1" t="str">
        <f>IFERROR(__xludf.DUMMYFUNCTION("""COMPUTED_VALUE"""),"Colorado")</f>
        <v>Colorado</v>
      </c>
      <c r="C92" s="1" t="str">
        <f>IFERROR(__xludf.DUMMYFUNCTION("""COMPUTED_VALUE"""),"State Proclamations ")</f>
        <v>State Proclamations </v>
      </c>
      <c r="D92" s="1" t="str">
        <f>IFERROR(__xludf.DUMMYFUNCTION("""COMPUTED_VALUE"""),"Opening")</f>
        <v>Opening</v>
      </c>
      <c r="E92" s="1" t="str">
        <f>IFERROR(__xludf.DUMMYFUNCTION("""COMPUTED_VALUE"""),"Extends time that bars and restaurants must stop service of alcohol to 11 p.m.")</f>
        <v>Extends time that bars and restaurants must stop service of alcohol to 11 p.m.</v>
      </c>
      <c r="F92" s="1" t="str">
        <f>IFERROR(__xludf.DUMMYFUNCTION("""COMPUTED_VALUE"""),"National Academy for State Health Policy")</f>
        <v>National Academy for State Health Policy</v>
      </c>
      <c r="G92" s="3" t="str">
        <f>IFERROR(__xludf.DUMMYFUNCTION("""COMPUTED_VALUE"""),"https://www.nashp.org/2020-state-reopening-chart/")</f>
        <v>https://www.nashp.org/2020-state-reopening-chart/</v>
      </c>
      <c r="H92" s="1"/>
      <c r="I92" s="1"/>
    </row>
    <row r="93">
      <c r="A93" s="2">
        <f>IFERROR(__xludf.DUMMYFUNCTION("""COMPUTED_VALUE"""),44095.0)</f>
        <v>44095</v>
      </c>
      <c r="B93" s="1" t="str">
        <f>IFERROR(__xludf.DUMMYFUNCTION("""COMPUTED_VALUE"""),"Colorado")</f>
        <v>Colorado</v>
      </c>
      <c r="C93" s="1" t="str">
        <f>IFERROR(__xludf.DUMMYFUNCTION("""COMPUTED_VALUE"""),"State Proclamations ")</f>
        <v>State Proclamations </v>
      </c>
      <c r="D93" s="1" t="str">
        <f>IFERROR(__xludf.DUMMYFUNCTION("""COMPUTED_VALUE"""),"Opening")</f>
        <v>Opening</v>
      </c>
      <c r="E93" s="1" t="str">
        <f>IFERROR(__xludf.DUMMYFUNCTION("""COMPUTED_VALUE"""),"Extends time that bars and restaurants in Level 1 countries must stop service of alcohol to midnight.")</f>
        <v>Extends time that bars and restaurants in Level 1 countries must stop service of alcohol to midnight.</v>
      </c>
      <c r="F93" s="1" t="str">
        <f>IFERROR(__xludf.DUMMYFUNCTION("""COMPUTED_VALUE"""),"National Academy for State Health Policy")</f>
        <v>National Academy for State Health Policy</v>
      </c>
      <c r="G93" s="3" t="str">
        <f>IFERROR(__xludf.DUMMYFUNCTION("""COMPUTED_VALUE"""),"https://www.nashp.org/2020-state-reopening-chart/")</f>
        <v>https://www.nashp.org/2020-state-reopening-chart/</v>
      </c>
      <c r="H93" s="1"/>
      <c r="I93" s="1"/>
    </row>
    <row r="94">
      <c r="A94" s="2">
        <f>IFERROR(__xludf.DUMMYFUNCTION("""COMPUTED_VALUE"""),44117.0)</f>
        <v>44117</v>
      </c>
      <c r="B94" s="1" t="str">
        <f>IFERROR(__xludf.DUMMYFUNCTION("""COMPUTED_VALUE"""),"Colorado")</f>
        <v>Colorado</v>
      </c>
      <c r="C94" s="1" t="str">
        <f>IFERROR(__xludf.DUMMYFUNCTION("""COMPUTED_VALUE"""),"State Proclamations ")</f>
        <v>State Proclamations </v>
      </c>
      <c r="D94" s="1" t="str">
        <f>IFERROR(__xludf.DUMMYFUNCTION("""COMPUTED_VALUE"""),"Opening")</f>
        <v>Opening</v>
      </c>
      <c r="E94" s="1" t="str">
        <f>IFERROR(__xludf.DUMMYFUNCTION("""COMPUTED_VALUE"""),"The state released guidelines that allow individuals from up to three households to gather privately. The governor also extended the state's mask requirement for an additional month.")</f>
        <v>The state released guidelines that allow individuals from up to three households to gather privately. The governor also extended the state's mask requirement for an additional month.</v>
      </c>
      <c r="F94" s="1" t="str">
        <f>IFERROR(__xludf.DUMMYFUNCTION("""COMPUTED_VALUE"""),"National Academy for State Health Policy")</f>
        <v>National Academy for State Health Policy</v>
      </c>
      <c r="G94" s="3" t="str">
        <f>IFERROR(__xludf.DUMMYFUNCTION("""COMPUTED_VALUE"""),"https://www.nashp.org/2020-state-reopening-chart/")</f>
        <v>https://www.nashp.org/2020-state-reopening-chart/</v>
      </c>
      <c r="H94" s="1"/>
      <c r="I94" s="1"/>
    </row>
    <row r="95">
      <c r="A95" s="2">
        <f>IFERROR(__xludf.DUMMYFUNCTION("""COMPUTED_VALUE"""),44134.0)</f>
        <v>44134</v>
      </c>
      <c r="B95" s="1" t="str">
        <f>IFERROR(__xludf.DUMMYFUNCTION("""COMPUTED_VALUE"""),"Colorado")</f>
        <v>Colorado</v>
      </c>
      <c r="C95" s="1" t="str">
        <f>IFERROR(__xludf.DUMMYFUNCTION("""COMPUTED_VALUE"""),"State Proclamations ")</f>
        <v>State Proclamations </v>
      </c>
      <c r="D95" s="1" t="str">
        <f>IFERROR(__xludf.DUMMYFUNCTION("""COMPUTED_VALUE"""),"Closing")</f>
        <v>Closing</v>
      </c>
      <c r="E95" s="1" t="str">
        <f>IFERROR(__xludf.DUMMYFUNCTION("""COMPUTED_VALUE"""),"The Department of Public Health ordered private gatherings be limited to 10 individuals from a maximum of two households in certain counties.")</f>
        <v>The Department of Public Health ordered private gatherings be limited to 10 individuals from a maximum of two households in certain counties.</v>
      </c>
      <c r="F95" s="1" t="str">
        <f>IFERROR(__xludf.DUMMYFUNCTION("""COMPUTED_VALUE"""),"National Academy for State Health Policy")</f>
        <v>National Academy for State Health Policy</v>
      </c>
      <c r="G95" s="3" t="str">
        <f>IFERROR(__xludf.DUMMYFUNCTION("""COMPUTED_VALUE"""),"https://www.nashp.org/2020-state-reopening-chart/")</f>
        <v>https://www.nashp.org/2020-state-reopening-chart/</v>
      </c>
      <c r="H95" s="1"/>
      <c r="I95" s="1"/>
    </row>
    <row r="96">
      <c r="A96" s="2">
        <f>IFERROR(__xludf.DUMMYFUNCTION("""COMPUTED_VALUE"""),44141.0)</f>
        <v>44141</v>
      </c>
      <c r="B96" s="1" t="str">
        <f>IFERROR(__xludf.DUMMYFUNCTION("""COMPUTED_VALUE"""),"Colorado")</f>
        <v>Colorado</v>
      </c>
      <c r="C96" s="1" t="str">
        <f>IFERROR(__xludf.DUMMYFUNCTION("""COMPUTED_VALUE"""),"State Proclamations ")</f>
        <v>State Proclamations </v>
      </c>
      <c r="D96" s="1" t="str">
        <f>IFERROR(__xludf.DUMMYFUNCTION("""COMPUTED_VALUE"""),"Closing")</f>
        <v>Closing</v>
      </c>
      <c r="E96" s="1" t="str">
        <f>IFERROR(__xludf.DUMMYFUNCTION("""COMPUTED_VALUE"""),"Denver issued a ""Home by 10"" order.")</f>
        <v>Denver issued a "Home by 10" order.</v>
      </c>
      <c r="F96" s="1" t="str">
        <f>IFERROR(__xludf.DUMMYFUNCTION("""COMPUTED_VALUE"""),"National Academy for State Health Policy")</f>
        <v>National Academy for State Health Policy</v>
      </c>
      <c r="G96" s="3" t="str">
        <f>IFERROR(__xludf.DUMMYFUNCTION("""COMPUTED_VALUE"""),"https://www.nashp.org/2020-state-reopening-chart/")</f>
        <v>https://www.nashp.org/2020-state-reopening-chart/</v>
      </c>
      <c r="H96" s="1"/>
      <c r="I96" s="1"/>
    </row>
    <row r="97">
      <c r="A97" s="2">
        <f>IFERROR(__xludf.DUMMYFUNCTION("""COMPUTED_VALUE"""),44155.0)</f>
        <v>44155</v>
      </c>
      <c r="B97" s="1" t="str">
        <f>IFERROR(__xludf.DUMMYFUNCTION("""COMPUTED_VALUE"""),"Colorado")</f>
        <v>Colorado</v>
      </c>
      <c r="C97" s="1" t="str">
        <f>IFERROR(__xludf.DUMMYFUNCTION("""COMPUTED_VALUE"""),"State Proclamations ")</f>
        <v>State Proclamations </v>
      </c>
      <c r="D97" s="1" t="str">
        <f>IFERROR(__xludf.DUMMYFUNCTION("""COMPUTED_VALUE"""),"Closing")</f>
        <v>Closing</v>
      </c>
      <c r="E97" s="1" t="str">
        <f>IFERROR(__xludf.DUMMYFUNCTION("""COMPUTED_VALUE"""),"Fifteen counties moved to a more restrictive phase of reopening.")</f>
        <v>Fifteen counties moved to a more restrictive phase of reopening.</v>
      </c>
      <c r="F97" s="1" t="str">
        <f>IFERROR(__xludf.DUMMYFUNCTION("""COMPUTED_VALUE"""),"National Academy for State Health Policy")</f>
        <v>National Academy for State Health Policy</v>
      </c>
      <c r="G97" s="3" t="str">
        <f>IFERROR(__xludf.DUMMYFUNCTION("""COMPUTED_VALUE"""),"https://www.nashp.org/2020-state-reopening-chart/")</f>
        <v>https://www.nashp.org/2020-state-reopening-chart/</v>
      </c>
      <c r="H97" s="1"/>
      <c r="I97" s="1"/>
    </row>
    <row r="98">
      <c r="A98" s="2">
        <f>IFERROR(__xludf.DUMMYFUNCTION("""COMPUTED_VALUE"""),44165.0)</f>
        <v>44165</v>
      </c>
      <c r="B98" s="1" t="str">
        <f>IFERROR(__xludf.DUMMYFUNCTION("""COMPUTED_VALUE"""),"Colorado")</f>
        <v>Colorado</v>
      </c>
      <c r="C98" s="1" t="str">
        <f>IFERROR(__xludf.DUMMYFUNCTION("""COMPUTED_VALUE"""),"State Proclamations ")</f>
        <v>State Proclamations </v>
      </c>
      <c r="D98" s="1" t="str">
        <f>IFERROR(__xludf.DUMMYFUNCTION("""COMPUTED_VALUE"""),"Closing")</f>
        <v>Closing</v>
      </c>
      <c r="E98" s="1" t="str">
        <f>IFERROR(__xludf.DUMMYFUNCTION("""COMPUTED_VALUE"""),"The governor extended the disaster declaration for 30 days.")</f>
        <v>The governor extended the disaster declaration for 30 days.</v>
      </c>
      <c r="F98" s="1" t="str">
        <f>IFERROR(__xludf.DUMMYFUNCTION("""COMPUTED_VALUE"""),"National Academy for State Health Policy")</f>
        <v>National Academy for State Health Policy</v>
      </c>
      <c r="G98" s="3" t="str">
        <f>IFERROR(__xludf.DUMMYFUNCTION("""COMPUTED_VALUE"""),"https://www.nashp.org/2020-state-reopening-chart/")</f>
        <v>https://www.nashp.org/2020-state-reopening-chart/</v>
      </c>
      <c r="H98" s="1"/>
      <c r="I98" s="1"/>
    </row>
    <row r="99">
      <c r="A99" s="2">
        <f>IFERROR(__xludf.DUMMYFUNCTION("""COMPUTED_VALUE"""),44174.0)</f>
        <v>44174</v>
      </c>
      <c r="B99" s="1" t="str">
        <f>IFERROR(__xludf.DUMMYFUNCTION("""COMPUTED_VALUE"""),"Colorado")</f>
        <v>Colorado</v>
      </c>
      <c r="C99" s="1" t="str">
        <f>IFERROR(__xludf.DUMMYFUNCTION("""COMPUTED_VALUE"""),"State Proclamations ")</f>
        <v>State Proclamations </v>
      </c>
      <c r="D99" s="1" t="str">
        <f>IFERROR(__xludf.DUMMYFUNCTION("""COMPUTED_VALUE"""),"Closing")</f>
        <v>Closing</v>
      </c>
      <c r="E99" s="1" t="str">
        <f>IFERROR(__xludf.DUMMYFUNCTION("""COMPUTED_VALUE"""),"The governor extended the mask requirement through Jan. 7, 2021.")</f>
        <v>The governor extended the mask requirement through Jan. 7, 2021.</v>
      </c>
      <c r="F99" s="1" t="str">
        <f>IFERROR(__xludf.DUMMYFUNCTION("""COMPUTED_VALUE"""),"National Academy for State Health Policy")</f>
        <v>National Academy for State Health Policy</v>
      </c>
      <c r="G99" s="3" t="str">
        <f>IFERROR(__xludf.DUMMYFUNCTION("""COMPUTED_VALUE"""),"https://www.nashp.org/2020-state-reopening-chart/")</f>
        <v>https://www.nashp.org/2020-state-reopening-chart/</v>
      </c>
      <c r="H99" s="1"/>
      <c r="I99" s="1"/>
    </row>
    <row r="100">
      <c r="A100" s="2">
        <f>IFERROR(__xludf.DUMMYFUNCTION("""COMPUTED_VALUE"""),44233.0)</f>
        <v>44233</v>
      </c>
      <c r="B100" s="1" t="str">
        <f>IFERROR(__xludf.DUMMYFUNCTION("""COMPUTED_VALUE"""),"Colorado")</f>
        <v>Colorado</v>
      </c>
      <c r="C100" s="1" t="str">
        <f>IFERROR(__xludf.DUMMYFUNCTION("""COMPUTED_VALUE"""),"State Proclamations ")</f>
        <v>State Proclamations </v>
      </c>
      <c r="D100" s="1" t="str">
        <f>IFERROR(__xludf.DUMMYFUNCTION("""COMPUTED_VALUE"""),"Opening")</f>
        <v>Opening</v>
      </c>
      <c r="E100" s="1" t="str">
        <f>IFERROR(__xludf.DUMMYFUNCTION("""COMPUTED_VALUE"""),"The state started using a new framework for standardizing restrictions by county, called Dial 2.0. The framework has six color levels for counties that are based on cases per capita, positivity rates, and the effect of COVID-19 on hospitals. The new syste"&amp;"m uses data from the last week; previously, the state used data from the last two weeks in determining county dial levels.")</f>
        <v>The state started using a new framework for standardizing restrictions by county, called Dial 2.0. The framework has six color levels for counties that are based on cases per capita, positivity rates, and the effect of COVID-19 on hospitals. The new system uses data from the last week; previously, the state used data from the last two weeks in determining county dial levels.</v>
      </c>
      <c r="F100" s="1" t="str">
        <f>IFERROR(__xludf.DUMMYFUNCTION("""COMPUTED_VALUE"""),"National Academy for State Health Policy")</f>
        <v>National Academy for State Health Policy</v>
      </c>
      <c r="G100" s="3" t="str">
        <f>IFERROR(__xludf.DUMMYFUNCTION("""COMPUTED_VALUE"""),"https://www.nashp.org/2021-covid-19-state-restrictions-re-openings-and-mask-requirements/")</f>
        <v>https://www.nashp.org/2021-covid-19-state-restrictions-re-openings-and-mask-requirements/</v>
      </c>
      <c r="H100" s="1"/>
      <c r="I100" s="1"/>
    </row>
    <row r="101">
      <c r="A101" s="2">
        <f>IFERROR(__xludf.DUMMYFUNCTION("""COMPUTED_VALUE"""),44330.0)</f>
        <v>44330</v>
      </c>
      <c r="B101" s="1" t="str">
        <f>IFERROR(__xludf.DUMMYFUNCTION("""COMPUTED_VALUE"""),"Colorado")</f>
        <v>Colorado</v>
      </c>
      <c r="C101" s="1" t="str">
        <f>IFERROR(__xludf.DUMMYFUNCTION("""COMPUTED_VALUE"""),"Mask Mandate")</f>
        <v>Mask Mandate</v>
      </c>
      <c r="D101" s="1" t="str">
        <f>IFERROR(__xludf.DUMMYFUNCTION("""COMPUTED_VALUE"""),"End")</f>
        <v>End</v>
      </c>
      <c r="E101" s="1" t="str">
        <f>IFERROR(__xludf.DUMMYFUNCTION("""COMPUTED_VALUE"""),"On May 14, the governor ended the statewide mandate")</f>
        <v>On May 14, the governor ended the statewide mandate</v>
      </c>
      <c r="F101" s="1" t="str">
        <f>IFERROR(__xludf.DUMMYFUNCTION("""COMPUTED_VALUE"""),"National Academy for State Health Policy")</f>
        <v>National Academy for State Health Policy</v>
      </c>
      <c r="G101" s="3" t="str">
        <f>IFERROR(__xludf.DUMMYFUNCTION("""COMPUTED_VALUE"""),"https://www.nashp.org/2021-covid-19-state-restrictions-re-openings-and-mask-requirements/")</f>
        <v>https://www.nashp.org/2021-covid-19-state-restrictions-re-openings-and-mask-requirements/</v>
      </c>
      <c r="H101" s="1"/>
      <c r="I101" s="1"/>
    </row>
    <row r="102">
      <c r="A102" s="2">
        <f>IFERROR(__xludf.DUMMYFUNCTION("""COMPUTED_VALUE"""),44348.0)</f>
        <v>44348</v>
      </c>
      <c r="B102" s="1" t="str">
        <f>IFERROR(__xludf.DUMMYFUNCTION("""COMPUTED_VALUE"""),"Colorado")</f>
        <v>Colorado</v>
      </c>
      <c r="C102" s="1" t="str">
        <f>IFERROR(__xludf.DUMMYFUNCTION("""COMPUTED_VALUE"""),"State Proclamations ")</f>
        <v>State Proclamations </v>
      </c>
      <c r="D102" s="1" t="str">
        <f>IFERROR(__xludf.DUMMYFUNCTION("""COMPUTED_VALUE"""),"Closing")</f>
        <v>Closing</v>
      </c>
      <c r="E102" s="1" t="str">
        <f>IFERROR(__xludf.DUMMYFUNCTION("""COMPUTED_VALUE"""),"The Colorado Department of Public Health and Environment ended its restrictions on large indoor gatherings.")</f>
        <v>The Colorado Department of Public Health and Environment ended its restrictions on large indoor gatherings.</v>
      </c>
      <c r="F102" s="1" t="str">
        <f>IFERROR(__xludf.DUMMYFUNCTION("""COMPUTED_VALUE"""),"National Academy for State Health Policy")</f>
        <v>National Academy for State Health Policy</v>
      </c>
      <c r="G102" s="3" t="str">
        <f>IFERROR(__xludf.DUMMYFUNCTION("""COMPUTED_VALUE"""),"https://www.nashp.org/2021-covid-19-state-restrictions-re-openings-and-mask-requirements/")</f>
        <v>https://www.nashp.org/2021-covid-19-state-restrictions-re-openings-and-mask-requirements/</v>
      </c>
      <c r="H102" s="1"/>
      <c r="I102" s="1"/>
    </row>
    <row r="103">
      <c r="A103" s="2">
        <f>IFERROR(__xludf.DUMMYFUNCTION("""COMPUTED_VALUE"""),44385.0)</f>
        <v>44385</v>
      </c>
      <c r="B103" s="1" t="str">
        <f>IFERROR(__xludf.DUMMYFUNCTION("""COMPUTED_VALUE"""),"Colorado")</f>
        <v>Colorado</v>
      </c>
      <c r="C103" s="1" t="str">
        <f>IFERROR(__xludf.DUMMYFUNCTION("""COMPUTED_VALUE"""),"State of Emergency")</f>
        <v>State of Emergency</v>
      </c>
      <c r="D103" s="1" t="str">
        <f>IFERROR(__xludf.DUMMYFUNCTION("""COMPUTED_VALUE"""),"End")</f>
        <v>End</v>
      </c>
      <c r="E103" s="1" t="str">
        <f>IFERROR(__xludf.DUMMYFUNCTION("""COMPUTED_VALUE"""),"State of Emergency ended on July 8, 2021")</f>
        <v>State of Emergency ended on July 8, 2021</v>
      </c>
      <c r="F103" s="1" t="str">
        <f>IFERROR(__xludf.DUMMYFUNCTION("""COMPUTED_VALUE"""),"National Academy for State Health Policy")</f>
        <v>National Academy for State Health Policy</v>
      </c>
      <c r="G103" s="3" t="str">
        <f>IFERROR(__xludf.DUMMYFUNCTION("""COMPUTED_VALUE"""),"https://www.nashp.org/2021-covid-19-state-restrictions-re-openings-and-mask-requirements/")</f>
        <v>https://www.nashp.org/2021-covid-19-state-restrictions-re-openings-and-mask-requirements/</v>
      </c>
      <c r="H103" s="1"/>
      <c r="I103" s="1"/>
    </row>
    <row r="104">
      <c r="A104" s="2">
        <f>IFERROR(__xludf.DUMMYFUNCTION("""COMPUTED_VALUE"""),44514.0)</f>
        <v>44514</v>
      </c>
      <c r="B104" s="1" t="str">
        <f>IFERROR(__xludf.DUMMYFUNCTION("""COMPUTED_VALUE"""),"Colorado")</f>
        <v>Colorado</v>
      </c>
      <c r="C104" s="1" t="str">
        <f>IFERROR(__xludf.DUMMYFUNCTION("""COMPUTED_VALUE"""),"State Proclamations ")</f>
        <v>State Proclamations </v>
      </c>
      <c r="D104" s="1" t="str">
        <f>IFERROR(__xludf.DUMMYFUNCTION("""COMPUTED_VALUE"""),"Closing")</f>
        <v>Closing</v>
      </c>
      <c r="E104" s="1" t="str">
        <f>IFERROR(__xludf.DUMMYFUNCTION("""COMPUTED_VALUE"""),"The Colorado Department of Public Health and Environment announced that COVID-19 vaccinations would be required to attend indoor, unseated events with more than 500 people in certain counties (Arapahoe, Adams, Boulder, and Jefferson counties) and in the C"&amp;"ity and County of Denver and the City and County of Broomfield. This will go into effect November 19 through December 31, with negative COVID-19 tests accepted instead of proof of vaccination through December 1.")</f>
        <v>The Colorado Department of Public Health and Environment announced that COVID-19 vaccinations would be required to attend indoor, unseated events with more than 500 people in certain counties (Arapahoe, Adams, Boulder, and Jefferson counties) and in the City and County of Denver and the City and County of Broomfield. This will go into effect November 19 through December 31, with negative COVID-19 tests accepted instead of proof of vaccination through December 1.</v>
      </c>
      <c r="F104" s="1" t="str">
        <f>IFERROR(__xludf.DUMMYFUNCTION("""COMPUTED_VALUE"""),"National Academy for State Health Policy")</f>
        <v>National Academy for State Health Policy</v>
      </c>
      <c r="G104" s="3" t="str">
        <f>IFERROR(__xludf.DUMMYFUNCTION("""COMPUTED_VALUE"""),"https://www.nashp.org/2021-covid-19-state-restrictions-re-openings-and-mask-requirements/")</f>
        <v>https://www.nashp.org/2021-covid-19-state-restrictions-re-openings-and-mask-requirements/</v>
      </c>
      <c r="H104" s="1"/>
      <c r="I104" s="1"/>
    </row>
    <row r="105">
      <c r="A105" s="2">
        <f>IFERROR(__xludf.DUMMYFUNCTION("""COMPUTED_VALUE"""),43900.0)</f>
        <v>43900</v>
      </c>
      <c r="B105" s="1" t="str">
        <f>IFERROR(__xludf.DUMMYFUNCTION("""COMPUTED_VALUE"""),"Connecticut")</f>
        <v>Connecticut</v>
      </c>
      <c r="C105" s="1" t="str">
        <f>IFERROR(__xludf.DUMMYFUNCTION("""COMPUTED_VALUE"""),"State of Emergency")</f>
        <v>State of Emergency</v>
      </c>
      <c r="D105" s="1" t="str">
        <f>IFERROR(__xludf.DUMMYFUNCTION("""COMPUTED_VALUE"""),"Start")</f>
        <v>Start</v>
      </c>
      <c r="E105" s="1" t="str">
        <f>IFERROR(__xludf.DUMMYFUNCTION("""COMPUTED_VALUE"""),"Gov. Ned Lamont issued a state of emergency on March 10.")</f>
        <v>Gov. Ned Lamont issued a state of emergency on March 10.</v>
      </c>
      <c r="F105" s="1" t="str">
        <f>IFERROR(__xludf.DUMMYFUNCTION("""COMPUTED_VALUE"""),"Business Insider")</f>
        <v>Business Insider</v>
      </c>
      <c r="G105" s="3" t="str">
        <f>IFERROR(__xludf.DUMMYFUNCTION("""COMPUTED_VALUE"""),"https://www.businessinsider.com/california-washington-state-of-emergency-coronavirus-what-it-means-2020-3#connecticut-20")</f>
        <v>https://www.businessinsider.com/california-washington-state-of-emergency-coronavirus-what-it-means-2020-3#connecticut-20</v>
      </c>
      <c r="H105" s="1"/>
      <c r="I105" s="1"/>
    </row>
    <row r="106">
      <c r="A106" s="2">
        <f>IFERROR(__xludf.DUMMYFUNCTION("""COMPUTED_VALUE"""),43913.0)</f>
        <v>43913</v>
      </c>
      <c r="B106" s="1" t="str">
        <f>IFERROR(__xludf.DUMMYFUNCTION("""COMPUTED_VALUE"""),"Connecticut")</f>
        <v>Connecticut</v>
      </c>
      <c r="C106" s="1" t="str">
        <f>IFERROR(__xludf.DUMMYFUNCTION("""COMPUTED_VALUE"""),"Stay-at-Home Order")</f>
        <v>Stay-at-Home Order</v>
      </c>
      <c r="D106" s="1" t="str">
        <f>IFERROR(__xludf.DUMMYFUNCTION("""COMPUTED_VALUE"""),"Start")</f>
        <v>Start</v>
      </c>
      <c r="E106" s="1" t="str">
        <f>IFERROR(__xludf.DUMMYFUNCTION("""COMPUTED_VALUE"""),"Original stay-at-home order begins")</f>
        <v>Original stay-at-home order begins</v>
      </c>
      <c r="F106" s="1" t="str">
        <f>IFERROR(__xludf.DUMMYFUNCTION("""COMPUTED_VALUE"""),"National Academy for State Health Policy")</f>
        <v>National Academy for State Health Policy</v>
      </c>
      <c r="G106" s="3" t="str">
        <f>IFERROR(__xludf.DUMMYFUNCTION("""COMPUTED_VALUE"""),"https://www.nashp.org/2020-state-reopening-chart/")</f>
        <v>https://www.nashp.org/2020-state-reopening-chart/</v>
      </c>
      <c r="H106" s="1"/>
      <c r="I106" s="1"/>
    </row>
    <row r="107">
      <c r="A107" s="2">
        <f>IFERROR(__xludf.DUMMYFUNCTION("""COMPUTED_VALUE"""),43938.0)</f>
        <v>43938</v>
      </c>
      <c r="B107" s="1" t="str">
        <f>IFERROR(__xludf.DUMMYFUNCTION("""COMPUTED_VALUE"""),"Connecticut")</f>
        <v>Connecticut</v>
      </c>
      <c r="C107" s="1" t="str">
        <f>IFERROR(__xludf.DUMMYFUNCTION("""COMPUTED_VALUE"""),"Mask Mandate")</f>
        <v>Mask Mandate</v>
      </c>
      <c r="D107" s="1" t="str">
        <f>IFERROR(__xludf.DUMMYFUNCTION("""COMPUTED_VALUE"""),"Start")</f>
        <v>Start</v>
      </c>
      <c r="E107" s="1" t="str">
        <f>IFERROR(__xludf.DUMMYFUNCTION("""COMPUTED_VALUE"""),"Connecticut's mask requirement applies to any resident over the age of 2 in a public space where social distancing isn't possible. The rules also apply to individuals using public transportation, taxis or rideshare services.")</f>
        <v>Connecticut's mask requirement applies to any resident over the age of 2 in a public space where social distancing isn't possible. The rules also apply to individuals using public transportation, taxis or rideshare services.</v>
      </c>
      <c r="F107" s="1" t="str">
        <f>IFERROR(__xludf.DUMMYFUNCTION("""COMPUTED_VALUE"""),"CNN")</f>
        <v>CNN</v>
      </c>
      <c r="G107" s="3" t="str">
        <f>IFERROR(__xludf.DUMMYFUNCTION("""COMPUTED_VALUE"""),"https://www.cnn.com/2020/06/19/us/states-face-mask-coronavirus-trnd/index.html")</f>
        <v>https://www.cnn.com/2020/06/19/us/states-face-mask-coronavirus-trnd/index.html</v>
      </c>
      <c r="H107" s="1"/>
      <c r="I107" s="1"/>
    </row>
    <row r="108">
      <c r="A108" s="2">
        <f>IFERROR(__xludf.DUMMYFUNCTION("""COMPUTED_VALUE"""),43971.0)</f>
        <v>43971</v>
      </c>
      <c r="B108" s="1" t="str">
        <f>IFERROR(__xludf.DUMMYFUNCTION("""COMPUTED_VALUE"""),"Connecticut")</f>
        <v>Connecticut</v>
      </c>
      <c r="C108" s="1" t="str">
        <f>IFERROR(__xludf.DUMMYFUNCTION("""COMPUTED_VALUE"""),"Stay-at-Home Order")</f>
        <v>Stay-at-Home Order</v>
      </c>
      <c r="D108" s="1" t="str">
        <f>IFERROR(__xludf.DUMMYFUNCTION("""COMPUTED_VALUE"""),"End")</f>
        <v>End</v>
      </c>
      <c r="E108" s="1" t="str">
        <f>IFERROR(__xludf.DUMMYFUNCTION("""COMPUTED_VALUE"""),"Original stay-at-home order ends")</f>
        <v>Original stay-at-home order ends</v>
      </c>
      <c r="F108" s="1" t="str">
        <f>IFERROR(__xludf.DUMMYFUNCTION("""COMPUTED_VALUE"""),"National Academy for State Health Policy")</f>
        <v>National Academy for State Health Policy</v>
      </c>
      <c r="G108" s="3" t="str">
        <f>IFERROR(__xludf.DUMMYFUNCTION("""COMPUTED_VALUE"""),"https://www.nashp.org/2020-state-reopening-chart/")</f>
        <v>https://www.nashp.org/2020-state-reopening-chart/</v>
      </c>
      <c r="H108" s="1"/>
      <c r="I108" s="1"/>
    </row>
    <row r="109">
      <c r="A109" s="2">
        <f>IFERROR(__xludf.DUMMYFUNCTION("""COMPUTED_VALUE"""),43971.0)</f>
        <v>43971</v>
      </c>
      <c r="B109" s="1" t="str">
        <f>IFERROR(__xludf.DUMMYFUNCTION("""COMPUTED_VALUE"""),"Connecticut")</f>
        <v>Connecticut</v>
      </c>
      <c r="C109" s="1" t="str">
        <f>IFERROR(__xludf.DUMMYFUNCTION("""COMPUTED_VALUE"""),"State Proclamations ")</f>
        <v>State Proclamations </v>
      </c>
      <c r="D109" s="1" t="str">
        <f>IFERROR(__xludf.DUMMYFUNCTION("""COMPUTED_VALUE"""),"Opening")</f>
        <v>Opening</v>
      </c>
      <c r="E109" s="1" t="str">
        <f>IFERROR(__xludf.DUMMYFUNCTION("""COMPUTED_VALUE"""),"Connecticut has reopened retail stores, malls, restaurant dining, personal care services, houses of worship, museums, zoos, casinos, movie theaters, libraries, amusement parks, bowling alleys, beaches, gyms, and offices. Nonessential medical procedures re"&amp;"sumed May 20.")</f>
        <v>Connecticut has reopened retail stores, malls, restaurant dining, personal care services, houses of worship, museums, zoos, casinos, movie theaters, libraries, amusement parks, bowling alleys, beaches, gyms, and offices. Nonessential medical procedures resumed May 20.</v>
      </c>
      <c r="F109" s="1" t="str">
        <f>IFERROR(__xludf.DUMMYFUNCTION("""COMPUTED_VALUE"""),"National Academy for State Health Policy")</f>
        <v>National Academy for State Health Policy</v>
      </c>
      <c r="G109" s="3" t="str">
        <f>IFERROR(__xludf.DUMMYFUNCTION("""COMPUTED_VALUE"""),"https://www.nashp.org/2020-state-reopening-chart/")</f>
        <v>https://www.nashp.org/2020-state-reopening-chart/</v>
      </c>
      <c r="H109" s="1"/>
      <c r="I109" s="1"/>
    </row>
    <row r="110">
      <c r="A110" s="2">
        <f>IFERROR(__xludf.DUMMYFUNCTION("""COMPUTED_VALUE"""),43983.0)</f>
        <v>43983</v>
      </c>
      <c r="B110" s="1" t="str">
        <f>IFERROR(__xludf.DUMMYFUNCTION("""COMPUTED_VALUE"""),"Connecticut")</f>
        <v>Connecticut</v>
      </c>
      <c r="C110" s="1" t="str">
        <f>IFERROR(__xludf.DUMMYFUNCTION("""COMPUTED_VALUE"""),"State Proclamations ")</f>
        <v>State Proclamations </v>
      </c>
      <c r="D110" s="1" t="str">
        <f>IFERROR(__xludf.DUMMYFUNCTION("""COMPUTED_VALUE"""),"Opening")</f>
        <v>Opening</v>
      </c>
      <c r="E110" s="1" t="str">
        <f>IFERROR(__xludf.DUMMYFUNCTION("""COMPUTED_VALUE"""),"Hair salons and barber shops reopened.")</f>
        <v>Hair salons and barber shops reopened.</v>
      </c>
      <c r="F110" s="1" t="str">
        <f>IFERROR(__xludf.DUMMYFUNCTION("""COMPUTED_VALUE"""),"National Academy for State Health Policy")</f>
        <v>National Academy for State Health Policy</v>
      </c>
      <c r="G110" s="3" t="str">
        <f>IFERROR(__xludf.DUMMYFUNCTION("""COMPUTED_VALUE"""),"https://www.nashp.org/2020-state-reopening-chart/")</f>
        <v>https://www.nashp.org/2020-state-reopening-chart/</v>
      </c>
      <c r="H110" s="1"/>
      <c r="I110" s="1"/>
    </row>
    <row r="111">
      <c r="A111" s="2">
        <f>IFERROR(__xludf.DUMMYFUNCTION("""COMPUTED_VALUE"""),44002.0)</f>
        <v>44002</v>
      </c>
      <c r="B111" s="1" t="str">
        <f>IFERROR(__xludf.DUMMYFUNCTION("""COMPUTED_VALUE"""),"Connecticut")</f>
        <v>Connecticut</v>
      </c>
      <c r="C111" s="1" t="str">
        <f>IFERROR(__xludf.DUMMYFUNCTION("""COMPUTED_VALUE"""),"State Proclamations ")</f>
        <v>State Proclamations </v>
      </c>
      <c r="D111" s="1" t="str">
        <f>IFERROR(__xludf.DUMMYFUNCTION("""COMPUTED_VALUE"""),"Opening")</f>
        <v>Opening</v>
      </c>
      <c r="E111" s="1" t="str">
        <f>IFERROR(__xludf.DUMMYFUNCTION("""COMPUTED_VALUE"""),"Gyms, hotels, personal services, indoor restaurants excluding bars, educational and community services including selected youth sports, all summer day camps, K-12 summer school could reopen.")</f>
        <v>Gyms, hotels, personal services, indoor restaurants excluding bars, educational and community services including selected youth sports, all summer day camps, K-12 summer school could reopen.</v>
      </c>
      <c r="F111" s="1" t="str">
        <f>IFERROR(__xludf.DUMMYFUNCTION("""COMPUTED_VALUE"""),"National Academy for State Health Policy")</f>
        <v>National Academy for State Health Policy</v>
      </c>
      <c r="G111" s="3" t="str">
        <f>IFERROR(__xludf.DUMMYFUNCTION("""COMPUTED_VALUE"""),"https://www.nashp.org/2020-state-reopening-chart/")</f>
        <v>https://www.nashp.org/2020-state-reopening-chart/</v>
      </c>
      <c r="H111" s="1"/>
      <c r="I111" s="1"/>
    </row>
    <row r="112">
      <c r="A112" s="2">
        <f>IFERROR(__xludf.DUMMYFUNCTION("""COMPUTED_VALUE"""),44019.0)</f>
        <v>44019</v>
      </c>
      <c r="B112" s="1" t="str">
        <f>IFERROR(__xludf.DUMMYFUNCTION("""COMPUTED_VALUE"""),"Connecticut")</f>
        <v>Connecticut</v>
      </c>
      <c r="C112" s="1" t="str">
        <f>IFERROR(__xludf.DUMMYFUNCTION("""COMPUTED_VALUE"""),"State Proclamations ")</f>
        <v>State Proclamations </v>
      </c>
      <c r="D112" s="1" t="str">
        <f>IFERROR(__xludf.DUMMYFUNCTION("""COMPUTED_VALUE"""),"Closing")</f>
        <v>Closing</v>
      </c>
      <c r="E112" s="1" t="str">
        <f>IFERROR(__xludf.DUMMYFUNCTION("""COMPUTED_VALUE"""),"In response to surging infections, the governor suspended Phase 3. Gatherings must remain limited to 25 people inside and 100 people outside, bars will remain close, and capacity limits for indoor dining at restaurants and gyms will remain at 50%. Phase 3"&amp;" was originally planned to begin July 20, but there is not a new date planned.")</f>
        <v>In response to surging infections, the governor suspended Phase 3. Gatherings must remain limited to 25 people inside and 100 people outside, bars will remain close, and capacity limits for indoor dining at restaurants and gyms will remain at 50%. Phase 3 was originally planned to begin July 20, but there is not a new date planned.</v>
      </c>
      <c r="F112" s="1" t="str">
        <f>IFERROR(__xludf.DUMMYFUNCTION("""COMPUTED_VALUE"""),"National Academy for State Health Policy")</f>
        <v>National Academy for State Health Policy</v>
      </c>
      <c r="G112" s="3" t="str">
        <f>IFERROR(__xludf.DUMMYFUNCTION("""COMPUTED_VALUE"""),"https://www.nashp.org/2020-state-reopening-chart/")</f>
        <v>https://www.nashp.org/2020-state-reopening-chart/</v>
      </c>
      <c r="H112" s="1"/>
      <c r="I112" s="1"/>
    </row>
    <row r="113">
      <c r="A113" s="2">
        <f>IFERROR(__xludf.DUMMYFUNCTION("""COMPUTED_VALUE"""),44112.0)</f>
        <v>44112</v>
      </c>
      <c r="B113" s="1" t="str">
        <f>IFERROR(__xludf.DUMMYFUNCTION("""COMPUTED_VALUE"""),"Connecticut")</f>
        <v>Connecticut</v>
      </c>
      <c r="C113" s="1" t="str">
        <f>IFERROR(__xludf.DUMMYFUNCTION("""COMPUTED_VALUE"""),"State Proclamations ")</f>
        <v>State Proclamations </v>
      </c>
      <c r="D113" s="1" t="str">
        <f>IFERROR(__xludf.DUMMYFUNCTION("""COMPUTED_VALUE"""),"Opening")</f>
        <v>Opening</v>
      </c>
      <c r="E113" s="1" t="str">
        <f>IFERROR(__xludf.DUMMYFUNCTION("""COMPUTED_VALUE"""),"The state will move into Phase 3 of reopening. Restaurants, libraries, personal services, and hair salons/barberships can increase capacity from 50% to 75%. Indoor performing arts venues can open at 50% capacity. Bars and nightclubs will remain closed.")</f>
        <v>The state will move into Phase 3 of reopening. Restaurants, libraries, personal services, and hair salons/barberships can increase capacity from 50% to 75%. Indoor performing arts venues can open at 50% capacity. Bars and nightclubs will remain closed.</v>
      </c>
      <c r="F113" s="1" t="str">
        <f>IFERROR(__xludf.DUMMYFUNCTION("""COMPUTED_VALUE"""),"National Academy for State Health Policy")</f>
        <v>National Academy for State Health Policy</v>
      </c>
      <c r="G113" s="3" t="str">
        <f>IFERROR(__xludf.DUMMYFUNCTION("""COMPUTED_VALUE"""),"https://www.nashp.org/2020-state-reopening-chart/")</f>
        <v>https://www.nashp.org/2020-state-reopening-chart/</v>
      </c>
      <c r="H113" s="1"/>
      <c r="I113" s="1"/>
    </row>
    <row r="114">
      <c r="A114" s="2">
        <f>IFERROR(__xludf.DUMMYFUNCTION("""COMPUTED_VALUE"""),44119.0)</f>
        <v>44119</v>
      </c>
      <c r="B114" s="1" t="str">
        <f>IFERROR(__xludf.DUMMYFUNCTION("""COMPUTED_VALUE"""),"Connecticut")</f>
        <v>Connecticut</v>
      </c>
      <c r="C114" s="1" t="str">
        <f>IFERROR(__xludf.DUMMYFUNCTION("""COMPUTED_VALUE"""),"State Proclamations ")</f>
        <v>State Proclamations </v>
      </c>
      <c r="D114" s="1" t="str">
        <f>IFERROR(__xludf.DUMMYFUNCTION("""COMPUTED_VALUE"""),"Opening")</f>
        <v>Opening</v>
      </c>
      <c r="E114" s="1" t="str">
        <f>IFERROR(__xludf.DUMMYFUNCTION("""COMPUTED_VALUE"""),"Towns may opt out of Phase 3 and remain in the more restrictive Phase 2 of the state’s reopening plan if they have more than 15 coronavirus cases per 100,000 people over a two-week rolling average.")</f>
        <v>Towns may opt out of Phase 3 and remain in the more restrictive Phase 2 of the state’s reopening plan if they have more than 15 coronavirus cases per 100,000 people over a two-week rolling average.</v>
      </c>
      <c r="F114" s="1" t="str">
        <f>IFERROR(__xludf.DUMMYFUNCTION("""COMPUTED_VALUE"""),"National Academy for State Health Policy")</f>
        <v>National Academy for State Health Policy</v>
      </c>
      <c r="G114" s="3" t="str">
        <f>IFERROR(__xludf.DUMMYFUNCTION("""COMPUTED_VALUE"""),"https://www.nashp.org/2020-state-reopening-chart/")</f>
        <v>https://www.nashp.org/2020-state-reopening-chart/</v>
      </c>
      <c r="H114" s="1"/>
      <c r="I114" s="1"/>
    </row>
    <row r="115">
      <c r="A115" s="2">
        <f>IFERROR(__xludf.DUMMYFUNCTION("""COMPUTED_VALUE"""),44137.0)</f>
        <v>44137</v>
      </c>
      <c r="B115" s="1" t="str">
        <f>IFERROR(__xludf.DUMMYFUNCTION("""COMPUTED_VALUE"""),"Connecticut")</f>
        <v>Connecticut</v>
      </c>
      <c r="C115" s="1" t="str">
        <f>IFERROR(__xludf.DUMMYFUNCTION("""COMPUTED_VALUE"""),"State Proclamations ")</f>
        <v>State Proclamations </v>
      </c>
      <c r="D115" s="1" t="str">
        <f>IFERROR(__xludf.DUMMYFUNCTION("""COMPUTED_VALUE"""),"Closing")</f>
        <v>Closing</v>
      </c>
      <c r="E115" s="1" t="str">
        <f>IFERROR(__xludf.DUMMYFUNCTION("""COMPUTED_VALUE"""),"Due to the nationwide resurgance in cases, the state moved back to Phase 2 from Phase 3. In ""Phase 2.1"", restaurants must limit capacity to 50% and close indoor dining by 9:30 p.m., and religious gatherings are limited to the lesser of 50% capacity or 1"&amp;"00 people.")</f>
        <v>Due to the nationwide resurgance in cases, the state moved back to Phase 2 from Phase 3. In "Phase 2.1", restaurants must limit capacity to 50% and close indoor dining by 9:30 p.m., and religious gatherings are limited to the lesser of 50% capacity or 100 people.</v>
      </c>
      <c r="F115" s="1" t="str">
        <f>IFERROR(__xludf.DUMMYFUNCTION("""COMPUTED_VALUE"""),"National Academy for State Health Policy")</f>
        <v>National Academy for State Health Policy</v>
      </c>
      <c r="G115" s="3" t="str">
        <f>IFERROR(__xludf.DUMMYFUNCTION("""COMPUTED_VALUE"""),"https://www.nashp.org/2020-state-reopening-chart/")</f>
        <v>https://www.nashp.org/2020-state-reopening-chart/</v>
      </c>
      <c r="H115" s="1"/>
      <c r="I115" s="1"/>
    </row>
    <row r="116">
      <c r="A116" s="2">
        <f>IFERROR(__xludf.DUMMYFUNCTION("""COMPUTED_VALUE"""),44140.0)</f>
        <v>44140</v>
      </c>
      <c r="B116" s="1" t="str">
        <f>IFERROR(__xludf.DUMMYFUNCTION("""COMPUTED_VALUE"""),"Connecticut")</f>
        <v>Connecticut</v>
      </c>
      <c r="C116" s="1" t="str">
        <f>IFERROR(__xludf.DUMMYFUNCTION("""COMPUTED_VALUE"""),"State Proclamations ")</f>
        <v>State Proclamations </v>
      </c>
      <c r="D116" s="1" t="str">
        <f>IFERROR(__xludf.DUMMYFUNCTION("""COMPUTED_VALUE"""),"Closing")</f>
        <v>Closing</v>
      </c>
      <c r="E116" s="1" t="str">
        <f>IFERROR(__xludf.DUMMYFUNCTION("""COMPUTED_VALUE"""),"The state issued a statewide public health advisory urging residents to limit nonessential trips outside the home between 10 p.m. and 5 a.m. At restaurants, last service for in-person dining is 9:30 p.m., though they can stay open for take-out and deliver"&amp;"y. The state is also asking residents to limit Thanksgiving celebrations to 10 people or less.")</f>
        <v>The state issued a statewide public health advisory urging residents to limit nonessential trips outside the home between 10 p.m. and 5 a.m. At restaurants, last service for in-person dining is 9:30 p.m., though they can stay open for take-out and delivery. The state is also asking residents to limit Thanksgiving celebrations to 10 people or less.</v>
      </c>
      <c r="F116" s="1" t="str">
        <f>IFERROR(__xludf.DUMMYFUNCTION("""COMPUTED_VALUE"""),"National Academy for State Health Policy")</f>
        <v>National Academy for State Health Policy</v>
      </c>
      <c r="G116" s="3" t="str">
        <f>IFERROR(__xludf.DUMMYFUNCTION("""COMPUTED_VALUE"""),"https://www.nashp.org/2020-state-reopening-chart/")</f>
        <v>https://www.nashp.org/2020-state-reopening-chart/</v>
      </c>
      <c r="H116" s="1"/>
      <c r="I116" s="1"/>
    </row>
    <row r="117">
      <c r="A117" s="2">
        <f>IFERROR(__xludf.DUMMYFUNCTION("""COMPUTED_VALUE"""),44274.0)</f>
        <v>44274</v>
      </c>
      <c r="B117" s="1" t="str">
        <f>IFERROR(__xludf.DUMMYFUNCTION("""COMPUTED_VALUE"""),"Connecticut")</f>
        <v>Connecticut</v>
      </c>
      <c r="C117" s="1" t="str">
        <f>IFERROR(__xludf.DUMMYFUNCTION("""COMPUTED_VALUE"""),"State Proclamations ")</f>
        <v>State Proclamations </v>
      </c>
      <c r="D117" s="1" t="str">
        <f>IFERROR(__xludf.DUMMYFUNCTION("""COMPUTED_VALUE"""),"Opening")</f>
        <v>Opening</v>
      </c>
      <c r="E117" s="1" t="str">
        <f>IFERROR(__xludf.DUMMYFUNCTION("""COMPUTED_VALUE"""),"Gov. Ned Lamont began lifting some restrictions. Restaurants, offices, places of worship, and personal care service businesses can operate at full capacity; social gatherings at private residences can expand to 25 people indoors or 100 outdoors; gathering"&amp;" limits for weddings and other social events can expand from 100 to 200 people; and all school sports practices and competitions will be allowed.")</f>
        <v>Gov. Ned Lamont began lifting some restrictions. Restaurants, offices, places of worship, and personal care service businesses can operate at full capacity; social gatherings at private residences can expand to 25 people indoors or 100 outdoors; gathering limits for weddings and other social events can expand from 100 to 200 people; and all school sports practices and competitions will be allowed.</v>
      </c>
      <c r="F117" s="1" t="str">
        <f>IFERROR(__xludf.DUMMYFUNCTION("""COMPUTED_VALUE"""),"National Academy for State Health Policy")</f>
        <v>National Academy for State Health Policy</v>
      </c>
      <c r="G117" s="3" t="str">
        <f>IFERROR(__xludf.DUMMYFUNCTION("""COMPUTED_VALUE"""),"https://www.nashp.org/2021-covid-19-state-restrictions-re-openings-and-mask-requirements/")</f>
        <v>https://www.nashp.org/2021-covid-19-state-restrictions-re-openings-and-mask-requirements/</v>
      </c>
      <c r="H117" s="1"/>
      <c r="I117" s="1"/>
    </row>
    <row r="118">
      <c r="A118" s="2">
        <f>IFERROR(__xludf.DUMMYFUNCTION("""COMPUTED_VALUE"""),44284.0)</f>
        <v>44284</v>
      </c>
      <c r="B118" s="1" t="str">
        <f>IFERROR(__xludf.DUMMYFUNCTION("""COMPUTED_VALUE"""),"Connecticut")</f>
        <v>Connecticut</v>
      </c>
      <c r="C118" s="1" t="str">
        <f>IFERROR(__xludf.DUMMYFUNCTION("""COMPUTED_VALUE"""),"State Proclamations ")</f>
        <v>State Proclamations </v>
      </c>
      <c r="D118" s="1" t="str">
        <f>IFERROR(__xludf.DUMMYFUNCTION("""COMPUTED_VALUE"""),"Opening")</f>
        <v>Opening</v>
      </c>
      <c r="E118" s="1" t="str">
        <f>IFERROR(__xludf.DUMMYFUNCTION("""COMPUTED_VALUE"""),"The limit on early childhood classes can increase from 16 to 20 individuals")</f>
        <v>The limit on early childhood classes can increase from 16 to 20 individuals</v>
      </c>
      <c r="F118" s="1" t="str">
        <f>IFERROR(__xludf.DUMMYFUNCTION("""COMPUTED_VALUE"""),"National Academy for State Health Policy")</f>
        <v>National Academy for State Health Policy</v>
      </c>
      <c r="G118" s="3" t="str">
        <f>IFERROR(__xludf.DUMMYFUNCTION("""COMPUTED_VALUE"""),"https://www.nashp.org/2021-covid-19-state-restrictions-re-openings-and-mask-requirements/")</f>
        <v>https://www.nashp.org/2021-covid-19-state-restrictions-re-openings-and-mask-requirements/</v>
      </c>
      <c r="H118" s="1"/>
      <c r="I118" s="1"/>
    </row>
    <row r="119">
      <c r="A119" s="2">
        <f>IFERROR(__xludf.DUMMYFUNCTION("""COMPUTED_VALUE"""),44288.0)</f>
        <v>44288</v>
      </c>
      <c r="B119" s="1" t="str">
        <f>IFERROR(__xludf.DUMMYFUNCTION("""COMPUTED_VALUE"""),"Connecticut")</f>
        <v>Connecticut</v>
      </c>
      <c r="C119" s="1" t="str">
        <f>IFERROR(__xludf.DUMMYFUNCTION("""COMPUTED_VALUE"""),"State Proclamations ")</f>
        <v>State Proclamations </v>
      </c>
      <c r="D119" s="1" t="str">
        <f>IFERROR(__xludf.DUMMYFUNCTION("""COMPUTED_VALUE"""),"Opening")</f>
        <v>Opening</v>
      </c>
      <c r="E119" s="1" t="str">
        <f>IFERROR(__xludf.DUMMYFUNCTION("""COMPUTED_VALUE"""),"Outdoor amusement parks can reopen, outdoor event venues can operate at the lesser of 50% capacity or 10,000 individuals, and indoor stadiums can reopen at 10% capacity.")</f>
        <v>Outdoor amusement parks can reopen, outdoor event venues can operate at the lesser of 50% capacity or 10,000 individuals, and indoor stadiums can reopen at 10% capacity.</v>
      </c>
      <c r="F119" s="1" t="str">
        <f>IFERROR(__xludf.DUMMYFUNCTION("""COMPUTED_VALUE"""),"National Academy for State Health Policy")</f>
        <v>National Academy for State Health Policy</v>
      </c>
      <c r="G119" s="3" t="str">
        <f>IFERROR(__xludf.DUMMYFUNCTION("""COMPUTED_VALUE"""),"https://www.nashp.org/2021-covid-19-state-restrictions-re-openings-and-mask-requirements/")</f>
        <v>https://www.nashp.org/2021-covid-19-state-restrictions-re-openings-and-mask-requirements/</v>
      </c>
      <c r="H119" s="1"/>
      <c r="I119" s="1"/>
    </row>
    <row r="120">
      <c r="A120" s="2">
        <f>IFERROR(__xludf.DUMMYFUNCTION("""COMPUTED_VALUE"""),44317.0)</f>
        <v>44317</v>
      </c>
      <c r="B120" s="1" t="str">
        <f>IFERROR(__xludf.DUMMYFUNCTION("""COMPUTED_VALUE"""),"Connecticut")</f>
        <v>Connecticut</v>
      </c>
      <c r="C120" s="1" t="str">
        <f>IFERROR(__xludf.DUMMYFUNCTION("""COMPUTED_VALUE"""),"State Proclamations ")</f>
        <v>State Proclamations </v>
      </c>
      <c r="D120" s="1" t="str">
        <f>IFERROR(__xludf.DUMMYFUNCTION("""COMPUTED_VALUE"""),"Opening")</f>
        <v>Opening</v>
      </c>
      <c r="E120" s="1" t="str">
        <f>IFERROR(__xludf.DUMMYFUNCTION("""COMPUTED_VALUE"""),"The seating limit of eight people per table will end and alcohol sales without food will be permitted outside. Indoor and outdoor businesses can stay open until midnight.")</f>
        <v>The seating limit of eight people per table will end and alcohol sales without food will be permitted outside. Indoor and outdoor businesses can stay open until midnight.</v>
      </c>
      <c r="F120" s="1" t="str">
        <f>IFERROR(__xludf.DUMMYFUNCTION("""COMPUTED_VALUE"""),"National Academy for State Health Policy")</f>
        <v>National Academy for State Health Policy</v>
      </c>
      <c r="G120" s="3" t="str">
        <f>IFERROR(__xludf.DUMMYFUNCTION("""COMPUTED_VALUE"""),"https://www.nashp.org/2021-covid-19-state-restrictions-re-openings-and-mask-requirements/")</f>
        <v>https://www.nashp.org/2021-covid-19-state-restrictions-re-openings-and-mask-requirements/</v>
      </c>
      <c r="H120" s="1"/>
      <c r="I120" s="1"/>
    </row>
    <row r="121">
      <c r="A121" s="2">
        <f>IFERROR(__xludf.DUMMYFUNCTION("""COMPUTED_VALUE"""),44335.0)</f>
        <v>44335</v>
      </c>
      <c r="B121" s="1" t="str">
        <f>IFERROR(__xludf.DUMMYFUNCTION("""COMPUTED_VALUE"""),"Connecticut")</f>
        <v>Connecticut</v>
      </c>
      <c r="C121" s="1" t="str">
        <f>IFERROR(__xludf.DUMMYFUNCTION("""COMPUTED_VALUE"""),"Mask Mandate")</f>
        <v>Mask Mandate</v>
      </c>
      <c r="D121" s="1" t="str">
        <f>IFERROR(__xludf.DUMMYFUNCTION("""COMPUTED_VALUE"""),"End")</f>
        <v>End</v>
      </c>
      <c r="E121" s="1" t="str">
        <f>IFERROR(__xludf.DUMMYFUNCTION("""COMPUTED_VALUE"""),"On May 19, fully vaccinated people do not have to wear masks in most public settings")</f>
        <v>On May 19, fully vaccinated people do not have to wear masks in most public settings</v>
      </c>
      <c r="F121" s="1" t="str">
        <f>IFERROR(__xludf.DUMMYFUNCTION("""COMPUTED_VALUE"""),"National Academy for State Health Policy")</f>
        <v>National Academy for State Health Policy</v>
      </c>
      <c r="G121" s="3" t="str">
        <f>IFERROR(__xludf.DUMMYFUNCTION("""COMPUTED_VALUE"""),"https://www.nashp.org/2021-covid-19-state-restrictions-re-openings-and-mask-requirements/")</f>
        <v>https://www.nashp.org/2021-covid-19-state-restrictions-re-openings-and-mask-requirements/</v>
      </c>
      <c r="H121" s="1"/>
      <c r="I121" s="1"/>
    </row>
    <row r="122">
      <c r="A122" s="2">
        <f>IFERROR(__xludf.DUMMYFUNCTION("""COMPUTED_VALUE"""),44335.0)</f>
        <v>44335</v>
      </c>
      <c r="B122" s="1" t="str">
        <f>IFERROR(__xludf.DUMMYFUNCTION("""COMPUTED_VALUE"""),"Connecticut")</f>
        <v>Connecticut</v>
      </c>
      <c r="C122" s="1" t="str">
        <f>IFERROR(__xludf.DUMMYFUNCTION("""COMPUTED_VALUE"""),"State Proclamations ")</f>
        <v>State Proclamations </v>
      </c>
      <c r="D122" s="1" t="str">
        <f>IFERROR(__xludf.DUMMYFUNCTION("""COMPUTED_VALUE"""),"Opening")</f>
        <v>Opening</v>
      </c>
      <c r="E122" s="1" t="str">
        <f>IFERROR(__xludf.DUMMYFUNCTION("""COMPUTED_VALUE"""),"All restrictions on businesses and outdoor gatherings will end")</f>
        <v>All restrictions on businesses and outdoor gatherings will end</v>
      </c>
      <c r="F122" s="1" t="str">
        <f>IFERROR(__xludf.DUMMYFUNCTION("""COMPUTED_VALUE"""),"National Academy for State Health Policy")</f>
        <v>National Academy for State Health Policy</v>
      </c>
      <c r="G122" s="3" t="str">
        <f>IFERROR(__xludf.DUMMYFUNCTION("""COMPUTED_VALUE"""),"https://www.nashp.org/2021-covid-19-state-restrictions-re-openings-and-mask-requirements/")</f>
        <v>https://www.nashp.org/2021-covid-19-state-restrictions-re-openings-and-mask-requirements/</v>
      </c>
      <c r="H122" s="1"/>
      <c r="I122" s="1"/>
    </row>
    <row r="123">
      <c r="A123" s="2">
        <f>IFERROR(__xludf.DUMMYFUNCTION("""COMPUTED_VALUE"""),43902.0)</f>
        <v>43902</v>
      </c>
      <c r="B123" s="1" t="str">
        <f>IFERROR(__xludf.DUMMYFUNCTION("""COMPUTED_VALUE"""),"Delaware")</f>
        <v>Delaware</v>
      </c>
      <c r="C123" s="1" t="str">
        <f>IFERROR(__xludf.DUMMYFUNCTION("""COMPUTED_VALUE"""),"State of Emergency")</f>
        <v>State of Emergency</v>
      </c>
      <c r="D123" s="1" t="str">
        <f>IFERROR(__xludf.DUMMYFUNCTION("""COMPUTED_VALUE"""),"Start")</f>
        <v>Start</v>
      </c>
      <c r="E123" s="1" t="str">
        <f>IFERROR(__xludf.DUMMYFUNCTION("""COMPUTED_VALUE"""),"Gov. John Carney declared a state of emergency on March 12.")</f>
        <v>Gov. John Carney declared a state of emergency on March 12.</v>
      </c>
      <c r="F123" s="1" t="str">
        <f>IFERROR(__xludf.DUMMYFUNCTION("""COMPUTED_VALUE"""),"Business Insider")</f>
        <v>Business Insider</v>
      </c>
      <c r="G123" s="3" t="str">
        <f>IFERROR(__xludf.DUMMYFUNCTION("""COMPUTED_VALUE"""),"https://www.businessinsider.com/california-washington-state-of-emergency-coronavirus-what-it-means-2020-3#delaware-23")</f>
        <v>https://www.businessinsider.com/california-washington-state-of-emergency-coronavirus-what-it-means-2020-3#delaware-23</v>
      </c>
      <c r="H123" s="1"/>
      <c r="I123" s="1"/>
    </row>
    <row r="124">
      <c r="A124" s="2">
        <f>IFERROR(__xludf.DUMMYFUNCTION("""COMPUTED_VALUE"""),43914.0)</f>
        <v>43914</v>
      </c>
      <c r="B124" s="1" t="str">
        <f>IFERROR(__xludf.DUMMYFUNCTION("""COMPUTED_VALUE"""),"Delaware")</f>
        <v>Delaware</v>
      </c>
      <c r="C124" s="1" t="str">
        <f>IFERROR(__xludf.DUMMYFUNCTION("""COMPUTED_VALUE"""),"Stay-at-Home Order")</f>
        <v>Stay-at-Home Order</v>
      </c>
      <c r="D124" s="1" t="str">
        <f>IFERROR(__xludf.DUMMYFUNCTION("""COMPUTED_VALUE"""),"Start")</f>
        <v>Start</v>
      </c>
      <c r="E124" s="1" t="str">
        <f>IFERROR(__xludf.DUMMYFUNCTION("""COMPUTED_VALUE"""),"Original stay-at-home order begins")</f>
        <v>Original stay-at-home order begins</v>
      </c>
      <c r="F124" s="1" t="str">
        <f>IFERROR(__xludf.DUMMYFUNCTION("""COMPUTED_VALUE"""),"National Academy for State Health Policy")</f>
        <v>National Academy for State Health Policy</v>
      </c>
      <c r="G124" s="3" t="str">
        <f>IFERROR(__xludf.DUMMYFUNCTION("""COMPUTED_VALUE"""),"https://www.nashp.org/2020-state-reopening-chart/")</f>
        <v>https://www.nashp.org/2020-state-reopening-chart/</v>
      </c>
      <c r="H124" s="1"/>
      <c r="I124" s="1"/>
    </row>
    <row r="125">
      <c r="A125" s="2">
        <f>IFERROR(__xludf.DUMMYFUNCTION("""COMPUTED_VALUE"""),43952.0)</f>
        <v>43952</v>
      </c>
      <c r="B125" s="1" t="str">
        <f>IFERROR(__xludf.DUMMYFUNCTION("""COMPUTED_VALUE"""),"Delaware")</f>
        <v>Delaware</v>
      </c>
      <c r="C125" s="1" t="str">
        <f>IFERROR(__xludf.DUMMYFUNCTION("""COMPUTED_VALUE"""),"Mask Mandate")</f>
        <v>Mask Mandate</v>
      </c>
      <c r="D125" s="1" t="str">
        <f>IFERROR(__xludf.DUMMYFUNCTION("""COMPUTED_VALUE"""),"Start")</f>
        <v>Start</v>
      </c>
      <c r="E125" s="1" t="str">
        <f>IFERROR(__xludf.DUMMYFUNCTION("""COMPUTED_VALUE"""),"Gov. John Carney ordered residents to wear face masks while in public, including at grocery and convenience stores, pharmacies, doctor's offices and on public transportation.")</f>
        <v>Gov. John Carney ordered residents to wear face masks while in public, including at grocery and convenience stores, pharmacies, doctor's offices and on public transportation.</v>
      </c>
      <c r="F125" s="1" t="str">
        <f>IFERROR(__xludf.DUMMYFUNCTION("""COMPUTED_VALUE"""),"CNN")</f>
        <v>CNN</v>
      </c>
      <c r="G125" s="3" t="str">
        <f>IFERROR(__xludf.DUMMYFUNCTION("""COMPUTED_VALUE"""),"https://www.cnn.com/2020/06/19/us/states-face-mask-coronavirus-trnd/index.html")</f>
        <v>https://www.cnn.com/2020/06/19/us/states-face-mask-coronavirus-trnd/index.html</v>
      </c>
      <c r="H125" s="1"/>
      <c r="I125" s="1"/>
    </row>
    <row r="126">
      <c r="A126" s="2">
        <f>IFERROR(__xludf.DUMMYFUNCTION("""COMPUTED_VALUE"""),43982.0)</f>
        <v>43982</v>
      </c>
      <c r="B126" s="1" t="str">
        <f>IFERROR(__xludf.DUMMYFUNCTION("""COMPUTED_VALUE"""),"Delaware")</f>
        <v>Delaware</v>
      </c>
      <c r="C126" s="1" t="str">
        <f>IFERROR(__xludf.DUMMYFUNCTION("""COMPUTED_VALUE"""),"State Proclamations ")</f>
        <v>State Proclamations </v>
      </c>
      <c r="D126" s="1" t="str">
        <f>IFERROR(__xludf.DUMMYFUNCTION("""COMPUTED_VALUE"""),"Opening")</f>
        <v>Opening</v>
      </c>
      <c r="E126" s="1" t="str">
        <f>IFERROR(__xludf.DUMMYFUNCTION("""COMPUTED_VALUE"""),"Delaware has reopened retail stores, malls, farmers’ markets, personal care services, restaurants, breweries, bars, houses of worship, museums, libraries, casinos, beaches, gyms, pools, and campgrounds. Nonessential medical procedures resumed May 19.")</f>
        <v>Delaware has reopened retail stores, malls, farmers’ markets, personal care services, restaurants, breweries, bars, houses of worship, museums, libraries, casinos, beaches, gyms, pools, and campgrounds. Nonessential medical procedures resumed May 19.</v>
      </c>
      <c r="F126" s="1" t="str">
        <f>IFERROR(__xludf.DUMMYFUNCTION("""COMPUTED_VALUE"""),"National Academy for State Health Policy")</f>
        <v>National Academy for State Health Policy</v>
      </c>
      <c r="G126" s="3" t="str">
        <f>IFERROR(__xludf.DUMMYFUNCTION("""COMPUTED_VALUE"""),"https://www.nashp.org/2020-state-reopening-chart/")</f>
        <v>https://www.nashp.org/2020-state-reopening-chart/</v>
      </c>
      <c r="H126" s="1"/>
      <c r="I126" s="1"/>
    </row>
    <row r="127">
      <c r="A127" s="2">
        <f>IFERROR(__xludf.DUMMYFUNCTION("""COMPUTED_VALUE"""),43982.0)</f>
        <v>43982</v>
      </c>
      <c r="B127" s="1" t="str">
        <f>IFERROR(__xludf.DUMMYFUNCTION("""COMPUTED_VALUE"""),"Delaware")</f>
        <v>Delaware</v>
      </c>
      <c r="C127" s="1" t="str">
        <f>IFERROR(__xludf.DUMMYFUNCTION("""COMPUTED_VALUE"""),"Stay-at-Home Order")</f>
        <v>Stay-at-Home Order</v>
      </c>
      <c r="D127" s="1" t="str">
        <f>IFERROR(__xludf.DUMMYFUNCTION("""COMPUTED_VALUE"""),"End")</f>
        <v>End</v>
      </c>
      <c r="E127" s="1" t="str">
        <f>IFERROR(__xludf.DUMMYFUNCTION("""COMPUTED_VALUE"""),"Original stay-at-home order ends")</f>
        <v>Original stay-at-home order ends</v>
      </c>
      <c r="F127" s="1" t="str">
        <f>IFERROR(__xludf.DUMMYFUNCTION("""COMPUTED_VALUE"""),"National Academy for State Health Policy")</f>
        <v>National Academy for State Health Policy</v>
      </c>
      <c r="G127" s="3" t="str">
        <f>IFERROR(__xludf.DUMMYFUNCTION("""COMPUTED_VALUE"""),"https://www.nashp.org/2020-state-reopening-chart/")</f>
        <v>https://www.nashp.org/2020-state-reopening-chart/</v>
      </c>
      <c r="H127" s="1"/>
      <c r="I127" s="1"/>
    </row>
    <row r="128">
      <c r="A128" s="2">
        <f>IFERROR(__xludf.DUMMYFUNCTION("""COMPUTED_VALUE"""),43983.0)</f>
        <v>43983</v>
      </c>
      <c r="B128" s="1" t="str">
        <f>IFERROR(__xludf.DUMMYFUNCTION("""COMPUTED_VALUE"""),"Delaware")</f>
        <v>Delaware</v>
      </c>
      <c r="C128" s="1" t="str">
        <f>IFERROR(__xludf.DUMMYFUNCTION("""COMPUTED_VALUE"""),"State Proclamations ")</f>
        <v>State Proclamations </v>
      </c>
      <c r="D128" s="1" t="str">
        <f>IFERROR(__xludf.DUMMYFUNCTION("""COMPUTED_VALUE"""),"Opening")</f>
        <v>Opening</v>
      </c>
      <c r="E128" s="1" t="str">
        <f>IFERROR(__xludf.DUMMYFUNCTION("""COMPUTED_VALUE"""),"Restaurants, retail establishments, malls, exercise facilities, hair salons, barber shops, and casinos reopened at 30% capacity. Houses of worship reopened with a 10-person limit.")</f>
        <v>Restaurants, retail establishments, malls, exercise facilities, hair salons, barber shops, and casinos reopened at 30% capacity. Houses of worship reopened with a 10-person limit.</v>
      </c>
      <c r="F128" s="1" t="str">
        <f>IFERROR(__xludf.DUMMYFUNCTION("""COMPUTED_VALUE"""),"National Academy for State Health Policy")</f>
        <v>National Academy for State Health Policy</v>
      </c>
      <c r="G128" s="3" t="str">
        <f>IFERROR(__xludf.DUMMYFUNCTION("""COMPUTED_VALUE"""),"https://www.nashp.org/2020-state-reopening-chart/")</f>
        <v>https://www.nashp.org/2020-state-reopening-chart/</v>
      </c>
      <c r="H128" s="1"/>
      <c r="I128" s="1"/>
    </row>
    <row r="129">
      <c r="A129" s="2">
        <f>IFERROR(__xludf.DUMMYFUNCTION("""COMPUTED_VALUE"""),43997.0)</f>
        <v>43997</v>
      </c>
      <c r="B129" s="1" t="str">
        <f>IFERROR(__xludf.DUMMYFUNCTION("""COMPUTED_VALUE"""),"Delaware")</f>
        <v>Delaware</v>
      </c>
      <c r="C129" s="1" t="str">
        <f>IFERROR(__xludf.DUMMYFUNCTION("""COMPUTED_VALUE"""),"State Proclamations ")</f>
        <v>State Proclamations </v>
      </c>
      <c r="D129" s="1" t="str">
        <f>IFERROR(__xludf.DUMMYFUNCTION("""COMPUTED_VALUE"""),"Opening")</f>
        <v>Opening</v>
      </c>
      <c r="E129" s="1" t="str">
        <f>IFERROR(__xludf.DUMMYFUNCTION("""COMPUTED_VALUE"""),"Retail establishments, restaurants, and other businesses could increase capacity to 60%.")</f>
        <v>Retail establishments, restaurants, and other businesses could increase capacity to 60%.</v>
      </c>
      <c r="F129" s="1" t="str">
        <f>IFERROR(__xludf.DUMMYFUNCTION("""COMPUTED_VALUE"""),"National Academy for State Health Policy")</f>
        <v>National Academy for State Health Policy</v>
      </c>
      <c r="G129" s="3" t="str">
        <f>IFERROR(__xludf.DUMMYFUNCTION("""COMPUTED_VALUE"""),"https://www.nashp.org/2020-state-reopening-chart/")</f>
        <v>https://www.nashp.org/2020-state-reopening-chart/</v>
      </c>
      <c r="H129" s="1"/>
      <c r="I129" s="1"/>
    </row>
    <row r="130">
      <c r="A130" s="2">
        <f>IFERROR(__xludf.DUMMYFUNCTION("""COMPUTED_VALUE"""),44007.0)</f>
        <v>44007</v>
      </c>
      <c r="B130" s="1" t="str">
        <f>IFERROR(__xludf.DUMMYFUNCTION("""COMPUTED_VALUE"""),"Delaware")</f>
        <v>Delaware</v>
      </c>
      <c r="C130" s="1" t="str">
        <f>IFERROR(__xludf.DUMMYFUNCTION("""COMPUTED_VALUE"""),"State Proclamations ")</f>
        <v>State Proclamations </v>
      </c>
      <c r="D130" s="1" t="str">
        <f>IFERROR(__xludf.DUMMYFUNCTION("""COMPUTED_VALUE"""),"Closing")</f>
        <v>Closing</v>
      </c>
      <c r="E130" s="1" t="str">
        <f>IFERROR(__xludf.DUMMYFUNCTION("""COMPUTED_VALUE"""),"Due to an increase in cases, the governor froze the state’s reopening plan. Phase 3, which was supposed to start July 29, has been delayed.")</f>
        <v>Due to an increase in cases, the governor froze the state’s reopening plan. Phase 3, which was supposed to start July 29, has been delayed.</v>
      </c>
      <c r="F130" s="1" t="str">
        <f>IFERROR(__xludf.DUMMYFUNCTION("""COMPUTED_VALUE"""),"National Academy for State Health Policy")</f>
        <v>National Academy for State Health Policy</v>
      </c>
      <c r="G130" s="3" t="str">
        <f>IFERROR(__xludf.DUMMYFUNCTION("""COMPUTED_VALUE"""),"https://www.nashp.org/2020-state-reopening-chart/")</f>
        <v>https://www.nashp.org/2020-state-reopening-chart/</v>
      </c>
      <c r="H130" s="1"/>
      <c r="I130" s="1"/>
    </row>
    <row r="131">
      <c r="A131" s="2">
        <f>IFERROR(__xludf.DUMMYFUNCTION("""COMPUTED_VALUE"""),44048.0)</f>
        <v>44048</v>
      </c>
      <c r="B131" s="1" t="str">
        <f>IFERROR(__xludf.DUMMYFUNCTION("""COMPUTED_VALUE"""),"Delaware")</f>
        <v>Delaware</v>
      </c>
      <c r="C131" s="1" t="str">
        <f>IFERROR(__xludf.DUMMYFUNCTION("""COMPUTED_VALUE"""),"State Proclamations ")</f>
        <v>State Proclamations </v>
      </c>
      <c r="D131" s="1" t="str">
        <f>IFERROR(__xludf.DUMMYFUNCTION("""COMPUTED_VALUE"""),"Closing")</f>
        <v>Closing</v>
      </c>
      <c r="E131" s="1" t="str">
        <f>IFERROR(__xludf.DUMMYFUNCTION("""COMPUTED_VALUE"""),"The governor announced a fifth extension of the state of emergency.")</f>
        <v>The governor announced a fifth extension of the state of emergency.</v>
      </c>
      <c r="F131" s="1" t="str">
        <f>IFERROR(__xludf.DUMMYFUNCTION("""COMPUTED_VALUE"""),"National Academy for State Health Policy")</f>
        <v>National Academy for State Health Policy</v>
      </c>
      <c r="G131" s="3" t="str">
        <f>IFERROR(__xludf.DUMMYFUNCTION("""COMPUTED_VALUE"""),"https://www.nashp.org/2020-state-reopening-chart/")</f>
        <v>https://www.nashp.org/2020-state-reopening-chart/</v>
      </c>
      <c r="H131" s="1"/>
      <c r="I131" s="1"/>
    </row>
    <row r="132">
      <c r="A132" s="2">
        <f>IFERROR(__xludf.DUMMYFUNCTION("""COMPUTED_VALUE"""),44078.0)</f>
        <v>44078</v>
      </c>
      <c r="B132" s="1" t="str">
        <f>IFERROR(__xludf.DUMMYFUNCTION("""COMPUTED_VALUE"""),"Delaware")</f>
        <v>Delaware</v>
      </c>
      <c r="C132" s="1" t="str">
        <f>IFERROR(__xludf.DUMMYFUNCTION("""COMPUTED_VALUE"""),"State Proclamations ")</f>
        <v>State Proclamations </v>
      </c>
      <c r="D132" s="1" t="str">
        <f>IFERROR(__xludf.DUMMYFUNCTION("""COMPUTED_VALUE"""),"Closing")</f>
        <v>Closing</v>
      </c>
      <c r="E132" s="1" t="str">
        <f>IFERROR(__xludf.DUMMYFUNCTION("""COMPUTED_VALUE"""),"The governor announced a sixth extension of the state of emergency, set to last indefinitely.")</f>
        <v>The governor announced a sixth extension of the state of emergency, set to last indefinitely.</v>
      </c>
      <c r="F132" s="1" t="str">
        <f>IFERROR(__xludf.DUMMYFUNCTION("""COMPUTED_VALUE"""),"National Academy for State Health Policy")</f>
        <v>National Academy for State Health Policy</v>
      </c>
      <c r="G132" s="3" t="str">
        <f>IFERROR(__xludf.DUMMYFUNCTION("""COMPUTED_VALUE"""),"https://www.nashp.org/2020-state-reopening-chart/")</f>
        <v>https://www.nashp.org/2020-state-reopening-chart/</v>
      </c>
      <c r="H132" s="1"/>
      <c r="I132" s="1"/>
    </row>
    <row r="133">
      <c r="A133" s="2">
        <f>IFERROR(__xludf.DUMMYFUNCTION("""COMPUTED_VALUE"""),44131.0)</f>
        <v>44131</v>
      </c>
      <c r="B133" s="1" t="str">
        <f>IFERROR(__xludf.DUMMYFUNCTION("""COMPUTED_VALUE"""),"Delaware")</f>
        <v>Delaware</v>
      </c>
      <c r="C133" s="1" t="str">
        <f>IFERROR(__xludf.DUMMYFUNCTION("""COMPUTED_VALUE"""),"State Proclamations ")</f>
        <v>State Proclamations </v>
      </c>
      <c r="D133" s="1" t="str">
        <f>IFERROR(__xludf.DUMMYFUNCTION("""COMPUTED_VALUE"""),"Closing")</f>
        <v>Closing</v>
      </c>
      <c r="E133" s="1" t="str">
        <f>IFERROR(__xludf.DUMMYFUNCTION("""COMPUTED_VALUE"""),"The governor announced a seventh extension of the state of emergency for 30 days.")</f>
        <v>The governor announced a seventh extension of the state of emergency for 30 days.</v>
      </c>
      <c r="F133" s="1" t="str">
        <f>IFERROR(__xludf.DUMMYFUNCTION("""COMPUTED_VALUE"""),"National Academy for State Health Policy")</f>
        <v>National Academy for State Health Policy</v>
      </c>
      <c r="G133" s="3" t="str">
        <f>IFERROR(__xludf.DUMMYFUNCTION("""COMPUTED_VALUE"""),"https://www.nashp.org/2020-state-reopening-chart/")</f>
        <v>https://www.nashp.org/2020-state-reopening-chart/</v>
      </c>
      <c r="H133" s="1"/>
      <c r="I133" s="1"/>
    </row>
    <row r="134">
      <c r="A134" s="2">
        <f>IFERROR(__xludf.DUMMYFUNCTION("""COMPUTED_VALUE"""),44141.0)</f>
        <v>44141</v>
      </c>
      <c r="B134" s="1" t="str">
        <f>IFERROR(__xludf.DUMMYFUNCTION("""COMPUTED_VALUE"""),"Delaware")</f>
        <v>Delaware</v>
      </c>
      <c r="C134" s="1" t="str">
        <f>IFERROR(__xludf.DUMMYFUNCTION("""COMPUTED_VALUE"""),"State Proclamations ")</f>
        <v>State Proclamations </v>
      </c>
      <c r="D134" s="1" t="str">
        <f>IFERROR(__xludf.DUMMYFUNCTION("""COMPUTED_VALUE"""),"Opening")</f>
        <v>Opening</v>
      </c>
      <c r="E134" s="1" t="str">
        <f>IFERROR(__xludf.DUMMYFUNCTION("""COMPUTED_VALUE"""),"The governor lifted restrictions on bars previously placed in beach counties.")</f>
        <v>The governor lifted restrictions on bars previously placed in beach counties.</v>
      </c>
      <c r="F134" s="1" t="str">
        <f>IFERROR(__xludf.DUMMYFUNCTION("""COMPUTED_VALUE"""),"National Academy for State Health Policy")</f>
        <v>National Academy for State Health Policy</v>
      </c>
      <c r="G134" s="3" t="str">
        <f>IFERROR(__xludf.DUMMYFUNCTION("""COMPUTED_VALUE"""),"https://www.nashp.org/2020-state-reopening-chart/")</f>
        <v>https://www.nashp.org/2020-state-reopening-chart/</v>
      </c>
      <c r="H134" s="1"/>
      <c r="I134" s="1"/>
    </row>
    <row r="135">
      <c r="A135" s="2">
        <f>IFERROR(__xludf.DUMMYFUNCTION("""COMPUTED_VALUE"""),44158.0)</f>
        <v>44158</v>
      </c>
      <c r="B135" s="1" t="str">
        <f>IFERROR(__xludf.DUMMYFUNCTION("""COMPUTED_VALUE"""),"Delaware")</f>
        <v>Delaware</v>
      </c>
      <c r="C135" s="1" t="str">
        <f>IFERROR(__xludf.DUMMYFUNCTION("""COMPUTED_VALUE"""),"State Proclamations ")</f>
        <v>State Proclamations </v>
      </c>
      <c r="D135" s="1" t="str">
        <f>IFERROR(__xludf.DUMMYFUNCTION("""COMPUTED_VALUE"""),"Closing")</f>
        <v>Closing</v>
      </c>
      <c r="E135" s="1" t="str">
        <f>IFERROR(__xludf.DUMMYFUNCTION("""COMPUTED_VALUE"""),"The governor limited indoor gatherings to 10 people and outdoor gatherings to 50 people. He also reduced indoor dining capacity to 30%.")</f>
        <v>The governor limited indoor gatherings to 10 people and outdoor gatherings to 50 people. He also reduced indoor dining capacity to 30%.</v>
      </c>
      <c r="F135" s="1" t="str">
        <f>IFERROR(__xludf.DUMMYFUNCTION("""COMPUTED_VALUE"""),"National Academy for State Health Policy")</f>
        <v>National Academy for State Health Policy</v>
      </c>
      <c r="G135" s="3" t="str">
        <f>IFERROR(__xludf.DUMMYFUNCTION("""COMPUTED_VALUE"""),"https://www.nashp.org/2020-state-reopening-chart/")</f>
        <v>https://www.nashp.org/2020-state-reopening-chart/</v>
      </c>
      <c r="H135" s="1"/>
      <c r="I135" s="1"/>
    </row>
    <row r="136">
      <c r="A136" s="2">
        <f>IFERROR(__xludf.DUMMYFUNCTION("""COMPUTED_VALUE"""),44165.0)</f>
        <v>44165</v>
      </c>
      <c r="B136" s="1" t="str">
        <f>IFERROR(__xludf.DUMMYFUNCTION("""COMPUTED_VALUE"""),"Delaware")</f>
        <v>Delaware</v>
      </c>
      <c r="C136" s="1" t="str">
        <f>IFERROR(__xludf.DUMMYFUNCTION("""COMPUTED_VALUE"""),"State Proclamations ")</f>
        <v>State Proclamations </v>
      </c>
      <c r="D136" s="1" t="str">
        <f>IFERROR(__xludf.DUMMYFUNCTION("""COMPUTED_VALUE"""),"Closing")</f>
        <v>Closing</v>
      </c>
      <c r="E136" s="1" t="str">
        <f>IFERROR(__xludf.DUMMYFUNCTION("""COMPUTED_VALUE"""),"The governor extended the emergency order for 30 days.")</f>
        <v>The governor extended the emergency order for 30 days.</v>
      </c>
      <c r="F136" s="1" t="str">
        <f>IFERROR(__xludf.DUMMYFUNCTION("""COMPUTED_VALUE"""),"National Academy for State Health Policy")</f>
        <v>National Academy for State Health Policy</v>
      </c>
      <c r="G136" s="3" t="str">
        <f>IFERROR(__xludf.DUMMYFUNCTION("""COMPUTED_VALUE"""),"https://www.nashp.org/2020-state-reopening-chart/")</f>
        <v>https://www.nashp.org/2020-state-reopening-chart/</v>
      </c>
      <c r="H136" s="1"/>
      <c r="I136" s="1"/>
    </row>
    <row r="137">
      <c r="A137" s="2">
        <f>IFERROR(__xludf.DUMMYFUNCTION("""COMPUTED_VALUE"""),44169.0)</f>
        <v>44169</v>
      </c>
      <c r="B137" s="1" t="str">
        <f>IFERROR(__xludf.DUMMYFUNCTION("""COMPUTED_VALUE"""),"Delaware")</f>
        <v>Delaware</v>
      </c>
      <c r="C137" s="1" t="str">
        <f>IFERROR(__xludf.DUMMYFUNCTION("""COMPUTED_VALUE"""),"State Proclamations ")</f>
        <v>State Proclamations </v>
      </c>
      <c r="D137" s="1" t="str">
        <f>IFERROR(__xludf.DUMMYFUNCTION("""COMPUTED_VALUE"""),"Closing")</f>
        <v>Closing</v>
      </c>
      <c r="E137" s="1" t="str">
        <f>IFERROR(__xludf.DUMMYFUNCTION("""COMPUTED_VALUE"""),"The governor announced a stay-at-home advisory that encourages residents to avoid all non-workplace gatherings with individuals outside of a person’s household between Dec. 14, 2020, and Jan. 11, 2021. The governor also recommended schools pause in-person"&amp;" learning for the same period.")</f>
        <v>The governor announced a stay-at-home advisory that encourages residents to avoid all non-workplace gatherings with individuals outside of a person’s household between Dec. 14, 2020, and Jan. 11, 2021. The governor also recommended schools pause in-person learning for the same period.</v>
      </c>
      <c r="F137" s="1" t="str">
        <f>IFERROR(__xludf.DUMMYFUNCTION("""COMPUTED_VALUE"""),"National Academy for State Health Policy")</f>
        <v>National Academy for State Health Policy</v>
      </c>
      <c r="G137" s="3" t="str">
        <f>IFERROR(__xludf.DUMMYFUNCTION("""COMPUTED_VALUE"""),"https://www.nashp.org/2020-state-reopening-chart/")</f>
        <v>https://www.nashp.org/2020-state-reopening-chart/</v>
      </c>
      <c r="H137" s="1"/>
      <c r="I137" s="1"/>
    </row>
    <row r="138">
      <c r="A138" s="2">
        <f>IFERROR(__xludf.DUMMYFUNCTION("""COMPUTED_VALUE"""),44179.0)</f>
        <v>44179</v>
      </c>
      <c r="B138" s="1" t="str">
        <f>IFERROR(__xludf.DUMMYFUNCTION("""COMPUTED_VALUE"""),"Delaware")</f>
        <v>Delaware</v>
      </c>
      <c r="C138" s="1" t="str">
        <f>IFERROR(__xludf.DUMMYFUNCTION("""COMPUTED_VALUE"""),"State Proclamations ")</f>
        <v>State Proclamations </v>
      </c>
      <c r="D138" s="1" t="str">
        <f>IFERROR(__xludf.DUMMYFUNCTION("""COMPUTED_VALUE"""),"Closing")</f>
        <v>Closing</v>
      </c>
      <c r="E138" s="1" t="str">
        <f>IFERROR(__xludf.DUMMYFUNCTION("""COMPUTED_VALUE"""),"A new stay-at-home advisory goes into effect and there are reduced capacity limits for certain businesses. Businesses above 100,000 square feet are capped at 20% capacity, all other businesses are capped at 30%, and retail below 5,000 square feet, includi"&amp;"ng houses of worship and funeral services, are limited to 40% capacity. A 10 p.m. curfew is instituted for restaurants and bars, though restaurants can deliver past 10 p.m., exercise classes at gyms are limited to 10 people with a 13-foot distance require"&amp;"d between individuals not from the same household, and indoor gatherings at businesses or indoor spaces open to the public must be limited to the lesser of 30% capacity or 10 people.")</f>
        <v>A new stay-at-home advisory goes into effect and there are reduced capacity limits for certain businesses. Businesses above 100,000 square feet are capped at 20% capacity, all other businesses are capped at 30%, and retail below 5,000 square feet, including houses of worship and funeral services, are limited to 40% capacity. A 10 p.m. curfew is instituted for restaurants and bars, though restaurants can deliver past 10 p.m., exercise classes at gyms are limited to 10 people with a 13-foot distance required between individuals not from the same household, and indoor gatherings at businesses or indoor spaces open to the public must be limited to the lesser of 30% capacity or 10 people.</v>
      </c>
      <c r="F138" s="1" t="str">
        <f>IFERROR(__xludf.DUMMYFUNCTION("""COMPUTED_VALUE"""),"National Academy for State Health Policy")</f>
        <v>National Academy for State Health Policy</v>
      </c>
      <c r="G138" s="3" t="str">
        <f>IFERROR(__xludf.DUMMYFUNCTION("""COMPUTED_VALUE"""),"https://www.nashp.org/2020-state-reopening-chart/")</f>
        <v>https://www.nashp.org/2020-state-reopening-chart/</v>
      </c>
      <c r="H138" s="1"/>
      <c r="I138" s="1"/>
    </row>
    <row r="139">
      <c r="A139" s="2">
        <f>IFERROR(__xludf.DUMMYFUNCTION("""COMPUTED_VALUE"""),44204.0)</f>
        <v>44204</v>
      </c>
      <c r="B139" s="1" t="str">
        <f>IFERROR(__xludf.DUMMYFUNCTION("""COMPUTED_VALUE"""),"Delaware")</f>
        <v>Delaware</v>
      </c>
      <c r="C139" s="1" t="str">
        <f>IFERROR(__xludf.DUMMYFUNCTION("""COMPUTED_VALUE"""),"State Proclamations ")</f>
        <v>State Proclamations </v>
      </c>
      <c r="D139" s="1" t="str">
        <f>IFERROR(__xludf.DUMMYFUNCTION("""COMPUTED_VALUE"""),"Closing")</f>
        <v>Closing</v>
      </c>
      <c r="E139" s="1" t="str">
        <f>IFERROR(__xludf.DUMMYFUNCTION("""COMPUTED_VALUE"""),"Gov. John Carney extended the state’s stay-at-home advisory and mask requirements until further notice, and the 10 pm curfew for bars and restaurants expired.")</f>
        <v>Gov. John Carney extended the state’s stay-at-home advisory and mask requirements until further notice, and the 10 pm curfew for bars and restaurants expired.</v>
      </c>
      <c r="F139" s="1" t="str">
        <f>IFERROR(__xludf.DUMMYFUNCTION("""COMPUTED_VALUE"""),"National Academy for State Health Policy")</f>
        <v>National Academy for State Health Policy</v>
      </c>
      <c r="G139" s="3" t="str">
        <f>IFERROR(__xludf.DUMMYFUNCTION("""COMPUTED_VALUE"""),"https://www.nashp.org/2021-covid-19-state-restrictions-re-openings-and-mask-requirements/")</f>
        <v>https://www.nashp.org/2021-covid-19-state-restrictions-re-openings-and-mask-requirements/</v>
      </c>
      <c r="H139" s="1"/>
      <c r="I139" s="1"/>
    </row>
    <row r="140">
      <c r="A140" s="2">
        <f>IFERROR(__xludf.DUMMYFUNCTION("""COMPUTED_VALUE"""),44239.0)</f>
        <v>44239</v>
      </c>
      <c r="B140" s="1" t="str">
        <f>IFERROR(__xludf.DUMMYFUNCTION("""COMPUTED_VALUE"""),"Delaware")</f>
        <v>Delaware</v>
      </c>
      <c r="C140" s="1" t="str">
        <f>IFERROR(__xludf.DUMMYFUNCTION("""COMPUTED_VALUE"""),"State Proclamations ")</f>
        <v>State Proclamations </v>
      </c>
      <c r="D140" s="1" t="str">
        <f>IFERROR(__xludf.DUMMYFUNCTION("""COMPUTED_VALUE"""),"Opening")</f>
        <v>Opening</v>
      </c>
      <c r="E140" s="1" t="str">
        <f>IFERROR(__xludf.DUMMYFUNCTION("""COMPUTED_VALUE"""),"Places of worship and businesses like restaurants, gyms, and retailers can expand their capacity to 50%.")</f>
        <v>Places of worship and businesses like restaurants, gyms, and retailers can expand their capacity to 50%.</v>
      </c>
      <c r="F140" s="1" t="str">
        <f>IFERROR(__xludf.DUMMYFUNCTION("""COMPUTED_VALUE"""),"National Academy for State Health Policy")</f>
        <v>National Academy for State Health Policy</v>
      </c>
      <c r="G140" s="3" t="str">
        <f>IFERROR(__xludf.DUMMYFUNCTION("""COMPUTED_VALUE"""),"https://www.nashp.org/2021-covid-19-state-restrictions-re-openings-and-mask-requirements/")</f>
        <v>https://www.nashp.org/2021-covid-19-state-restrictions-re-openings-and-mask-requirements/</v>
      </c>
      <c r="H140" s="1"/>
      <c r="I140" s="1"/>
    </row>
    <row r="141">
      <c r="A141" s="2">
        <f>IFERROR(__xludf.DUMMYFUNCTION("""COMPUTED_VALUE"""),44246.0)</f>
        <v>44246</v>
      </c>
      <c r="B141" s="1" t="str">
        <f>IFERROR(__xludf.DUMMYFUNCTION("""COMPUTED_VALUE"""),"Delaware")</f>
        <v>Delaware</v>
      </c>
      <c r="C141" s="1" t="str">
        <f>IFERROR(__xludf.DUMMYFUNCTION("""COMPUTED_VALUE"""),"State Proclamations ")</f>
        <v>State Proclamations </v>
      </c>
      <c r="D141" s="1" t="str">
        <f>IFERROR(__xludf.DUMMYFUNCTION("""COMPUTED_VALUE"""),"Opening")</f>
        <v>Opening</v>
      </c>
      <c r="E141" s="1" t="str">
        <f>IFERROR(__xludf.DUMMYFUNCTION("""COMPUTED_VALUE"""),"Gatherings limits at businesses and other indoor spaces ​are increased from 10 to 25 people, or 50% of stated fire occupancy restrictions, whichever is less. Organizers may ​submit a plan to the Division of Public Health (DPH) to host larger events up to "&amp;"150 people. Outdoor gatherings are limited to 50 people, or up to 250 with an approved plan from DPH. The limit for private indoor gatherings or events, such as dinner parties, house parties, and birthday parties, remains at 10 people.")</f>
        <v>Gatherings limits at businesses and other indoor spaces ​are increased from 10 to 25 people, or 50% of stated fire occupancy restrictions, whichever is less. Organizers may ​submit a plan to the Division of Public Health (DPH) to host larger events up to 150 people. Outdoor gatherings are limited to 50 people, or up to 250 with an approved plan from DPH. The limit for private indoor gatherings or events, such as dinner parties, house parties, and birthday parties, remains at 10 people.</v>
      </c>
      <c r="F141" s="1" t="str">
        <f>IFERROR(__xludf.DUMMYFUNCTION("""COMPUTED_VALUE"""),"National Academy for State Health Policy")</f>
        <v>National Academy for State Health Policy</v>
      </c>
      <c r="G141" s="3" t="str">
        <f>IFERROR(__xludf.DUMMYFUNCTION("""COMPUTED_VALUE"""),"https://www.nashp.org/2021-covid-19-state-restrictions-re-openings-and-mask-requirements/")</f>
        <v>https://www.nashp.org/2021-covid-19-state-restrictions-re-openings-and-mask-requirements/</v>
      </c>
      <c r="H141" s="1"/>
      <c r="I141" s="1"/>
    </row>
    <row r="142">
      <c r="A142" s="2">
        <f>IFERROR(__xludf.DUMMYFUNCTION("""COMPUTED_VALUE"""),44287.0)</f>
        <v>44287</v>
      </c>
      <c r="B142" s="1" t="str">
        <f>IFERROR(__xludf.DUMMYFUNCTION("""COMPUTED_VALUE"""),"Delaware")</f>
        <v>Delaware</v>
      </c>
      <c r="C142" s="1" t="str">
        <f>IFERROR(__xludf.DUMMYFUNCTION("""COMPUTED_VALUE"""),"State Proclamations ")</f>
        <v>State Proclamations </v>
      </c>
      <c r="D142" s="1" t="str">
        <f>IFERROR(__xludf.DUMMYFUNCTION("""COMPUTED_VALUE"""),"Opening")</f>
        <v>Opening</v>
      </c>
      <c r="E142" s="1" t="str">
        <f>IFERROR(__xludf.DUMMYFUNCTION("""COMPUTED_VALUE"""),"The limit on outdoor gatherings expanded from 50 to 150 people. Outdoor gatherings larger than 150 people require approval from DPH.")</f>
        <v>The limit on outdoor gatherings expanded from 50 to 150 people. Outdoor gatherings larger than 150 people require approval from DPH.</v>
      </c>
      <c r="F142" s="1" t="str">
        <f>IFERROR(__xludf.DUMMYFUNCTION("""COMPUTED_VALUE"""),"National Academy for State Health Policy")</f>
        <v>National Academy for State Health Policy</v>
      </c>
      <c r="G142" s="3" t="str">
        <f>IFERROR(__xludf.DUMMYFUNCTION("""COMPUTED_VALUE"""),"https://www.nashp.org/2021-covid-19-state-restrictions-re-openings-and-mask-requirements/")</f>
        <v>https://www.nashp.org/2021-covid-19-state-restrictions-re-openings-and-mask-requirements/</v>
      </c>
      <c r="H142" s="1"/>
      <c r="I142" s="1"/>
    </row>
    <row r="143">
      <c r="A143" s="2">
        <f>IFERROR(__xludf.DUMMYFUNCTION("""COMPUTED_VALUE"""),44313.0)</f>
        <v>44313</v>
      </c>
      <c r="B143" s="1" t="str">
        <f>IFERROR(__xludf.DUMMYFUNCTION("""COMPUTED_VALUE"""),"Delaware")</f>
        <v>Delaware</v>
      </c>
      <c r="C143" s="1" t="str">
        <f>IFERROR(__xludf.DUMMYFUNCTION("""COMPUTED_VALUE"""),"State Proclamations ")</f>
        <v>State Proclamations </v>
      </c>
      <c r="D143" s="1" t="str">
        <f>IFERROR(__xludf.DUMMYFUNCTION("""COMPUTED_VALUE"""),"Opening")</f>
        <v>Opening</v>
      </c>
      <c r="E143" s="1" t="str">
        <f>IFERROR(__xludf.DUMMYFUNCTION("""COMPUTED_VALUE"""),"Restaurants may seat parties of up to 10 people.")</f>
        <v>Restaurants may seat parties of up to 10 people.</v>
      </c>
      <c r="F143" s="1" t="str">
        <f>IFERROR(__xludf.DUMMYFUNCTION("""COMPUTED_VALUE"""),"National Academy for State Health Policy")</f>
        <v>National Academy for State Health Policy</v>
      </c>
      <c r="G143" s="3" t="str">
        <f>IFERROR(__xludf.DUMMYFUNCTION("""COMPUTED_VALUE"""),"https://www.nashp.org/2021-covid-19-state-restrictions-re-openings-and-mask-requirements/")</f>
        <v>https://www.nashp.org/2021-covid-19-state-restrictions-re-openings-and-mask-requirements/</v>
      </c>
      <c r="H143" s="1"/>
      <c r="I143" s="1"/>
    </row>
    <row r="144">
      <c r="A144" s="2">
        <f>IFERROR(__xludf.DUMMYFUNCTION("""COMPUTED_VALUE"""),44337.0)</f>
        <v>44337</v>
      </c>
      <c r="B144" s="1" t="str">
        <f>IFERROR(__xludf.DUMMYFUNCTION("""COMPUTED_VALUE"""),"Delaware")</f>
        <v>Delaware</v>
      </c>
      <c r="C144" s="1" t="str">
        <f>IFERROR(__xludf.DUMMYFUNCTION("""COMPUTED_VALUE"""),"Mask Mandate")</f>
        <v>Mask Mandate</v>
      </c>
      <c r="D144" s="1" t="str">
        <f>IFERROR(__xludf.DUMMYFUNCTION("""COMPUTED_VALUE"""),"End")</f>
        <v>End</v>
      </c>
      <c r="E144" s="1" t="str">
        <f>IFERROR(__xludf.DUMMYFUNCTION("""COMPUTED_VALUE"""),"On May 21, the governor lifted the mask mandate")</f>
        <v>On May 21, the governor lifted the mask mandate</v>
      </c>
      <c r="F144" s="1" t="str">
        <f>IFERROR(__xludf.DUMMYFUNCTION("""COMPUTED_VALUE"""),"National Academy for State Health Policy")</f>
        <v>National Academy for State Health Policy</v>
      </c>
      <c r="G144" s="3" t="str">
        <f>IFERROR(__xludf.DUMMYFUNCTION("""COMPUTED_VALUE"""),"https://www.nashp.org/2021-covid-19-state-restrictions-re-openings-and-mask-requirements/")</f>
        <v>https://www.nashp.org/2021-covid-19-state-restrictions-re-openings-and-mask-requirements/</v>
      </c>
      <c r="H144" s="1"/>
      <c r="I144" s="1"/>
    </row>
    <row r="145">
      <c r="A145" s="2">
        <f>IFERROR(__xludf.DUMMYFUNCTION("""COMPUTED_VALUE"""),44337.0)</f>
        <v>44337</v>
      </c>
      <c r="B145" s="1" t="str">
        <f>IFERROR(__xludf.DUMMYFUNCTION("""COMPUTED_VALUE"""),"Delaware")</f>
        <v>Delaware</v>
      </c>
      <c r="C145" s="1" t="str">
        <f>IFERROR(__xludf.DUMMYFUNCTION("""COMPUTED_VALUE"""),"State Proclamations ")</f>
        <v>State Proclamations </v>
      </c>
      <c r="D145" s="1" t="str">
        <f>IFERROR(__xludf.DUMMYFUNCTION("""COMPUTED_VALUE"""),"Opening")</f>
        <v>Opening</v>
      </c>
      <c r="E145" s="1" t="str">
        <f>IFERROR(__xludf.DUMMYFUNCTION("""COMPUTED_VALUE"""),"Capacity restrictions will end for places of worship and most businesses, and social distancing requirements will decrease from six to three feet. Vaccinated individuals are exempt from all social distancing requirements.")</f>
        <v>Capacity restrictions will end for places of worship and most businesses, and social distancing requirements will decrease from six to three feet. Vaccinated individuals are exempt from all social distancing requirements.</v>
      </c>
      <c r="F145" s="1" t="str">
        <f>IFERROR(__xludf.DUMMYFUNCTION("""COMPUTED_VALUE"""),"National Academy for State Health Policy")</f>
        <v>National Academy for State Health Policy</v>
      </c>
      <c r="G145" s="3" t="str">
        <f>IFERROR(__xludf.DUMMYFUNCTION("""COMPUTED_VALUE"""),"https://www.nashp.org/2021-covid-19-state-restrictions-re-openings-and-mask-requirements/")</f>
        <v>https://www.nashp.org/2021-covid-19-state-restrictions-re-openings-and-mask-requirements/</v>
      </c>
      <c r="H145" s="1"/>
      <c r="I145" s="1"/>
    </row>
    <row r="146">
      <c r="A146" s="2">
        <f>IFERROR(__xludf.DUMMYFUNCTION("""COMPUTED_VALUE"""),44389.0)</f>
        <v>44389</v>
      </c>
      <c r="B146" s="1" t="str">
        <f>IFERROR(__xludf.DUMMYFUNCTION("""COMPUTED_VALUE"""),"Delaware")</f>
        <v>Delaware</v>
      </c>
      <c r="C146" s="1" t="str">
        <f>IFERROR(__xludf.DUMMYFUNCTION("""COMPUTED_VALUE"""),"State of Emergency")</f>
        <v>State of Emergency</v>
      </c>
      <c r="D146" s="1" t="str">
        <f>IFERROR(__xludf.DUMMYFUNCTION("""COMPUTED_VALUE"""),"End")</f>
        <v>End</v>
      </c>
      <c r="E146" s="1" t="str">
        <f>IFERROR(__xludf.DUMMYFUNCTION("""COMPUTED_VALUE"""),"State of Emergency expired on July 12, 2021")</f>
        <v>State of Emergency expired on July 12, 2021</v>
      </c>
      <c r="F146" s="1" t="str">
        <f>IFERROR(__xludf.DUMMYFUNCTION("""COMPUTED_VALUE"""),"National Academy for State Health Policy")</f>
        <v>National Academy for State Health Policy</v>
      </c>
      <c r="G146" s="3" t="str">
        <f>IFERROR(__xludf.DUMMYFUNCTION("""COMPUTED_VALUE"""),"https://www.nashp.org/2021-covid-19-state-restrictions-re-openings-and-mask-requirements/")</f>
        <v>https://www.nashp.org/2021-covid-19-state-restrictions-re-openings-and-mask-requirements/</v>
      </c>
      <c r="H146" s="1"/>
      <c r="I146" s="1"/>
    </row>
    <row r="147">
      <c r="A147" s="2">
        <f>IFERROR(__xludf.DUMMYFUNCTION("""COMPUTED_VALUE"""),44418.0)</f>
        <v>44418</v>
      </c>
      <c r="B147" s="1" t="str">
        <f>IFERROR(__xludf.DUMMYFUNCTION("""COMPUTED_VALUE"""),"Delaware")</f>
        <v>Delaware</v>
      </c>
      <c r="C147" s="1" t="str">
        <f>IFERROR(__xludf.DUMMYFUNCTION("""COMPUTED_VALUE"""),"State of Emergency")</f>
        <v>State of Emergency</v>
      </c>
      <c r="D147" s="1" t="str">
        <f>IFERROR(__xludf.DUMMYFUNCTION("""COMPUTED_VALUE"""),"Start")</f>
        <v>Start</v>
      </c>
      <c r="E147" s="1" t="str">
        <f>IFERROR(__xludf.DUMMYFUNCTION("""COMPUTED_VALUE"""),"State of Emergency reissued on August 10")</f>
        <v>State of Emergency reissued on August 10</v>
      </c>
      <c r="F147" s="1" t="str">
        <f>IFERROR(__xludf.DUMMYFUNCTION("""COMPUTED_VALUE"""),"National Academy for State Health Policy")</f>
        <v>National Academy for State Health Policy</v>
      </c>
      <c r="G147" s="3" t="str">
        <f>IFERROR(__xludf.DUMMYFUNCTION("""COMPUTED_VALUE"""),"https://www.nashp.org/2021-covid-19-state-restrictions-re-openings-and-mask-requirements/")</f>
        <v>https://www.nashp.org/2021-covid-19-state-restrictions-re-openings-and-mask-requirements/</v>
      </c>
      <c r="H147" s="1"/>
      <c r="I147" s="1"/>
    </row>
    <row r="148">
      <c r="A148" s="2">
        <f>IFERROR(__xludf.DUMMYFUNCTION("""COMPUTED_VALUE"""),44543.0)</f>
        <v>44543</v>
      </c>
      <c r="B148" s="1" t="str">
        <f>IFERROR(__xludf.DUMMYFUNCTION("""COMPUTED_VALUE"""),"Delaware")</f>
        <v>Delaware</v>
      </c>
      <c r="C148" s="1" t="str">
        <f>IFERROR(__xludf.DUMMYFUNCTION("""COMPUTED_VALUE"""),"Mask Mandate")</f>
        <v>Mask Mandate</v>
      </c>
      <c r="D148" s="1" t="str">
        <f>IFERROR(__xludf.DUMMYFUNCTION("""COMPUTED_VALUE"""),"Start")</f>
        <v>Start</v>
      </c>
      <c r="E148" s="1" t="str">
        <f>IFERROR(__xludf.DUMMYFUNCTION("""COMPUTED_VALUE"""),"On Dec. 13, the governor extended the statewide school mask requirement until Feb 8, 2022")</f>
        <v>On Dec. 13, the governor extended the statewide school mask requirement until Feb 8, 2022</v>
      </c>
      <c r="F148" s="1" t="str">
        <f>IFERROR(__xludf.DUMMYFUNCTION("""COMPUTED_VALUE"""),"National Academy for State Health Policy")</f>
        <v>National Academy for State Health Policy</v>
      </c>
      <c r="G148" s="3" t="str">
        <f>IFERROR(__xludf.DUMMYFUNCTION("""COMPUTED_VALUE"""),"https://www.nashp.org/2021-covid-19-state-restrictions-re-openings-and-mask-requirements/")</f>
        <v>https://www.nashp.org/2021-covid-19-state-restrictions-re-openings-and-mask-requirements/</v>
      </c>
      <c r="H148" s="1"/>
      <c r="I148" s="1"/>
    </row>
    <row r="149">
      <c r="A149" s="2">
        <f>IFERROR(__xludf.DUMMYFUNCTION("""COMPUTED_VALUE"""),43897.0)</f>
        <v>43897</v>
      </c>
      <c r="B149" s="1" t="str">
        <f>IFERROR(__xludf.DUMMYFUNCTION("""COMPUTED_VALUE"""),"Florida")</f>
        <v>Florida</v>
      </c>
      <c r="C149" s="1" t="str">
        <f>IFERROR(__xludf.DUMMYFUNCTION("""COMPUTED_VALUE"""),"State of Emergency")</f>
        <v>State of Emergency</v>
      </c>
      <c r="D149" s="1" t="str">
        <f>IFERROR(__xludf.DUMMYFUNCTION("""COMPUTED_VALUE"""),"Start")</f>
        <v>Start</v>
      </c>
      <c r="E149" s="1" t="str">
        <f>IFERROR(__xludf.DUMMYFUNCTION("""COMPUTED_VALUE"""),"On March 7, Gov. Ron DeSantis of Florida declared a level 2 state of emergency, an escalation from the public-health emergency he declared on March 1.")</f>
        <v>On March 7, Gov. Ron DeSantis of Florida declared a level 2 state of emergency, an escalation from the public-health emergency he declared on March 1.</v>
      </c>
      <c r="F149" s="1" t="str">
        <f>IFERROR(__xludf.DUMMYFUNCTION("""COMPUTED_VALUE"""),"Business Insider")</f>
        <v>Business Insider</v>
      </c>
      <c r="G149" s="3" t="str">
        <f>IFERROR(__xludf.DUMMYFUNCTION("""COMPUTED_VALUE"""),"https://www.businessinsider.com/california-washington-state-of-emergency-coronavirus-what-it-means-2020-3#florida-7")</f>
        <v>https://www.businessinsider.com/california-washington-state-of-emergency-coronavirus-what-it-means-2020-3#florida-7</v>
      </c>
      <c r="H149" s="1"/>
      <c r="I149" s="1"/>
    </row>
    <row r="150">
      <c r="A150" s="2">
        <f>IFERROR(__xludf.DUMMYFUNCTION("""COMPUTED_VALUE"""),43924.0)</f>
        <v>43924</v>
      </c>
      <c r="B150" s="1" t="str">
        <f>IFERROR(__xludf.DUMMYFUNCTION("""COMPUTED_VALUE"""),"Florida")</f>
        <v>Florida</v>
      </c>
      <c r="C150" s="1" t="str">
        <f>IFERROR(__xludf.DUMMYFUNCTION("""COMPUTED_VALUE"""),"Stay-at-Home Order")</f>
        <v>Stay-at-Home Order</v>
      </c>
      <c r="D150" s="1" t="str">
        <f>IFERROR(__xludf.DUMMYFUNCTION("""COMPUTED_VALUE"""),"Start")</f>
        <v>Start</v>
      </c>
      <c r="E150" s="1" t="str">
        <f>IFERROR(__xludf.DUMMYFUNCTION("""COMPUTED_VALUE"""),"Original stay-at-home order begins")</f>
        <v>Original stay-at-home order begins</v>
      </c>
      <c r="F150" s="1" t="str">
        <f>IFERROR(__xludf.DUMMYFUNCTION("""COMPUTED_VALUE"""),"National Academy for State Health Policy")</f>
        <v>National Academy for State Health Policy</v>
      </c>
      <c r="G150" s="3" t="str">
        <f>IFERROR(__xludf.DUMMYFUNCTION("""COMPUTED_VALUE"""),"https://www.nashp.org/2020-state-reopening-chart/")</f>
        <v>https://www.nashp.org/2020-state-reopening-chart/</v>
      </c>
      <c r="H150" s="1"/>
      <c r="I150" s="1"/>
    </row>
    <row r="151">
      <c r="A151" s="2">
        <f>IFERROR(__xludf.DUMMYFUNCTION("""COMPUTED_VALUE"""),43951.0)</f>
        <v>43951</v>
      </c>
      <c r="B151" s="1" t="str">
        <f>IFERROR(__xludf.DUMMYFUNCTION("""COMPUTED_VALUE"""),"Florida")</f>
        <v>Florida</v>
      </c>
      <c r="C151" s="1" t="str">
        <f>IFERROR(__xludf.DUMMYFUNCTION("""COMPUTED_VALUE"""),"Stay-at-Home Order")</f>
        <v>Stay-at-Home Order</v>
      </c>
      <c r="D151" s="1" t="str">
        <f>IFERROR(__xludf.DUMMYFUNCTION("""COMPUTED_VALUE"""),"End")</f>
        <v>End</v>
      </c>
      <c r="E151" s="1" t="str">
        <f>IFERROR(__xludf.DUMMYFUNCTION("""COMPUTED_VALUE"""),"Original stay-at-home order ends")</f>
        <v>Original stay-at-home order ends</v>
      </c>
      <c r="F151" s="1" t="str">
        <f>IFERROR(__xludf.DUMMYFUNCTION("""COMPUTED_VALUE"""),"National Academy for State Health Policy")</f>
        <v>National Academy for State Health Policy</v>
      </c>
      <c r="G151" s="3" t="str">
        <f>IFERROR(__xludf.DUMMYFUNCTION("""COMPUTED_VALUE"""),"https://www.nashp.org/2020-state-reopening-chart/")</f>
        <v>https://www.nashp.org/2020-state-reopening-chart/</v>
      </c>
      <c r="H151" s="1"/>
      <c r="I151" s="1"/>
    </row>
    <row r="152">
      <c r="A152" s="2">
        <f>IFERROR(__xludf.DUMMYFUNCTION("""COMPUTED_VALUE"""),43951.0)</f>
        <v>43951</v>
      </c>
      <c r="B152" s="1" t="str">
        <f>IFERROR(__xludf.DUMMYFUNCTION("""COMPUTED_VALUE"""),"Florida")</f>
        <v>Florida</v>
      </c>
      <c r="C152" s="1" t="str">
        <f>IFERROR(__xludf.DUMMYFUNCTION("""COMPUTED_VALUE"""),"State Proclamations ")</f>
        <v>State Proclamations </v>
      </c>
      <c r="D152" s="1" t="str">
        <f>IFERROR(__xludf.DUMMYFUNCTION("""COMPUTED_VALUE"""),"Opening")</f>
        <v>Opening</v>
      </c>
      <c r="E152" s="1" t="str">
        <f>IFERROR(__xludf.DUMMYFUNCTION("""COMPUTED_VALUE"""),"Florida has reopened retail stores, restaurants, bars, houses of worship, gyms, movie theaters, bowling alleys, concert and sporting venues, and beaches. Nonessential medical procedures resumed May 4.")</f>
        <v>Florida has reopened retail stores, restaurants, bars, houses of worship, gyms, movie theaters, bowling alleys, concert and sporting venues, and beaches. Nonessential medical procedures resumed May 4.</v>
      </c>
      <c r="F152" s="1" t="str">
        <f>IFERROR(__xludf.DUMMYFUNCTION("""COMPUTED_VALUE"""),"National Academy for State Health Policy")</f>
        <v>National Academy for State Health Policy</v>
      </c>
      <c r="G152" s="3" t="str">
        <f>IFERROR(__xludf.DUMMYFUNCTION("""COMPUTED_VALUE"""),"https://www.nashp.org/2020-state-reopening-chart/")</f>
        <v>https://www.nashp.org/2020-state-reopening-chart/</v>
      </c>
      <c r="H152" s="1"/>
      <c r="I152" s="1"/>
    </row>
    <row r="153">
      <c r="A153" s="2">
        <f>IFERROR(__xludf.DUMMYFUNCTION("""COMPUTED_VALUE"""),43983.0)</f>
        <v>43983</v>
      </c>
      <c r="B153" s="1" t="str">
        <f>IFERROR(__xludf.DUMMYFUNCTION("""COMPUTED_VALUE"""),"Florida")</f>
        <v>Florida</v>
      </c>
      <c r="C153" s="1" t="str">
        <f>IFERROR(__xludf.DUMMYFUNCTION("""COMPUTED_VALUE"""),"State Proclamations ")</f>
        <v>State Proclamations </v>
      </c>
      <c r="D153" s="1" t="str">
        <f>IFERROR(__xludf.DUMMYFUNCTION("""COMPUTED_VALUE"""),"Opening")</f>
        <v>Opening</v>
      </c>
      <c r="E153" s="1" t="str">
        <f>IFERROR(__xludf.DUMMYFUNCTION("""COMPUTED_VALUE"""),"Florida Keys businesses reopened to visitors, and Miami-Dade County beaches and hotels reopened.")</f>
        <v>Florida Keys businesses reopened to visitors, and Miami-Dade County beaches and hotels reopened.</v>
      </c>
      <c r="F153" s="1" t="str">
        <f>IFERROR(__xludf.DUMMYFUNCTION("""COMPUTED_VALUE"""),"National Academy for State Health Policy")</f>
        <v>National Academy for State Health Policy</v>
      </c>
      <c r="G153" s="3" t="str">
        <f>IFERROR(__xludf.DUMMYFUNCTION("""COMPUTED_VALUE"""),"https://www.nashp.org/2020-state-reopening-chart/")</f>
        <v>https://www.nashp.org/2020-state-reopening-chart/</v>
      </c>
      <c r="H153" s="1"/>
      <c r="I153" s="1"/>
    </row>
    <row r="154">
      <c r="A154" s="2">
        <f>IFERROR(__xludf.DUMMYFUNCTION("""COMPUTED_VALUE"""),43987.0)</f>
        <v>43987</v>
      </c>
      <c r="B154" s="1" t="str">
        <f>IFERROR(__xludf.DUMMYFUNCTION("""COMPUTED_VALUE"""),"Florida")</f>
        <v>Florida</v>
      </c>
      <c r="C154" s="1" t="str">
        <f>IFERROR(__xludf.DUMMYFUNCTION("""COMPUTED_VALUE"""),"State Proclamations ")</f>
        <v>State Proclamations </v>
      </c>
      <c r="D154" s="1" t="str">
        <f>IFERROR(__xludf.DUMMYFUNCTION("""COMPUTED_VALUE"""),"Opening")</f>
        <v>Opening</v>
      </c>
      <c r="E154" s="1" t="str">
        <f>IFERROR(__xludf.DUMMYFUNCTION("""COMPUTED_VALUE"""),"Bars, movie theaters, bowling alleys, and concert venues reopened at 50% capacity. Gyms and retail businesses could open at full capacity.")</f>
        <v>Bars, movie theaters, bowling alleys, and concert venues reopened at 50% capacity. Gyms and retail businesses could open at full capacity.</v>
      </c>
      <c r="F154" s="1" t="str">
        <f>IFERROR(__xludf.DUMMYFUNCTION("""COMPUTED_VALUE"""),"National Academy for State Health Policy")</f>
        <v>National Academy for State Health Policy</v>
      </c>
      <c r="G154" s="3" t="str">
        <f>IFERROR(__xludf.DUMMYFUNCTION("""COMPUTED_VALUE"""),"https://www.nashp.org/2020-state-reopening-chart/")</f>
        <v>https://www.nashp.org/2020-state-reopening-chart/</v>
      </c>
      <c r="H154" s="1"/>
      <c r="I154" s="1"/>
    </row>
    <row r="155">
      <c r="A155" s="2">
        <f>IFERROR(__xludf.DUMMYFUNCTION("""COMPUTED_VALUE"""),44008.0)</f>
        <v>44008</v>
      </c>
      <c r="B155" s="1" t="str">
        <f>IFERROR(__xludf.DUMMYFUNCTION("""COMPUTED_VALUE"""),"Florida")</f>
        <v>Florida</v>
      </c>
      <c r="C155" s="1" t="str">
        <f>IFERROR(__xludf.DUMMYFUNCTION("""COMPUTED_VALUE"""),"State Proclamations ")</f>
        <v>State Proclamations </v>
      </c>
      <c r="D155" s="1" t="str">
        <f>IFERROR(__xludf.DUMMYFUNCTION("""COMPUTED_VALUE"""),"Closing")</f>
        <v>Closing</v>
      </c>
      <c r="E155" s="1" t="str">
        <f>IFERROR(__xludf.DUMMYFUNCTION("""COMPUTED_VALUE"""),"Due to a resurgence in infections, the governor ordered all bars closed due to noncompliance with opening guidelines.")</f>
        <v>Due to a resurgence in infections, the governor ordered all bars closed due to noncompliance with opening guidelines.</v>
      </c>
      <c r="F155" s="1" t="str">
        <f>IFERROR(__xludf.DUMMYFUNCTION("""COMPUTED_VALUE"""),"National Academy for State Health Policy")</f>
        <v>National Academy for State Health Policy</v>
      </c>
      <c r="G155" s="3" t="str">
        <f>IFERROR(__xludf.DUMMYFUNCTION("""COMPUTED_VALUE"""),"https://www.nashp.org/2020-state-reopening-chart/")</f>
        <v>https://www.nashp.org/2020-state-reopening-chart/</v>
      </c>
      <c r="H155" s="1"/>
      <c r="I155" s="1"/>
    </row>
    <row r="156">
      <c r="A156" s="2">
        <f>IFERROR(__xludf.DUMMYFUNCTION("""COMPUTED_VALUE"""),44011.0)</f>
        <v>44011</v>
      </c>
      <c r="B156" s="1" t="str">
        <f>IFERROR(__xludf.DUMMYFUNCTION("""COMPUTED_VALUE"""),"Florida")</f>
        <v>Florida</v>
      </c>
      <c r="C156" s="1" t="str">
        <f>IFERROR(__xludf.DUMMYFUNCTION("""COMPUTED_VALUE"""),"State Proclamations ")</f>
        <v>State Proclamations </v>
      </c>
      <c r="D156" s="1" t="str">
        <f>IFERROR(__xludf.DUMMYFUNCTION("""COMPUTED_VALUE"""),"Closing")</f>
        <v>Closing</v>
      </c>
      <c r="E156" s="1" t="str">
        <f>IFERROR(__xludf.DUMMYFUNCTION("""COMPUTED_VALUE"""),"Broward, Palm Beach, and Miami-Dade counties announced that beaches were closed over the July 4 weekend.")</f>
        <v>Broward, Palm Beach, and Miami-Dade counties announced that beaches were closed over the July 4 weekend.</v>
      </c>
      <c r="F156" s="1" t="str">
        <f>IFERROR(__xludf.DUMMYFUNCTION("""COMPUTED_VALUE"""),"National Academy for State Health Policy")</f>
        <v>National Academy for State Health Policy</v>
      </c>
      <c r="G156" s="3" t="str">
        <f>IFERROR(__xludf.DUMMYFUNCTION("""COMPUTED_VALUE"""),"https://www.nashp.org/2020-state-reopening-chart/")</f>
        <v>https://www.nashp.org/2020-state-reopening-chart/</v>
      </c>
      <c r="H156" s="1"/>
      <c r="I156" s="1"/>
    </row>
    <row r="157">
      <c r="A157" s="2">
        <f>IFERROR(__xludf.DUMMYFUNCTION("""COMPUTED_VALUE"""),44023.0)</f>
        <v>44023</v>
      </c>
      <c r="B157" s="1" t="str">
        <f>IFERROR(__xludf.DUMMYFUNCTION("""COMPUTED_VALUE"""),"Florida")</f>
        <v>Florida</v>
      </c>
      <c r="C157" s="1" t="str">
        <f>IFERROR(__xludf.DUMMYFUNCTION("""COMPUTED_VALUE"""),"State Proclamations ")</f>
        <v>State Proclamations </v>
      </c>
      <c r="D157" s="1" t="str">
        <f>IFERROR(__xludf.DUMMYFUNCTION("""COMPUTED_VALUE"""),"Opening")</f>
        <v>Opening</v>
      </c>
      <c r="E157" s="1" t="str">
        <f>IFERROR(__xludf.DUMMYFUNCTION("""COMPUTED_VALUE"""),"Disney theme parks reopened with additional guidelines.")</f>
        <v>Disney theme parks reopened with additional guidelines.</v>
      </c>
      <c r="F157" s="1" t="str">
        <f>IFERROR(__xludf.DUMMYFUNCTION("""COMPUTED_VALUE"""),"National Academy for State Health Policy")</f>
        <v>National Academy for State Health Policy</v>
      </c>
      <c r="G157" s="3" t="str">
        <f>IFERROR(__xludf.DUMMYFUNCTION("""COMPUTED_VALUE"""),"https://www.nashp.org/2020-state-reopening-chart/")</f>
        <v>https://www.nashp.org/2020-state-reopening-chart/</v>
      </c>
      <c r="H157" s="1"/>
      <c r="I157" s="1"/>
    </row>
    <row r="158">
      <c r="A158" s="2">
        <f>IFERROR(__xludf.DUMMYFUNCTION("""COMPUTED_VALUE"""),44049.0)</f>
        <v>44049</v>
      </c>
      <c r="B158" s="1" t="str">
        <f>IFERROR(__xludf.DUMMYFUNCTION("""COMPUTED_VALUE"""),"Florida")</f>
        <v>Florida</v>
      </c>
      <c r="C158" s="1" t="str">
        <f>IFERROR(__xludf.DUMMYFUNCTION("""COMPUTED_VALUE"""),"State Proclamations ")</f>
        <v>State Proclamations </v>
      </c>
      <c r="D158" s="1" t="str">
        <f>IFERROR(__xludf.DUMMYFUNCTION("""COMPUTED_VALUE"""),"Opening")</f>
        <v>Opening</v>
      </c>
      <c r="E158" s="1" t="str">
        <f>IFERROR(__xludf.DUMMYFUNCTION("""COMPUTED_VALUE"""),"The governor said that he will not halt high school sports over coronavirus fears.")</f>
        <v>The governor said that he will not halt high school sports over coronavirus fears.</v>
      </c>
      <c r="F158" s="1" t="str">
        <f>IFERROR(__xludf.DUMMYFUNCTION("""COMPUTED_VALUE"""),"National Academy for State Health Policy")</f>
        <v>National Academy for State Health Policy</v>
      </c>
      <c r="G158" s="3" t="str">
        <f>IFERROR(__xludf.DUMMYFUNCTION("""COMPUTED_VALUE"""),"https://www.nashp.org/2020-state-reopening-chart/")</f>
        <v>https://www.nashp.org/2020-state-reopening-chart/</v>
      </c>
      <c r="H158" s="1"/>
      <c r="I158" s="1"/>
    </row>
    <row r="159">
      <c r="A159" s="2">
        <f>IFERROR(__xludf.DUMMYFUNCTION("""COMPUTED_VALUE"""),44074.0)</f>
        <v>44074</v>
      </c>
      <c r="B159" s="1" t="str">
        <f>IFERROR(__xludf.DUMMYFUNCTION("""COMPUTED_VALUE"""),"Florida")</f>
        <v>Florida</v>
      </c>
      <c r="C159" s="1" t="str">
        <f>IFERROR(__xludf.DUMMYFUNCTION("""COMPUTED_VALUE"""),"State Proclamations ")</f>
        <v>State Proclamations </v>
      </c>
      <c r="D159" s="1" t="str">
        <f>IFERROR(__xludf.DUMMYFUNCTION("""COMPUTED_VALUE"""),"Opening")</f>
        <v>Opening</v>
      </c>
      <c r="E159" s="1" t="str">
        <f>IFERROR(__xludf.DUMMYFUNCTION("""COMPUTED_VALUE"""),"Restaurants in Miami-Dade County were allowed to open indoor seating at 50% capacity. Tattoo parlors reopened in Palm Beach County.")</f>
        <v>Restaurants in Miami-Dade County were allowed to open indoor seating at 50% capacity. Tattoo parlors reopened in Palm Beach County.</v>
      </c>
      <c r="F159" s="1" t="str">
        <f>IFERROR(__xludf.DUMMYFUNCTION("""COMPUTED_VALUE"""),"National Academy for State Health Policy")</f>
        <v>National Academy for State Health Policy</v>
      </c>
      <c r="G159" s="3" t="str">
        <f>IFERROR(__xludf.DUMMYFUNCTION("""COMPUTED_VALUE"""),"https://www.nashp.org/2020-state-reopening-chart/")</f>
        <v>https://www.nashp.org/2020-state-reopening-chart/</v>
      </c>
      <c r="H159" s="1"/>
      <c r="I159" s="1"/>
    </row>
    <row r="160">
      <c r="A160" s="2">
        <f>IFERROR(__xludf.DUMMYFUNCTION("""COMPUTED_VALUE"""),44099.0)</f>
        <v>44099</v>
      </c>
      <c r="B160" s="1" t="str">
        <f>IFERROR(__xludf.DUMMYFUNCTION("""COMPUTED_VALUE"""),"Florida")</f>
        <v>Florida</v>
      </c>
      <c r="C160" s="1" t="str">
        <f>IFERROR(__xludf.DUMMYFUNCTION("""COMPUTED_VALUE"""),"State Proclamations ")</f>
        <v>State Proclamations </v>
      </c>
      <c r="D160" s="1" t="str">
        <f>IFERROR(__xludf.DUMMYFUNCTION("""COMPUTED_VALUE"""),"Opening")</f>
        <v>Opening</v>
      </c>
      <c r="E160" s="1" t="str">
        <f>IFERROR(__xludf.DUMMYFUNCTION("""COMPUTED_VALUE"""),"The governor canceled all state restrictions on businesses without warning and said that restaurants could reopen and operate at a minimum of 50% capacity regardless of local rule.")</f>
        <v>The governor canceled all state restrictions on businesses without warning and said that restaurants could reopen and operate at a minimum of 50% capacity regardless of local rule.</v>
      </c>
      <c r="F160" s="1" t="str">
        <f>IFERROR(__xludf.DUMMYFUNCTION("""COMPUTED_VALUE"""),"National Academy for State Health Policy")</f>
        <v>National Academy for State Health Policy</v>
      </c>
      <c r="G160" s="3" t="str">
        <f>IFERROR(__xludf.DUMMYFUNCTION("""COMPUTED_VALUE"""),"https://www.nashp.org/2020-state-reopening-chart/")</f>
        <v>https://www.nashp.org/2020-state-reopening-chart/</v>
      </c>
      <c r="H160" s="1"/>
      <c r="I160" s="1"/>
    </row>
    <row r="161">
      <c r="A161" s="2">
        <f>IFERROR(__xludf.DUMMYFUNCTION("""COMPUTED_VALUE"""),44105.0)</f>
        <v>44105</v>
      </c>
      <c r="B161" s="1" t="str">
        <f>IFERROR(__xludf.DUMMYFUNCTION("""COMPUTED_VALUE"""),"Florida")</f>
        <v>Florida</v>
      </c>
      <c r="C161" s="1" t="str">
        <f>IFERROR(__xludf.DUMMYFUNCTION("""COMPUTED_VALUE"""),"State Proclamations ")</f>
        <v>State Proclamations </v>
      </c>
      <c r="D161" s="1" t="str">
        <f>IFERROR(__xludf.DUMMYFUNCTION("""COMPUTED_VALUE"""),"Opening")</f>
        <v>Opening</v>
      </c>
      <c r="E161" s="1" t="str">
        <f>IFERROR(__xludf.DUMMYFUNCTION("""COMPUTED_VALUE"""),"The governor allowed the state's eviction moratorium to expire.")</f>
        <v>The governor allowed the state's eviction moratorium to expire.</v>
      </c>
      <c r="F161" s="1" t="str">
        <f>IFERROR(__xludf.DUMMYFUNCTION("""COMPUTED_VALUE"""),"National Academy for State Health Policy")</f>
        <v>National Academy for State Health Policy</v>
      </c>
      <c r="G161" s="3" t="str">
        <f>IFERROR(__xludf.DUMMYFUNCTION("""COMPUTED_VALUE"""),"https://www.nashp.org/2020-state-reopening-chart/")</f>
        <v>https://www.nashp.org/2020-state-reopening-chart/</v>
      </c>
      <c r="H161" s="1"/>
      <c r="I161" s="1"/>
    </row>
    <row r="162">
      <c r="A162" s="2">
        <f>IFERROR(__xludf.DUMMYFUNCTION("""COMPUTED_VALUE"""),44160.0)</f>
        <v>44160</v>
      </c>
      <c r="B162" s="1" t="str">
        <f>IFERROR(__xludf.DUMMYFUNCTION("""COMPUTED_VALUE"""),"Florida")</f>
        <v>Florida</v>
      </c>
      <c r="C162" s="1" t="str">
        <f>IFERROR(__xludf.DUMMYFUNCTION("""COMPUTED_VALUE"""),"State Proclamations ")</f>
        <v>State Proclamations </v>
      </c>
      <c r="D162" s="1" t="str">
        <f>IFERROR(__xludf.DUMMYFUNCTION("""COMPUTED_VALUE"""),"Opening")</f>
        <v>Opening</v>
      </c>
      <c r="E162" s="1" t="str">
        <f>IFERROR(__xludf.DUMMYFUNCTION("""COMPUTED_VALUE"""),"The governor extended the Sept. 25 order prohibiting local governments from passing COVID-19 restrictions.")</f>
        <v>The governor extended the Sept. 25 order prohibiting local governments from passing COVID-19 restrictions.</v>
      </c>
      <c r="F162" s="1" t="str">
        <f>IFERROR(__xludf.DUMMYFUNCTION("""COMPUTED_VALUE"""),"National Academy for State Health Policy")</f>
        <v>National Academy for State Health Policy</v>
      </c>
      <c r="G162" s="3" t="str">
        <f>IFERROR(__xludf.DUMMYFUNCTION("""COMPUTED_VALUE"""),"https://www.nashp.org/2020-state-reopening-chart/")</f>
        <v>https://www.nashp.org/2020-state-reopening-chart/</v>
      </c>
      <c r="H162" s="1"/>
      <c r="I162" s="1"/>
    </row>
    <row r="163">
      <c r="A163" s="2">
        <f>IFERROR(__xludf.DUMMYFUNCTION("""COMPUTED_VALUE"""),44265.0)</f>
        <v>44265</v>
      </c>
      <c r="B163" s="1" t="str">
        <f>IFERROR(__xludf.DUMMYFUNCTION("""COMPUTED_VALUE"""),"Florida")</f>
        <v>Florida</v>
      </c>
      <c r="C163" s="1" t="str">
        <f>IFERROR(__xludf.DUMMYFUNCTION("""COMPUTED_VALUE"""),"State Proclamations ")</f>
        <v>State Proclamations </v>
      </c>
      <c r="D163" s="1" t="str">
        <f>IFERROR(__xludf.DUMMYFUNCTION("""COMPUTED_VALUE"""),"Opening")</f>
        <v>Opening</v>
      </c>
      <c r="E163" s="1" t="str">
        <f>IFERROR(__xludf.DUMMYFUNCTION("""COMPUTED_VALUE"""),"Gov. Ron DeSantis banned counties and municipalities from fining people or businesses for violating COVID-19 restrictions. The order also rebates any fines imposed on people or businesses for violations since March 2020.")</f>
        <v>Gov. Ron DeSantis banned counties and municipalities from fining people or businesses for violating COVID-19 restrictions. The order also rebates any fines imposed on people or businesses for violations since March 2020.</v>
      </c>
      <c r="F163" s="1" t="str">
        <f>IFERROR(__xludf.DUMMYFUNCTION("""COMPUTED_VALUE"""),"National Academy for State Health Policy")</f>
        <v>National Academy for State Health Policy</v>
      </c>
      <c r="G163" s="3" t="str">
        <f>IFERROR(__xludf.DUMMYFUNCTION("""COMPUTED_VALUE"""),"https://www.nashp.org/2021-covid-19-state-restrictions-re-openings-and-mask-requirements/")</f>
        <v>https://www.nashp.org/2021-covid-19-state-restrictions-re-openings-and-mask-requirements/</v>
      </c>
      <c r="H163" s="1"/>
      <c r="I163" s="1"/>
    </row>
    <row r="164">
      <c r="A164" s="2">
        <f>IFERROR(__xludf.DUMMYFUNCTION("""COMPUTED_VALUE"""),44284.0)</f>
        <v>44284</v>
      </c>
      <c r="B164" s="1" t="str">
        <f>IFERROR(__xludf.DUMMYFUNCTION("""COMPUTED_VALUE"""),"Florida")</f>
        <v>Florida</v>
      </c>
      <c r="C164" s="1" t="str">
        <f>IFERROR(__xludf.DUMMYFUNCTION("""COMPUTED_VALUE"""),"State Proclamations ")</f>
        <v>State Proclamations </v>
      </c>
      <c r="D164" s="1" t="str">
        <f>IFERROR(__xludf.DUMMYFUNCTION("""COMPUTED_VALUE"""),"Opening")</f>
        <v>Opening</v>
      </c>
      <c r="E164" s="1" t="str">
        <f>IFERROR(__xludf.DUMMYFUNCTION("""COMPUTED_VALUE"""),"The governor signed a bill that gives businesses, governments, and health care providers limited liability protection against COVID-19 lawsuits. The law is retroactive to the beginning of the pandemic and requires plaintiffs to show that an organization p"&amp;"urposely ignored COVID-19 guidelines.")</f>
        <v>The governor signed a bill that gives businesses, governments, and health care providers limited liability protection against COVID-19 lawsuits. The law is retroactive to the beginning of the pandemic and requires plaintiffs to show that an organization purposely ignored COVID-19 guidelines.</v>
      </c>
      <c r="F164" s="1" t="str">
        <f>IFERROR(__xludf.DUMMYFUNCTION("""COMPUTED_VALUE"""),"National Academy for State Health Policy")</f>
        <v>National Academy for State Health Policy</v>
      </c>
      <c r="G164" s="3" t="str">
        <f>IFERROR(__xludf.DUMMYFUNCTION("""COMPUTED_VALUE"""),"https://www.nashp.org/2021-covid-19-state-restrictions-re-openings-and-mask-requirements/")</f>
        <v>https://www.nashp.org/2021-covid-19-state-restrictions-re-openings-and-mask-requirements/</v>
      </c>
      <c r="H164" s="1"/>
      <c r="I164" s="1"/>
    </row>
    <row r="165">
      <c r="A165" s="2">
        <f>IFERROR(__xludf.DUMMYFUNCTION("""COMPUTED_VALUE"""),44319.0)</f>
        <v>44319</v>
      </c>
      <c r="B165" s="1" t="str">
        <f>IFERROR(__xludf.DUMMYFUNCTION("""COMPUTED_VALUE"""),"Florida")</f>
        <v>Florida</v>
      </c>
      <c r="C165" s="1" t="str">
        <f>IFERROR(__xludf.DUMMYFUNCTION("""COMPUTED_VALUE"""),"State Proclamations ")</f>
        <v>State Proclamations </v>
      </c>
      <c r="D165" s="1" t="str">
        <f>IFERROR(__xludf.DUMMYFUNCTION("""COMPUTED_VALUE"""),"Opening")</f>
        <v>Opening</v>
      </c>
      <c r="E165" s="1" t="str">
        <f>IFERROR(__xludf.DUMMYFUNCTION("""COMPUTED_VALUE"""),"The governor lifted all local COVID-19 orders. The governor also signed a bill that limits local emergency orders unrelated to hurricanes or other weather events to a maximum of 42 days and bans businesses, schools, and government agencies from requiring "&amp;"people to show proof of COVID-19 vaccinations.")</f>
        <v>The governor lifted all local COVID-19 orders. The governor also signed a bill that limits local emergency orders unrelated to hurricanes or other weather events to a maximum of 42 days and bans businesses, schools, and government agencies from requiring people to show proof of COVID-19 vaccinations.</v>
      </c>
      <c r="F165" s="1" t="str">
        <f>IFERROR(__xludf.DUMMYFUNCTION("""COMPUTED_VALUE"""),"National Academy for State Health Policy")</f>
        <v>National Academy for State Health Policy</v>
      </c>
      <c r="G165" s="3" t="str">
        <f>IFERROR(__xludf.DUMMYFUNCTION("""COMPUTED_VALUE"""),"https://www.nashp.org/2021-covid-19-state-restrictions-re-openings-and-mask-requirements/")</f>
        <v>https://www.nashp.org/2021-covid-19-state-restrictions-re-openings-and-mask-requirements/</v>
      </c>
      <c r="H165" s="1"/>
      <c r="I165" s="1"/>
    </row>
    <row r="166">
      <c r="A166" s="2">
        <f>IFERROR(__xludf.DUMMYFUNCTION("""COMPUTED_VALUE"""),44373.0)</f>
        <v>44373</v>
      </c>
      <c r="B166" s="1" t="str">
        <f>IFERROR(__xludf.DUMMYFUNCTION("""COMPUTED_VALUE"""),"Florida")</f>
        <v>Florida</v>
      </c>
      <c r="C166" s="1" t="str">
        <f>IFERROR(__xludf.DUMMYFUNCTION("""COMPUTED_VALUE"""),"State of Emergency")</f>
        <v>State of Emergency</v>
      </c>
      <c r="D166" s="1" t="str">
        <f>IFERROR(__xludf.DUMMYFUNCTION("""COMPUTED_VALUE"""),"End")</f>
        <v>End</v>
      </c>
      <c r="E166" s="1" t="str">
        <f>IFERROR(__xludf.DUMMYFUNCTION("""COMPUTED_VALUE"""),"State of Emergency expired on June 26, 2021")</f>
        <v>State of Emergency expired on June 26, 2021</v>
      </c>
      <c r="F166" s="1" t="str">
        <f>IFERROR(__xludf.DUMMYFUNCTION("""COMPUTED_VALUE"""),"National Academy for State Health Policy")</f>
        <v>National Academy for State Health Policy</v>
      </c>
      <c r="G166" s="3" t="str">
        <f>IFERROR(__xludf.DUMMYFUNCTION("""COMPUTED_VALUE"""),"https://www.nashp.org/2021-covid-19-state-restrictions-re-openings-and-mask-requirements/")</f>
        <v>https://www.nashp.org/2021-covid-19-state-restrictions-re-openings-and-mask-requirements/</v>
      </c>
      <c r="H166" s="1"/>
      <c r="I166" s="1"/>
    </row>
    <row r="167">
      <c r="A167" s="2">
        <f>IFERROR(__xludf.DUMMYFUNCTION("""COMPUTED_VALUE"""),43904.0)</f>
        <v>43904</v>
      </c>
      <c r="B167" s="1" t="str">
        <f>IFERROR(__xludf.DUMMYFUNCTION("""COMPUTED_VALUE"""),"Georgia")</f>
        <v>Georgia</v>
      </c>
      <c r="C167" s="1" t="str">
        <f>IFERROR(__xludf.DUMMYFUNCTION("""COMPUTED_VALUE"""),"State of Emergency")</f>
        <v>State of Emergency</v>
      </c>
      <c r="D167" s="1" t="str">
        <f>IFERROR(__xludf.DUMMYFUNCTION("""COMPUTED_VALUE"""),"Start")</f>
        <v>Start</v>
      </c>
      <c r="E167" s="1" t="str">
        <f>IFERROR(__xludf.DUMMYFUNCTION("""COMPUTED_VALUE"""),"Gov. Brian Kemp will announce a state of emergency on March 14, local news outlets reported.")</f>
        <v>Gov. Brian Kemp will announce a state of emergency on March 14, local news outlets reported.</v>
      </c>
      <c r="F167" s="1" t="str">
        <f>IFERROR(__xludf.DUMMYFUNCTION("""COMPUTED_VALUE"""),"Business Insider")</f>
        <v>Business Insider</v>
      </c>
      <c r="G167" s="3" t="str">
        <f>IFERROR(__xludf.DUMMYFUNCTION("""COMPUTED_VALUE"""),"https://www.businessinsider.com/california-washington-state-of-emergency-coronavirus-what-it-means-2020-3#georgia-38")</f>
        <v>https://www.businessinsider.com/california-washington-state-of-emergency-coronavirus-what-it-means-2020-3#georgia-38</v>
      </c>
      <c r="H167" s="1"/>
      <c r="I167" s="1"/>
    </row>
    <row r="168">
      <c r="A168" s="2">
        <f>IFERROR(__xludf.DUMMYFUNCTION("""COMPUTED_VALUE"""),43924.0)</f>
        <v>43924</v>
      </c>
      <c r="B168" s="1" t="str">
        <f>IFERROR(__xludf.DUMMYFUNCTION("""COMPUTED_VALUE"""),"Georgia")</f>
        <v>Georgia</v>
      </c>
      <c r="C168" s="1" t="str">
        <f>IFERROR(__xludf.DUMMYFUNCTION("""COMPUTED_VALUE"""),"Stay-at-Home Order")</f>
        <v>Stay-at-Home Order</v>
      </c>
      <c r="D168" s="1" t="str">
        <f>IFERROR(__xludf.DUMMYFUNCTION("""COMPUTED_VALUE"""),"Start")</f>
        <v>Start</v>
      </c>
      <c r="E168" s="1" t="str">
        <f>IFERROR(__xludf.DUMMYFUNCTION("""COMPUTED_VALUE"""),"Original stay-at-home order begins")</f>
        <v>Original stay-at-home order begins</v>
      </c>
      <c r="F168" s="1" t="str">
        <f>IFERROR(__xludf.DUMMYFUNCTION("""COMPUTED_VALUE"""),"National Academy for State Health Policy")</f>
        <v>National Academy for State Health Policy</v>
      </c>
      <c r="G168" s="3" t="str">
        <f>IFERROR(__xludf.DUMMYFUNCTION("""COMPUTED_VALUE"""),"https://www.nashp.org/2020-state-reopening-chart/")</f>
        <v>https://www.nashp.org/2020-state-reopening-chart/</v>
      </c>
      <c r="H168" s="1"/>
      <c r="I168" s="1"/>
    </row>
    <row r="169">
      <c r="A169" s="2">
        <f>IFERROR(__xludf.DUMMYFUNCTION("""COMPUTED_VALUE"""),43951.0)</f>
        <v>43951</v>
      </c>
      <c r="B169" s="1" t="str">
        <f>IFERROR(__xludf.DUMMYFUNCTION("""COMPUTED_VALUE"""),"Georgia")</f>
        <v>Georgia</v>
      </c>
      <c r="C169" s="1" t="str">
        <f>IFERROR(__xludf.DUMMYFUNCTION("""COMPUTED_VALUE"""),"Stay-at-Home Order")</f>
        <v>Stay-at-Home Order</v>
      </c>
      <c r="D169" s="1" t="str">
        <f>IFERROR(__xludf.DUMMYFUNCTION("""COMPUTED_VALUE"""),"End")</f>
        <v>End</v>
      </c>
      <c r="E169" s="1" t="str">
        <f>IFERROR(__xludf.DUMMYFUNCTION("""COMPUTED_VALUE"""),"Original stay-at-home order ends")</f>
        <v>Original stay-at-home order ends</v>
      </c>
      <c r="F169" s="1" t="str">
        <f>IFERROR(__xludf.DUMMYFUNCTION("""COMPUTED_VALUE"""),"National Academy for State Health Policy")</f>
        <v>National Academy for State Health Policy</v>
      </c>
      <c r="G169" s="3" t="str">
        <f>IFERROR(__xludf.DUMMYFUNCTION("""COMPUTED_VALUE"""),"https://www.nashp.org/2020-state-reopening-chart/")</f>
        <v>https://www.nashp.org/2020-state-reopening-chart/</v>
      </c>
      <c r="H169" s="1"/>
      <c r="I169" s="1"/>
    </row>
    <row r="170">
      <c r="A170" s="2">
        <f>IFERROR(__xludf.DUMMYFUNCTION("""COMPUTED_VALUE"""),43951.0)</f>
        <v>43951</v>
      </c>
      <c r="B170" s="1" t="str">
        <f>IFERROR(__xludf.DUMMYFUNCTION("""COMPUTED_VALUE"""),"Georgia")</f>
        <v>Georgia</v>
      </c>
      <c r="C170" s="1" t="str">
        <f>IFERROR(__xludf.DUMMYFUNCTION("""COMPUTED_VALUE"""),"State Proclamations ")</f>
        <v>State Proclamations </v>
      </c>
      <c r="D170" s="1" t="str">
        <f>IFERROR(__xludf.DUMMYFUNCTION("""COMPUTED_VALUE"""),"Opening")</f>
        <v>Opening</v>
      </c>
      <c r="E170" s="1" t="str">
        <f>IFERROR(__xludf.DUMMYFUNCTION("""COMPUTED_VALUE"""),"Georgia has reopened gyms, personal care services, movie theaters, restaurant dining, bowling alleys, theaters, bars, and nightclubs. Nonessential medical procedures resumed April 28.")</f>
        <v>Georgia has reopened gyms, personal care services, movie theaters, restaurant dining, bowling alleys, theaters, bars, and nightclubs. Nonessential medical procedures resumed April 28.</v>
      </c>
      <c r="F170" s="1" t="str">
        <f>IFERROR(__xludf.DUMMYFUNCTION("""COMPUTED_VALUE"""),"National Academy for State Health Policy")</f>
        <v>National Academy for State Health Policy</v>
      </c>
      <c r="G170" s="3" t="str">
        <f>IFERROR(__xludf.DUMMYFUNCTION("""COMPUTED_VALUE"""),"https://www.nashp.org/2020-state-reopening-chart/")</f>
        <v>https://www.nashp.org/2020-state-reopening-chart/</v>
      </c>
      <c r="H170" s="1"/>
      <c r="I170" s="1"/>
    </row>
    <row r="171">
      <c r="A171" s="2">
        <f>IFERROR(__xludf.DUMMYFUNCTION("""COMPUTED_VALUE"""),43998.0)</f>
        <v>43998</v>
      </c>
      <c r="B171" s="1" t="str">
        <f>IFERROR(__xludf.DUMMYFUNCTION("""COMPUTED_VALUE"""),"Georgia")</f>
        <v>Georgia</v>
      </c>
      <c r="C171" s="1" t="str">
        <f>IFERROR(__xludf.DUMMYFUNCTION("""COMPUTED_VALUE"""),"State Proclamations ")</f>
        <v>State Proclamations </v>
      </c>
      <c r="D171" s="1" t="str">
        <f>IFERROR(__xludf.DUMMYFUNCTION("""COMPUTED_VALUE"""),"Opening")</f>
        <v>Opening</v>
      </c>
      <c r="E171" s="1" t="str">
        <f>IFERROR(__xludf.DUMMYFUNCTION("""COMPUTED_VALUE"""),"Gatherings of up to 50 people were permitted to meet without social distancing requirements, and the limit on the numbers of patrons who can dine together at restaurants was dropped.")</f>
        <v>Gatherings of up to 50 people were permitted to meet without social distancing requirements, and the limit on the numbers of patrons who can dine together at restaurants was dropped.</v>
      </c>
      <c r="F171" s="1" t="str">
        <f>IFERROR(__xludf.DUMMYFUNCTION("""COMPUTED_VALUE"""),"National Academy for State Health Policy")</f>
        <v>National Academy for State Health Policy</v>
      </c>
      <c r="G171" s="3" t="str">
        <f>IFERROR(__xludf.DUMMYFUNCTION("""COMPUTED_VALUE"""),"https://www.nashp.org/2020-state-reopening-chart/")</f>
        <v>https://www.nashp.org/2020-state-reopening-chart/</v>
      </c>
      <c r="H171" s="1"/>
      <c r="I171" s="1"/>
    </row>
    <row r="172">
      <c r="A172" s="2">
        <f>IFERROR(__xludf.DUMMYFUNCTION("""COMPUTED_VALUE"""),44013.0)</f>
        <v>44013</v>
      </c>
      <c r="B172" s="1" t="str">
        <f>IFERROR(__xludf.DUMMYFUNCTION("""COMPUTED_VALUE"""),"Georgia")</f>
        <v>Georgia</v>
      </c>
      <c r="C172" s="1" t="str">
        <f>IFERROR(__xludf.DUMMYFUNCTION("""COMPUTED_VALUE"""),"State Proclamations ")</f>
        <v>State Proclamations </v>
      </c>
      <c r="D172" s="1" t="str">
        <f>IFERROR(__xludf.DUMMYFUNCTION("""COMPUTED_VALUE"""),"Opening")</f>
        <v>Opening</v>
      </c>
      <c r="E172" s="1" t="str">
        <f>IFERROR(__xludf.DUMMYFUNCTION("""COMPUTED_VALUE"""),"Live entertainment venues could reopen.")</f>
        <v>Live entertainment venues could reopen.</v>
      </c>
      <c r="F172" s="1" t="str">
        <f>IFERROR(__xludf.DUMMYFUNCTION("""COMPUTED_VALUE"""),"National Academy for State Health Policy")</f>
        <v>National Academy for State Health Policy</v>
      </c>
      <c r="G172" s="3" t="str">
        <f>IFERROR(__xludf.DUMMYFUNCTION("""COMPUTED_VALUE"""),"https://www.nashp.org/2020-state-reopening-chart/")</f>
        <v>https://www.nashp.org/2020-state-reopening-chart/</v>
      </c>
      <c r="H172" s="1"/>
      <c r="I172" s="1"/>
    </row>
    <row r="173">
      <c r="A173" s="5">
        <f>IFERROR(__xludf.DUMMYFUNCTION("""COMPUTED_VALUE"""),44028.0)</f>
        <v>44028</v>
      </c>
      <c r="B173" s="1" t="str">
        <f>IFERROR(__xludf.DUMMYFUNCTION("""COMPUTED_VALUE"""),"Georgia")</f>
        <v>Georgia</v>
      </c>
      <c r="C173" s="1" t="str">
        <f>IFERROR(__xludf.DUMMYFUNCTION("""COMPUTED_VALUE"""),"State Proclamations ")</f>
        <v>State Proclamations </v>
      </c>
      <c r="D173" s="1" t="str">
        <f>IFERROR(__xludf.DUMMYFUNCTION("""COMPUTED_VALUE"""),"Opening")</f>
        <v>Opening</v>
      </c>
      <c r="E173" s="1" t="str">
        <f>IFERROR(__xludf.DUMMYFUNCTION("""COMPUTED_VALUE"""),"The governor sued to stop Atlanta from enforcing some of its coronavirus-related rules, including its mandate to wear a face covering in public")</f>
        <v>The governor sued to stop Atlanta from enforcing some of its coronavirus-related rules, including its mandate to wear a face covering in public</v>
      </c>
      <c r="F173" s="1" t="str">
        <f>IFERROR(__xludf.DUMMYFUNCTION("""COMPUTED_VALUE"""),"National Academy for State Health Policy")</f>
        <v>National Academy for State Health Policy</v>
      </c>
      <c r="G173" s="3" t="str">
        <f>IFERROR(__xludf.DUMMYFUNCTION("""COMPUTED_VALUE"""),"https://www.nashp.org/2020-state-reopening-chart/")</f>
        <v>https://www.nashp.org/2020-state-reopening-chart/</v>
      </c>
      <c r="H173" s="1"/>
      <c r="I173" s="1"/>
    </row>
    <row r="174">
      <c r="A174" s="2">
        <f>IFERROR(__xludf.DUMMYFUNCTION("""COMPUTED_VALUE"""),44056.0)</f>
        <v>44056</v>
      </c>
      <c r="B174" s="1" t="str">
        <f>IFERROR(__xludf.DUMMYFUNCTION("""COMPUTED_VALUE"""),"Georgia")</f>
        <v>Georgia</v>
      </c>
      <c r="C174" s="1" t="str">
        <f>IFERROR(__xludf.DUMMYFUNCTION("""COMPUTED_VALUE"""),"State Proclamations ")</f>
        <v>State Proclamations </v>
      </c>
      <c r="D174" s="1" t="str">
        <f>IFERROR(__xludf.DUMMYFUNCTION("""COMPUTED_VALUE"""),"Closing")</f>
        <v>Closing</v>
      </c>
      <c r="E174" s="1" t="str">
        <f>IFERROR(__xludf.DUMMYFUNCTION("""COMPUTED_VALUE"""),"The governor dropped a lawsuit he filed against the city of Atlanta after he and the city’s Democratic mayor clashed over mask requirements and other pandemic-related restrictions.")</f>
        <v>The governor dropped a lawsuit he filed against the city of Atlanta after he and the city’s Democratic mayor clashed over mask requirements and other pandemic-related restrictions.</v>
      </c>
      <c r="F174" s="1" t="str">
        <f>IFERROR(__xludf.DUMMYFUNCTION("""COMPUTED_VALUE"""),"National Academy for State Health Policy")</f>
        <v>National Academy for State Health Policy</v>
      </c>
      <c r="G174" s="3" t="str">
        <f>IFERROR(__xludf.DUMMYFUNCTION("""COMPUTED_VALUE"""),"https://www.nashp.org/2020-state-reopening-chart/")</f>
        <v>https://www.nashp.org/2020-state-reopening-chart/</v>
      </c>
      <c r="H174" s="1"/>
      <c r="I174" s="1"/>
    </row>
    <row r="175">
      <c r="A175" s="2">
        <f>IFERROR(__xludf.DUMMYFUNCTION("""COMPUTED_VALUE"""),44090.0)</f>
        <v>44090</v>
      </c>
      <c r="B175" s="1" t="str">
        <f>IFERROR(__xludf.DUMMYFUNCTION("""COMPUTED_VALUE"""),"Georgia")</f>
        <v>Georgia</v>
      </c>
      <c r="C175" s="1" t="str">
        <f>IFERROR(__xludf.DUMMYFUNCTION("""COMPUTED_VALUE"""),"State Proclamations ")</f>
        <v>State Proclamations </v>
      </c>
      <c r="D175" s="1" t="str">
        <f>IFERROR(__xludf.DUMMYFUNCTION("""COMPUTED_VALUE"""),"Opening")</f>
        <v>Opening</v>
      </c>
      <c r="E175" s="1" t="str">
        <f>IFERROR(__xludf.DUMMYFUNCTION("""COMPUTED_VALUE"""),"The governor signed an executive order creating a three-phase system for reopening nursing homes to in-person visitation.")</f>
        <v>The governor signed an executive order creating a three-phase system for reopening nursing homes to in-person visitation.</v>
      </c>
      <c r="F175" s="1" t="str">
        <f>IFERROR(__xludf.DUMMYFUNCTION("""COMPUTED_VALUE"""),"National Academy for State Health Policy")</f>
        <v>National Academy for State Health Policy</v>
      </c>
      <c r="G175" s="3" t="str">
        <f>IFERROR(__xludf.DUMMYFUNCTION("""COMPUTED_VALUE"""),"https://www.nashp.org/2020-state-reopening-chart/")</f>
        <v>https://www.nashp.org/2020-state-reopening-chart/</v>
      </c>
      <c r="H175" s="1"/>
      <c r="I175" s="1"/>
    </row>
    <row r="176">
      <c r="A176" s="2">
        <f>IFERROR(__xludf.DUMMYFUNCTION("""COMPUTED_VALUE"""),44119.0)</f>
        <v>44119</v>
      </c>
      <c r="B176" s="1" t="str">
        <f>IFERROR(__xludf.DUMMYFUNCTION("""COMPUTED_VALUE"""),"Georgia")</f>
        <v>Georgia</v>
      </c>
      <c r="C176" s="1" t="str">
        <f>IFERROR(__xludf.DUMMYFUNCTION("""COMPUTED_VALUE"""),"State Proclamations ")</f>
        <v>State Proclamations </v>
      </c>
      <c r="D176" s="1" t="str">
        <f>IFERROR(__xludf.DUMMYFUNCTION("""COMPUTED_VALUE"""),"Closing")</f>
        <v>Closing</v>
      </c>
      <c r="E176" s="1" t="str">
        <f>IFERROR(__xludf.DUMMYFUNCTION("""COMPUTED_VALUE"""),"The governor extended the executive order outlining the state’s coronavirus restrictions through Oct. 31, 2020, incuding requirements for businesses, including bars and restaurants, and a cap on gatherings larger than 50 people where social distancing can"&amp;"’t be followed.")</f>
        <v>The governor extended the executive order outlining the state’s coronavirus restrictions through Oct. 31, 2020, incuding requirements for businesses, including bars and restaurants, and a cap on gatherings larger than 50 people where social distancing can’t be followed.</v>
      </c>
      <c r="F176" s="1" t="str">
        <f>IFERROR(__xludf.DUMMYFUNCTION("""COMPUTED_VALUE"""),"National Academy for State Health Policy")</f>
        <v>National Academy for State Health Policy</v>
      </c>
      <c r="G176" s="3" t="str">
        <f>IFERROR(__xludf.DUMMYFUNCTION("""COMPUTED_VALUE"""),"https://www.nashp.org/2020-state-reopening-chart/")</f>
        <v>https://www.nashp.org/2020-state-reopening-chart/</v>
      </c>
      <c r="H176" s="1"/>
      <c r="I176" s="1"/>
    </row>
    <row r="177">
      <c r="A177" s="2">
        <f>IFERROR(__xludf.DUMMYFUNCTION("""COMPUTED_VALUE"""),44134.0)</f>
        <v>44134</v>
      </c>
      <c r="B177" s="1" t="str">
        <f>IFERROR(__xludf.DUMMYFUNCTION("""COMPUTED_VALUE"""),"Georgia")</f>
        <v>Georgia</v>
      </c>
      <c r="C177" s="1" t="str">
        <f>IFERROR(__xludf.DUMMYFUNCTION("""COMPUTED_VALUE"""),"State Proclamations ")</f>
        <v>State Proclamations </v>
      </c>
      <c r="D177" s="1" t="str">
        <f>IFERROR(__xludf.DUMMYFUNCTION("""COMPUTED_VALUE"""),"Closing")</f>
        <v>Closing</v>
      </c>
      <c r="E177" s="1" t="str">
        <f>IFERROR(__xludf.DUMMYFUNCTION("""COMPUTED_VALUE"""),"The governor extended the public health emergency order through Dec. 9 and the COVID-19 emergency order through Nov. 15.")</f>
        <v>The governor extended the public health emergency order through Dec. 9 and the COVID-19 emergency order through Nov. 15.</v>
      </c>
      <c r="F177" s="1" t="str">
        <f>IFERROR(__xludf.DUMMYFUNCTION("""COMPUTED_VALUE"""),"National Academy for State Health Policy")</f>
        <v>National Academy for State Health Policy</v>
      </c>
      <c r="G177" s="3" t="str">
        <f>IFERROR(__xludf.DUMMYFUNCTION("""COMPUTED_VALUE"""),"https://www.nashp.org/2020-state-reopening-chart/")</f>
        <v>https://www.nashp.org/2020-state-reopening-chart/</v>
      </c>
      <c r="H177" s="1"/>
      <c r="I177" s="1"/>
    </row>
    <row r="178">
      <c r="A178" s="2">
        <f>IFERROR(__xludf.DUMMYFUNCTION("""COMPUTED_VALUE"""),44150.0)</f>
        <v>44150</v>
      </c>
      <c r="B178" s="1" t="str">
        <f>IFERROR(__xludf.DUMMYFUNCTION("""COMPUTED_VALUE"""),"Georgia")</f>
        <v>Georgia</v>
      </c>
      <c r="C178" s="1" t="str">
        <f>IFERROR(__xludf.DUMMYFUNCTION("""COMPUTED_VALUE"""),"State Proclamations ")</f>
        <v>State Proclamations </v>
      </c>
      <c r="D178" s="1" t="str">
        <f>IFERROR(__xludf.DUMMYFUNCTION("""COMPUTED_VALUE"""),"Closing")</f>
        <v>Closing</v>
      </c>
      <c r="E178" s="1" t="str">
        <f>IFERROR(__xludf.DUMMYFUNCTION("""COMPUTED_VALUE"""),"The governor extended COVID-19 restrictions through the end of the month, including a prohibition on gatherings of 50 or more people.")</f>
        <v>The governor extended COVID-19 restrictions through the end of the month, including a prohibition on gatherings of 50 or more people.</v>
      </c>
      <c r="F178" s="1" t="str">
        <f>IFERROR(__xludf.DUMMYFUNCTION("""COMPUTED_VALUE"""),"National Academy for State Health Policy")</f>
        <v>National Academy for State Health Policy</v>
      </c>
      <c r="G178" s="3" t="str">
        <f>IFERROR(__xludf.DUMMYFUNCTION("""COMPUTED_VALUE"""),"https://www.nashp.org/2020-state-reopening-chart/")</f>
        <v>https://www.nashp.org/2020-state-reopening-chart/</v>
      </c>
      <c r="H178" s="1"/>
      <c r="I178" s="1"/>
    </row>
    <row r="179">
      <c r="A179" s="2">
        <f>IFERROR(__xludf.DUMMYFUNCTION("""COMPUTED_VALUE"""),44166.0)</f>
        <v>44166</v>
      </c>
      <c r="B179" s="1" t="str">
        <f>IFERROR(__xludf.DUMMYFUNCTION("""COMPUTED_VALUE"""),"Georgia")</f>
        <v>Georgia</v>
      </c>
      <c r="C179" s="1" t="str">
        <f>IFERROR(__xludf.DUMMYFUNCTION("""COMPUTED_VALUE"""),"State Proclamations ")</f>
        <v>State Proclamations </v>
      </c>
      <c r="D179" s="1" t="str">
        <f>IFERROR(__xludf.DUMMYFUNCTION("""COMPUTED_VALUE"""),"Closing")</f>
        <v>Closing</v>
      </c>
      <c r="E179" s="1" t="str">
        <f>IFERROR(__xludf.DUMMYFUNCTION("""COMPUTED_VALUE"""),"The governor extended the state of emergency through Jan. 8, 2021.")</f>
        <v>The governor extended the state of emergency through Jan. 8, 2021.</v>
      </c>
      <c r="F179" s="1" t="str">
        <f>IFERROR(__xludf.DUMMYFUNCTION("""COMPUTED_VALUE"""),"National Academy for State Health Policy")</f>
        <v>National Academy for State Health Policy</v>
      </c>
      <c r="G179" s="3" t="str">
        <f>IFERROR(__xludf.DUMMYFUNCTION("""COMPUTED_VALUE"""),"https://www.nashp.org/2020-state-reopening-chart/")</f>
        <v>https://www.nashp.org/2020-state-reopening-chart/</v>
      </c>
      <c r="H179" s="1"/>
      <c r="I179" s="1"/>
    </row>
    <row r="180">
      <c r="A180" s="2">
        <f>IFERROR(__xludf.DUMMYFUNCTION("""COMPUTED_VALUE"""),44242.0)</f>
        <v>44242</v>
      </c>
      <c r="B180" s="1" t="str">
        <f>IFERROR(__xludf.DUMMYFUNCTION("""COMPUTED_VALUE"""),"Georgia")</f>
        <v>Georgia</v>
      </c>
      <c r="C180" s="1" t="str">
        <f>IFERROR(__xludf.DUMMYFUNCTION("""COMPUTED_VALUE"""),"State Proclamations ")</f>
        <v>State Proclamations </v>
      </c>
      <c r="D180" s="1" t="str">
        <f>IFERROR(__xludf.DUMMYFUNCTION("""COMPUTED_VALUE"""),"Opening")</f>
        <v>Opening</v>
      </c>
      <c r="E180" s="1" t="str">
        <f>IFERROR(__xludf.DUMMYFUNCTION("""COMPUTED_VALUE"""),"Gov. Brian Kemp issued a new executive order requiring restaurants and other businesses to ensure their ventilation systems properly increase air circulation and purification. The order also allows individuals to apply to renew their weapons carry license"&amp;" up to 120 days after the expiration date if the license expires during the pandemic.")</f>
        <v>Gov. Brian Kemp issued a new executive order requiring restaurants and other businesses to ensure their ventilation systems properly increase air circulation and purification. The order also allows individuals to apply to renew their weapons carry license up to 120 days after the expiration date if the license expires during the pandemic.</v>
      </c>
      <c r="F180" s="1" t="str">
        <f>IFERROR(__xludf.DUMMYFUNCTION("""COMPUTED_VALUE"""),"National Academy for State Health Policy")</f>
        <v>National Academy for State Health Policy</v>
      </c>
      <c r="G180" s="3" t="str">
        <f>IFERROR(__xludf.DUMMYFUNCTION("""COMPUTED_VALUE"""),"https://www.nashp.org/2021-covid-19-state-restrictions-re-openings-and-mask-requirements/
")</f>
        <v>https://www.nashp.org/2021-covid-19-state-restrictions-re-openings-and-mask-requirements/
</v>
      </c>
      <c r="H180" s="1"/>
      <c r="I180" s="1"/>
    </row>
    <row r="181">
      <c r="A181" s="2">
        <f>IFERROR(__xludf.DUMMYFUNCTION("""COMPUTED_VALUE"""),44293.0)</f>
        <v>44293</v>
      </c>
      <c r="B181" s="1" t="str">
        <f>IFERROR(__xludf.DUMMYFUNCTION("""COMPUTED_VALUE"""),"Georgia")</f>
        <v>Georgia</v>
      </c>
      <c r="C181" s="1" t="str">
        <f>IFERROR(__xludf.DUMMYFUNCTION("""COMPUTED_VALUE"""),"State Proclamations ")</f>
        <v>State Proclamations </v>
      </c>
      <c r="D181" s="1" t="str">
        <f>IFERROR(__xludf.DUMMYFUNCTION("""COMPUTED_VALUE"""),"Opening")</f>
        <v>Opening</v>
      </c>
      <c r="E181" s="1" t="str">
        <f>IFERROR(__xludf.DUMMYFUNCTION("""COMPUTED_VALUE"""),"The governor lifted the ban on gatherings or any social distance requirements in businesses like bars, movie theaters, or gyms. Law enforcement is prohibited from closing businesses and organizations that do not comply with COVID-19 restrictions.")</f>
        <v>The governor lifted the ban on gatherings or any social distance requirements in businesses like bars, movie theaters, or gyms. Law enforcement is prohibited from closing businesses and organizations that do not comply with COVID-19 restrictions.</v>
      </c>
      <c r="F181" s="1" t="str">
        <f>IFERROR(__xludf.DUMMYFUNCTION("""COMPUTED_VALUE"""),"National Academy for State Health Policy")</f>
        <v>National Academy for State Health Policy</v>
      </c>
      <c r="G181" s="3" t="str">
        <f>IFERROR(__xludf.DUMMYFUNCTION("""COMPUTED_VALUE"""),"https://www.nashp.org/2021-covid-19-state-restrictions-re-openings-and-mask-requirements/")</f>
        <v>https://www.nashp.org/2021-covid-19-state-restrictions-re-openings-and-mask-requirements/</v>
      </c>
      <c r="H181" s="1"/>
      <c r="I181" s="1"/>
    </row>
    <row r="182">
      <c r="A182" s="2">
        <f>IFERROR(__xludf.DUMMYFUNCTION("""COMPUTED_VALUE"""),44316.0)</f>
        <v>44316</v>
      </c>
      <c r="B182" s="1" t="str">
        <f>IFERROR(__xludf.DUMMYFUNCTION("""COMPUTED_VALUE"""),"Georgia")</f>
        <v>Georgia</v>
      </c>
      <c r="C182" s="1" t="str">
        <f>IFERROR(__xludf.DUMMYFUNCTION("""COMPUTED_VALUE"""),"State Proclamations ")</f>
        <v>State Proclamations </v>
      </c>
      <c r="D182" s="1" t="str">
        <f>IFERROR(__xludf.DUMMYFUNCTION("""COMPUTED_VALUE"""),"Opening")</f>
        <v>Opening</v>
      </c>
      <c r="E182" s="1" t="str">
        <f>IFERROR(__xludf.DUMMYFUNCTION("""COMPUTED_VALUE"""),"The governor lifted restrictions on most businesses. Live performance venues and graduation ceremonies are no longer required to follow specific rules but must follow general mitigation guidelines.")</f>
        <v>The governor lifted restrictions on most businesses. Live performance venues and graduation ceremonies are no longer required to follow specific rules but must follow general mitigation guidelines.</v>
      </c>
      <c r="F182" s="1" t="str">
        <f>IFERROR(__xludf.DUMMYFUNCTION("""COMPUTED_VALUE"""),"National Academy for State Health Policy")</f>
        <v>National Academy for State Health Policy</v>
      </c>
      <c r="G182" s="3" t="str">
        <f>IFERROR(__xludf.DUMMYFUNCTION("""COMPUTED_VALUE"""),"https://www.nashp.org/2021-covid-19-state-restrictions-re-openings-and-mask-requirements/")</f>
        <v>https://www.nashp.org/2021-covid-19-state-restrictions-re-openings-and-mask-requirements/</v>
      </c>
      <c r="H182" s="1"/>
      <c r="I182" s="1"/>
    </row>
    <row r="183">
      <c r="A183" s="2">
        <f>IFERROR(__xludf.DUMMYFUNCTION("""COMPUTED_VALUE"""),44344.0)</f>
        <v>44344</v>
      </c>
      <c r="B183" s="1" t="str">
        <f>IFERROR(__xludf.DUMMYFUNCTION("""COMPUTED_VALUE"""),"Georgia")</f>
        <v>Georgia</v>
      </c>
      <c r="C183" s="1" t="str">
        <f>IFERROR(__xludf.DUMMYFUNCTION("""COMPUTED_VALUE"""),"State Proclamations ")</f>
        <v>State Proclamations </v>
      </c>
      <c r="D183" s="1" t="str">
        <f>IFERROR(__xludf.DUMMYFUNCTION("""COMPUTED_VALUE"""),"Opening")</f>
        <v>Opening</v>
      </c>
      <c r="E183" s="1" t="str">
        <f>IFERROR(__xludf.DUMMYFUNCTION("""COMPUTED_VALUE"""),"The governor lifted all remaining rules and restrictions on restaurants, bars, conventions, childcare facilities, and live performance venues.")</f>
        <v>The governor lifted all remaining rules and restrictions on restaurants, bars, conventions, childcare facilities, and live performance venues.</v>
      </c>
      <c r="F183" s="1" t="str">
        <f>IFERROR(__xludf.DUMMYFUNCTION("""COMPUTED_VALUE"""),"National Academy for State Health Policy")</f>
        <v>National Academy for State Health Policy</v>
      </c>
      <c r="G183" s="3" t="str">
        <f>IFERROR(__xludf.DUMMYFUNCTION("""COMPUTED_VALUE"""),"https://www.nashp.org/2021-covid-19-state-restrictions-re-openings-and-mask-requirements/")</f>
        <v>https://www.nashp.org/2021-covid-19-state-restrictions-re-openings-and-mask-requirements/</v>
      </c>
      <c r="H183" s="1"/>
      <c r="I183" s="1"/>
    </row>
    <row r="184">
      <c r="A184" s="2">
        <f>IFERROR(__xludf.DUMMYFUNCTION("""COMPUTED_VALUE"""),44378.0)</f>
        <v>44378</v>
      </c>
      <c r="B184" s="1" t="str">
        <f>IFERROR(__xludf.DUMMYFUNCTION("""COMPUTED_VALUE"""),"Georgia")</f>
        <v>Georgia</v>
      </c>
      <c r="C184" s="1" t="str">
        <f>IFERROR(__xludf.DUMMYFUNCTION("""COMPUTED_VALUE"""),"State of Emergency")</f>
        <v>State of Emergency</v>
      </c>
      <c r="D184" s="1" t="str">
        <f>IFERROR(__xludf.DUMMYFUNCTION("""COMPUTED_VALUE"""),"End")</f>
        <v>End</v>
      </c>
      <c r="E184" s="1" t="str">
        <f>IFERROR(__xludf.DUMMYFUNCTION("""COMPUTED_VALUE"""),"State of Emergency expired on July 1, 2021")</f>
        <v>State of Emergency expired on July 1, 2021</v>
      </c>
      <c r="F184" s="1" t="str">
        <f>IFERROR(__xludf.DUMMYFUNCTION("""COMPUTED_VALUE"""),"National Academy for State Health Policy")</f>
        <v>National Academy for State Health Policy</v>
      </c>
      <c r="G184" s="3" t="str">
        <f>IFERROR(__xludf.DUMMYFUNCTION("""COMPUTED_VALUE"""),"https://www.nashp.org/2021-covid-19-state-restrictions-re-openings-and-mask-requirements/")</f>
        <v>https://www.nashp.org/2021-covid-19-state-restrictions-re-openings-and-mask-requirements/</v>
      </c>
      <c r="H184" s="1"/>
      <c r="I184" s="1"/>
    </row>
    <row r="185">
      <c r="A185" s="2">
        <f>IFERROR(__xludf.DUMMYFUNCTION("""COMPUTED_VALUE"""),44427.0)</f>
        <v>44427</v>
      </c>
      <c r="B185" s="1" t="str">
        <f>IFERROR(__xludf.DUMMYFUNCTION("""COMPUTED_VALUE"""),"Georgia")</f>
        <v>Georgia</v>
      </c>
      <c r="C185" s="1" t="str">
        <f>IFERROR(__xludf.DUMMYFUNCTION("""COMPUTED_VALUE"""),"State Proclamations ")</f>
        <v>State Proclamations </v>
      </c>
      <c r="D185" s="1" t="str">
        <f>IFERROR(__xludf.DUMMYFUNCTION("""COMPUTED_VALUE"""),"Opening")</f>
        <v>Opening</v>
      </c>
      <c r="E185" s="1" t="str">
        <f>IFERROR(__xludf.DUMMYFUNCTION("""COMPUTED_VALUE"""),"The governor issued an order prohibiting countries and local governments from forcing private organizations to comply with COVID-19 restrictions.")</f>
        <v>The governor issued an order prohibiting countries and local governments from forcing private organizations to comply with COVID-19 restrictions.</v>
      </c>
      <c r="F185" s="1" t="str">
        <f>IFERROR(__xludf.DUMMYFUNCTION("""COMPUTED_VALUE"""),"National Academy for State Health Policy")</f>
        <v>National Academy for State Health Policy</v>
      </c>
      <c r="G185" s="3" t="str">
        <f>IFERROR(__xludf.DUMMYFUNCTION("""COMPUTED_VALUE"""),"https://www.nashp.org/2021-covid-19-state-restrictions-re-openings-and-mask-requirements/")</f>
        <v>https://www.nashp.org/2021-covid-19-state-restrictions-re-openings-and-mask-requirements/</v>
      </c>
      <c r="H185" s="1"/>
      <c r="I185" s="1"/>
    </row>
    <row r="186">
      <c r="A186" s="2">
        <f>IFERROR(__xludf.DUMMYFUNCTION("""COMPUTED_VALUE"""),43895.0)</f>
        <v>43895</v>
      </c>
      <c r="B186" s="1" t="str">
        <f>IFERROR(__xludf.DUMMYFUNCTION("""COMPUTED_VALUE"""),"Hawaii")</f>
        <v>Hawaii</v>
      </c>
      <c r="C186" s="1" t="str">
        <f>IFERROR(__xludf.DUMMYFUNCTION("""COMPUTED_VALUE"""),"State of Emergency")</f>
        <v>State of Emergency</v>
      </c>
      <c r="D186" s="1" t="str">
        <f>IFERROR(__xludf.DUMMYFUNCTION("""COMPUTED_VALUE"""),"Start")</f>
        <v>Start</v>
      </c>
      <c r="E186" s="1" t="str">
        <f>IFERROR(__xludf.DUMMYFUNCTION("""COMPUTED_VALUE"""),"On March 5, Hawaii issued an emergency proclamation.")</f>
        <v>On March 5, Hawaii issued an emergency proclamation.</v>
      </c>
      <c r="F186" s="1" t="str">
        <f>IFERROR(__xludf.DUMMYFUNCTION("""COMPUTED_VALUE"""),"Business Insider")</f>
        <v>Business Insider</v>
      </c>
      <c r="G186" s="3" t="str">
        <f>IFERROR(__xludf.DUMMYFUNCTION("""COMPUTED_VALUE"""),"https://www.businessinsider.com/california-washington-state-of-emergency-coronavirus-what-it-means-2020-3#hawaii-29")</f>
        <v>https://www.businessinsider.com/california-washington-state-of-emergency-coronavirus-what-it-means-2020-3#hawaii-29</v>
      </c>
      <c r="H186" s="1"/>
      <c r="I186" s="1"/>
    </row>
    <row r="187">
      <c r="A187" s="2">
        <f>IFERROR(__xludf.DUMMYFUNCTION("""COMPUTED_VALUE"""),43915.0)</f>
        <v>43915</v>
      </c>
      <c r="B187" s="1" t="str">
        <f>IFERROR(__xludf.DUMMYFUNCTION("""COMPUTED_VALUE"""),"Hawaii")</f>
        <v>Hawaii</v>
      </c>
      <c r="C187" s="1" t="str">
        <f>IFERROR(__xludf.DUMMYFUNCTION("""COMPUTED_VALUE"""),"Stay-at-Home Order")</f>
        <v>Stay-at-Home Order</v>
      </c>
      <c r="D187" s="1" t="str">
        <f>IFERROR(__xludf.DUMMYFUNCTION("""COMPUTED_VALUE"""),"Start")</f>
        <v>Start</v>
      </c>
      <c r="E187" s="1" t="str">
        <f>IFERROR(__xludf.DUMMYFUNCTION("""COMPUTED_VALUE"""),"Original stay-at-home order begins")</f>
        <v>Original stay-at-home order begins</v>
      </c>
      <c r="F187" s="1" t="str">
        <f>IFERROR(__xludf.DUMMYFUNCTION("""COMPUTED_VALUE"""),"National Academy for State Health Policy")</f>
        <v>National Academy for State Health Policy</v>
      </c>
      <c r="G187" s="3" t="str">
        <f>IFERROR(__xludf.DUMMYFUNCTION("""COMPUTED_VALUE"""),"https://www.nashp.org/2020-state-reopening-chart/")</f>
        <v>https://www.nashp.org/2020-state-reopening-chart/</v>
      </c>
      <c r="H187" s="1"/>
      <c r="I187" s="1"/>
    </row>
    <row r="188">
      <c r="A188" s="2">
        <f>IFERROR(__xludf.DUMMYFUNCTION("""COMPUTED_VALUE"""),43941.0)</f>
        <v>43941</v>
      </c>
      <c r="B188" s="1" t="str">
        <f>IFERROR(__xludf.DUMMYFUNCTION("""COMPUTED_VALUE"""),"Hawaii")</f>
        <v>Hawaii</v>
      </c>
      <c r="C188" s="1" t="str">
        <f>IFERROR(__xludf.DUMMYFUNCTION("""COMPUTED_VALUE"""),"Mask Mandate")</f>
        <v>Mask Mandate</v>
      </c>
      <c r="D188" s="1" t="str">
        <f>IFERROR(__xludf.DUMMYFUNCTION("""COMPUTED_VALUE"""),"Start")</f>
        <v>Start</v>
      </c>
      <c r="E188" s="1" t="str">
        <f>IFERROR(__xludf.DUMMYFUNCTION("""COMPUTED_VALUE"""),"Both customers and employees at essential businesses are required to wear cloth face coverings. Establishments must limit the number of customers allowed in and keep them six feet apart.")</f>
        <v>Both customers and employees at essential businesses are required to wear cloth face coverings. Establishments must limit the number of customers allowed in and keep them six feet apart.</v>
      </c>
      <c r="F188" s="1" t="str">
        <f>IFERROR(__xludf.DUMMYFUNCTION("""COMPUTED_VALUE"""),"CNN")</f>
        <v>CNN</v>
      </c>
      <c r="G188" s="3" t="str">
        <f>IFERROR(__xludf.DUMMYFUNCTION("""COMPUTED_VALUE"""),"https://www.cnn.com/2020/06/19/us/states-face-mask-coronavirus-trnd/index.html")</f>
        <v>https://www.cnn.com/2020/06/19/us/states-face-mask-coronavirus-trnd/index.html</v>
      </c>
      <c r="H188" s="1"/>
      <c r="I188" s="1"/>
    </row>
    <row r="189">
      <c r="A189" s="2">
        <f>IFERROR(__xludf.DUMMYFUNCTION("""COMPUTED_VALUE"""),43982.0)</f>
        <v>43982</v>
      </c>
      <c r="B189" s="1" t="str">
        <f>IFERROR(__xludf.DUMMYFUNCTION("""COMPUTED_VALUE"""),"Hawaii")</f>
        <v>Hawaii</v>
      </c>
      <c r="C189" s="1" t="str">
        <f>IFERROR(__xludf.DUMMYFUNCTION("""COMPUTED_VALUE"""),"Stay-at-Home Order")</f>
        <v>Stay-at-Home Order</v>
      </c>
      <c r="D189" s="1" t="str">
        <f>IFERROR(__xludf.DUMMYFUNCTION("""COMPUTED_VALUE"""),"End")</f>
        <v>End</v>
      </c>
      <c r="E189" s="1" t="str">
        <f>IFERROR(__xludf.DUMMYFUNCTION("""COMPUTED_VALUE"""),"Original stay-at-home order ends")</f>
        <v>Original stay-at-home order ends</v>
      </c>
      <c r="F189" s="1" t="str">
        <f>IFERROR(__xludf.DUMMYFUNCTION("""COMPUTED_VALUE"""),"National Academy for State Health Policy")</f>
        <v>National Academy for State Health Policy</v>
      </c>
      <c r="G189" s="3" t="str">
        <f>IFERROR(__xludf.DUMMYFUNCTION("""COMPUTED_VALUE"""),"https://www.nashp.org/2020-state-reopening-chart/")</f>
        <v>https://www.nashp.org/2020-state-reopening-chart/</v>
      </c>
      <c r="H189" s="1"/>
      <c r="I189" s="1"/>
    </row>
    <row r="190">
      <c r="A190" s="2">
        <f>IFERROR(__xludf.DUMMYFUNCTION("""COMPUTED_VALUE"""),43982.0)</f>
        <v>43982</v>
      </c>
      <c r="B190" s="1" t="str">
        <f>IFERROR(__xludf.DUMMYFUNCTION("""COMPUTED_VALUE"""),"Hawaii")</f>
        <v>Hawaii</v>
      </c>
      <c r="C190" s="1" t="str">
        <f>IFERROR(__xludf.DUMMYFUNCTION("""COMPUTED_VALUE"""),"State Proclamations ")</f>
        <v>State Proclamations </v>
      </c>
      <c r="D190" s="1" t="str">
        <f>IFERROR(__xludf.DUMMYFUNCTION("""COMPUTED_VALUE"""),"Opening")</f>
        <v>Opening</v>
      </c>
      <c r="E190" s="1" t="str">
        <f>IFERROR(__xludf.DUMMYFUNCTION("""COMPUTED_VALUE"""),"Hawaii has reopened beaches, piers, docks, state parks, retail stores, restaurant dining, bars, houses of worship, pools, and gyms. Nonessential medical procedures resumed April 25.")</f>
        <v>Hawaii has reopened beaches, piers, docks, state parks, retail stores, restaurant dining, bars, houses of worship, pools, and gyms. Nonessential medical procedures resumed April 25.</v>
      </c>
      <c r="F190" s="1" t="str">
        <f>IFERROR(__xludf.DUMMYFUNCTION("""COMPUTED_VALUE"""),"National Academy for State Health Policy")</f>
        <v>National Academy for State Health Policy</v>
      </c>
      <c r="G190" s="3" t="str">
        <f>IFERROR(__xludf.DUMMYFUNCTION("""COMPUTED_VALUE"""),"https://www.nashp.org/2020-state-reopening-chart/")</f>
        <v>https://www.nashp.org/2020-state-reopening-chart/</v>
      </c>
      <c r="H190" s="1"/>
      <c r="I190" s="1"/>
    </row>
    <row r="191">
      <c r="A191" s="2">
        <f>IFERROR(__xludf.DUMMYFUNCTION("""COMPUTED_VALUE"""),43998.0)</f>
        <v>43998</v>
      </c>
      <c r="B191" s="1" t="str">
        <f>IFERROR(__xludf.DUMMYFUNCTION("""COMPUTED_VALUE"""),"Hawaii")</f>
        <v>Hawaii</v>
      </c>
      <c r="C191" s="1" t="str">
        <f>IFERROR(__xludf.DUMMYFUNCTION("""COMPUTED_VALUE"""),"State Proclamations ")</f>
        <v>State Proclamations </v>
      </c>
      <c r="D191" s="1" t="str">
        <f>IFERROR(__xludf.DUMMYFUNCTION("""COMPUTED_VALUE"""),"Opening")</f>
        <v>Opening</v>
      </c>
      <c r="E191" s="1" t="str">
        <f>IFERROR(__xludf.DUMMYFUNCTION("""COMPUTED_VALUE"""),"Inter-island travel reopened without restrictions.")</f>
        <v>Inter-island travel reopened without restrictions.</v>
      </c>
      <c r="F191" s="1" t="str">
        <f>IFERROR(__xludf.DUMMYFUNCTION("""COMPUTED_VALUE"""),"National Academy for State Health Policy")</f>
        <v>National Academy for State Health Policy</v>
      </c>
      <c r="G191" s="3" t="str">
        <f>IFERROR(__xludf.DUMMYFUNCTION("""COMPUTED_VALUE"""),"https://www.nashp.org/2020-state-reopening-chart/")</f>
        <v>https://www.nashp.org/2020-state-reopening-chart/</v>
      </c>
      <c r="H191" s="1"/>
      <c r="I191" s="1"/>
    </row>
    <row r="192">
      <c r="A192" s="2">
        <f>IFERROR(__xludf.DUMMYFUNCTION("""COMPUTED_VALUE"""),44054.0)</f>
        <v>44054</v>
      </c>
      <c r="B192" s="1" t="str">
        <f>IFERROR(__xludf.DUMMYFUNCTION("""COMPUTED_VALUE"""),"Hawaii")</f>
        <v>Hawaii</v>
      </c>
      <c r="C192" s="1" t="str">
        <f>IFERROR(__xludf.DUMMYFUNCTION("""COMPUTED_VALUE"""),"State Proclamations ")</f>
        <v>State Proclamations </v>
      </c>
      <c r="D192" s="1" t="str">
        <f>IFERROR(__xludf.DUMMYFUNCTION("""COMPUTED_VALUE"""),"Closing")</f>
        <v>Closing</v>
      </c>
      <c r="E192" s="1" t="str">
        <f>IFERROR(__xludf.DUMMYFUNCTION("""COMPUTED_VALUE"""),"The governor reinstated restrictions on inter-island travel. This restriction applies to travelers arriving in Kauai, Hawaii, Maui, and Kalawao.")</f>
        <v>The governor reinstated restrictions on inter-island travel. This restriction applies to travelers arriving in Kauai, Hawaii, Maui, and Kalawao.</v>
      </c>
      <c r="F192" s="1" t="str">
        <f>IFERROR(__xludf.DUMMYFUNCTION("""COMPUTED_VALUE"""),"National Academy for State Health Policy")</f>
        <v>National Academy for State Health Policy</v>
      </c>
      <c r="G192" s="3" t="str">
        <f>IFERROR(__xludf.DUMMYFUNCTION("""COMPUTED_VALUE"""),"https://www.nashp.org/2020-state-reopening-chart/")</f>
        <v>https://www.nashp.org/2020-state-reopening-chart/</v>
      </c>
      <c r="H192" s="1"/>
      <c r="I192" s="1"/>
    </row>
    <row r="193">
      <c r="A193" s="2">
        <f>IFERROR(__xludf.DUMMYFUNCTION("""COMPUTED_VALUE"""),44061.0)</f>
        <v>44061</v>
      </c>
      <c r="B193" s="1" t="str">
        <f>IFERROR(__xludf.DUMMYFUNCTION("""COMPUTED_VALUE"""),"Hawaii")</f>
        <v>Hawaii</v>
      </c>
      <c r="C193" s="1" t="str">
        <f>IFERROR(__xludf.DUMMYFUNCTION("""COMPUTED_VALUE"""),"State Proclamations ")</f>
        <v>State Proclamations </v>
      </c>
      <c r="D193" s="1" t="str">
        <f>IFERROR(__xludf.DUMMYFUNCTION("""COMPUTED_VALUE"""),"Closing")</f>
        <v>Closing</v>
      </c>
      <c r="E193" s="1" t="str">
        <f>IFERROR(__xludf.DUMMYFUNCTION("""COMPUTED_VALUE"""),"The governor delayed reopening to mainland travelers until at least Oct. 1.")</f>
        <v>The governor delayed reopening to mainland travelers until at least Oct. 1.</v>
      </c>
      <c r="F193" s="1" t="str">
        <f>IFERROR(__xludf.DUMMYFUNCTION("""COMPUTED_VALUE"""),"National Academy for State Health Policy")</f>
        <v>National Academy for State Health Policy</v>
      </c>
      <c r="G193" s="3" t="str">
        <f>IFERROR(__xludf.DUMMYFUNCTION("""COMPUTED_VALUE"""),"https://www.nashp.org/2020-state-reopening-chart/")</f>
        <v>https://www.nashp.org/2020-state-reopening-chart/</v>
      </c>
      <c r="H193" s="1"/>
      <c r="I193" s="1"/>
    </row>
    <row r="194">
      <c r="A194" s="2">
        <f>IFERROR(__xludf.DUMMYFUNCTION("""COMPUTED_VALUE"""),44082.0)</f>
        <v>44082</v>
      </c>
      <c r="B194" s="1" t="str">
        <f>IFERROR(__xludf.DUMMYFUNCTION("""COMPUTED_VALUE"""),"Hawaii")</f>
        <v>Hawaii</v>
      </c>
      <c r="C194" s="1" t="str">
        <f>IFERROR(__xludf.DUMMYFUNCTION("""COMPUTED_VALUE"""),"State Proclamations ")</f>
        <v>State Proclamations </v>
      </c>
      <c r="D194" s="1" t="str">
        <f>IFERROR(__xludf.DUMMYFUNCTION("""COMPUTED_VALUE"""),"Opening")</f>
        <v>Opening</v>
      </c>
      <c r="E194" s="1" t="str">
        <f>IFERROR(__xludf.DUMMYFUNCTION("""COMPUTED_VALUE"""),"Beaches, parks, and trails in Oahu reopened for solo activity.")</f>
        <v>Beaches, parks, and trails in Oahu reopened for solo activity.</v>
      </c>
      <c r="F194" s="1" t="str">
        <f>IFERROR(__xludf.DUMMYFUNCTION("""COMPUTED_VALUE"""),"National Academy for State Health Policy")</f>
        <v>National Academy for State Health Policy</v>
      </c>
      <c r="G194" s="3" t="str">
        <f>IFERROR(__xludf.DUMMYFUNCTION("""COMPUTED_VALUE"""),"https://www.nashp.org/2020-state-reopening-chart/")</f>
        <v>https://www.nashp.org/2020-state-reopening-chart/</v>
      </c>
      <c r="H194" s="1"/>
      <c r="I194" s="1"/>
    </row>
    <row r="195">
      <c r="A195" s="2">
        <f>IFERROR(__xludf.DUMMYFUNCTION("""COMPUTED_VALUE"""),44088.0)</f>
        <v>44088</v>
      </c>
      <c r="B195" s="1" t="str">
        <f>IFERROR(__xludf.DUMMYFUNCTION("""COMPUTED_VALUE"""),"Hawaii")</f>
        <v>Hawaii</v>
      </c>
      <c r="C195" s="1" t="str">
        <f>IFERROR(__xludf.DUMMYFUNCTION("""COMPUTED_VALUE"""),"State Proclamations ")</f>
        <v>State Proclamations </v>
      </c>
      <c r="D195" s="1" t="str">
        <f>IFERROR(__xludf.DUMMYFUNCTION("""COMPUTED_VALUE"""),"Closing")</f>
        <v>Closing</v>
      </c>
      <c r="E195" s="1" t="str">
        <f>IFERROR(__xludf.DUMMYFUNCTION("""COMPUTED_VALUE"""),"The governor said he will likely delay the state of a pre-arrivals testing program to reopen tourism.")</f>
        <v>The governor said he will likely delay the state of a pre-arrivals testing program to reopen tourism.</v>
      </c>
      <c r="F195" s="1" t="str">
        <f>IFERROR(__xludf.DUMMYFUNCTION("""COMPUTED_VALUE"""),"National Academy for State Health Policy")</f>
        <v>National Academy for State Health Policy</v>
      </c>
      <c r="G195" s="3" t="str">
        <f>IFERROR(__xludf.DUMMYFUNCTION("""COMPUTED_VALUE"""),"https://www.nashp.org/2020-state-reopening-chart/")</f>
        <v>https://www.nashp.org/2020-state-reopening-chart/</v>
      </c>
      <c r="H195" s="1"/>
      <c r="I195" s="1"/>
    </row>
    <row r="196">
      <c r="A196" s="2">
        <f>IFERROR(__xludf.DUMMYFUNCTION("""COMPUTED_VALUE"""),44099.0)</f>
        <v>44099</v>
      </c>
      <c r="B196" s="1" t="str">
        <f>IFERROR(__xludf.DUMMYFUNCTION("""COMPUTED_VALUE"""),"Hawaii")</f>
        <v>Hawaii</v>
      </c>
      <c r="C196" s="1" t="str">
        <f>IFERROR(__xludf.DUMMYFUNCTION("""COMPUTED_VALUE"""),"State Proclamations ")</f>
        <v>State Proclamations </v>
      </c>
      <c r="D196" s="1" t="str">
        <f>IFERROR(__xludf.DUMMYFUNCTION("""COMPUTED_VALUE"""),"Closing")</f>
        <v>Closing</v>
      </c>
      <c r="E196" s="1" t="str">
        <f>IFERROR(__xludf.DUMMYFUNCTION("""COMPUTED_VALUE"""),"The governor extended the state of emergency until Oct. 31.")</f>
        <v>The governor extended the state of emergency until Oct. 31.</v>
      </c>
      <c r="F196" s="1" t="str">
        <f>IFERROR(__xludf.DUMMYFUNCTION("""COMPUTED_VALUE"""),"National Academy for State Health Policy")</f>
        <v>National Academy for State Health Policy</v>
      </c>
      <c r="G196" s="3" t="str">
        <f>IFERROR(__xludf.DUMMYFUNCTION("""COMPUTED_VALUE"""),"https://www.nashp.org/2020-state-reopening-chart/")</f>
        <v>https://www.nashp.org/2020-state-reopening-chart/</v>
      </c>
      <c r="H196" s="1"/>
      <c r="I196" s="1"/>
    </row>
    <row r="197">
      <c r="A197" s="2">
        <f>IFERROR(__xludf.DUMMYFUNCTION("""COMPUTED_VALUE"""),44119.0)</f>
        <v>44119</v>
      </c>
      <c r="B197" s="1" t="str">
        <f>IFERROR(__xludf.DUMMYFUNCTION("""COMPUTED_VALUE"""),"Hawaii")</f>
        <v>Hawaii</v>
      </c>
      <c r="C197" s="1" t="str">
        <f>IFERROR(__xludf.DUMMYFUNCTION("""COMPUTED_VALUE"""),"State Proclamations ")</f>
        <v>State Proclamations </v>
      </c>
      <c r="D197" s="1" t="str">
        <f>IFERROR(__xludf.DUMMYFUNCTION("""COMPUTED_VALUE"""),"Opening")</f>
        <v>Opening</v>
      </c>
      <c r="E197" s="1" t="str">
        <f>IFERROR(__xludf.DUMMYFUNCTION("""COMPUTED_VALUE"""),"The state will reopen to tourism with a pre-arrival testing program.")</f>
        <v>The state will reopen to tourism with a pre-arrival testing program.</v>
      </c>
      <c r="F197" s="1" t="str">
        <f>IFERROR(__xludf.DUMMYFUNCTION("""COMPUTED_VALUE"""),"National Academy for State Health Policy")</f>
        <v>National Academy for State Health Policy</v>
      </c>
      <c r="G197" s="3" t="str">
        <f>IFERROR(__xludf.DUMMYFUNCTION("""COMPUTED_VALUE"""),"https://www.nashp.org/2020-state-reopening-chart/")</f>
        <v>https://www.nashp.org/2020-state-reopening-chart/</v>
      </c>
      <c r="H197" s="1"/>
      <c r="I197" s="1"/>
    </row>
    <row r="198">
      <c r="A198" s="2">
        <f>IFERROR(__xludf.DUMMYFUNCTION("""COMPUTED_VALUE"""),44295.0)</f>
        <v>44295</v>
      </c>
      <c r="B198" s="1" t="str">
        <f>IFERROR(__xludf.DUMMYFUNCTION("""COMPUTED_VALUE"""),"Hawaii")</f>
        <v>Hawaii</v>
      </c>
      <c r="C198" s="1" t="str">
        <f>IFERROR(__xludf.DUMMYFUNCTION("""COMPUTED_VALUE"""),"State Proclamations ")</f>
        <v>State Proclamations </v>
      </c>
      <c r="D198" s="1" t="str">
        <f>IFERROR(__xludf.DUMMYFUNCTION("""COMPUTED_VALUE"""),"Opening")</f>
        <v>Opening</v>
      </c>
      <c r="E198" s="1" t="str">
        <f>IFERROR(__xludf.DUMMYFUNCTION("""COMPUTED_VALUE"""),"After remaining in the ""yellow"" tier for almost a year, the state ended its color-coded tier system. Several local governments have their own color-coded tiers for reopening.")</f>
        <v>After remaining in the "yellow" tier for almost a year, the state ended its color-coded tier system. Several local governments have their own color-coded tiers for reopening.</v>
      </c>
      <c r="F198" s="1" t="str">
        <f>IFERROR(__xludf.DUMMYFUNCTION("""COMPUTED_VALUE"""),"National Academy for State Health Policy")</f>
        <v>National Academy for State Health Policy</v>
      </c>
      <c r="G198" s="3" t="str">
        <f>IFERROR(__xludf.DUMMYFUNCTION("""COMPUTED_VALUE"""),"https://www.nashp.org/2021-covid-19-state-restrictions-re-openings-and-mask-requirements/")</f>
        <v>https://www.nashp.org/2021-covid-19-state-restrictions-re-openings-and-mask-requirements/</v>
      </c>
      <c r="H198" s="1"/>
      <c r="I198" s="1"/>
    </row>
    <row r="199">
      <c r="A199" s="2">
        <f>IFERROR(__xludf.DUMMYFUNCTION("""COMPUTED_VALUE"""),44341.0)</f>
        <v>44341</v>
      </c>
      <c r="B199" s="1" t="str">
        <f>IFERROR(__xludf.DUMMYFUNCTION("""COMPUTED_VALUE"""),"Hawaii")</f>
        <v>Hawaii</v>
      </c>
      <c r="C199" s="1" t="str">
        <f>IFERROR(__xludf.DUMMYFUNCTION("""COMPUTED_VALUE"""),"Mask Mandate")</f>
        <v>Mask Mandate</v>
      </c>
      <c r="D199" s="1" t="str">
        <f>IFERROR(__xludf.DUMMYFUNCTION("""COMPUTED_VALUE"""),"End")</f>
        <v>End</v>
      </c>
      <c r="E199" s="1" t="str">
        <f>IFERROR(__xludf.DUMMYFUNCTION("""COMPUTED_VALUE"""),"On May 25, the governor lifted the outdoor mask mandate. Masks are still required in all public indoor spaces")</f>
        <v>On May 25, the governor lifted the outdoor mask mandate. Masks are still required in all public indoor spaces</v>
      </c>
      <c r="F199" s="1" t="str">
        <f>IFERROR(__xludf.DUMMYFUNCTION("""COMPUTED_VALUE"""),"National Academy for State Health Policy")</f>
        <v>National Academy for State Health Policy</v>
      </c>
      <c r="G199" s="3" t="str">
        <f>IFERROR(__xludf.DUMMYFUNCTION("""COMPUTED_VALUE"""),"https://www.nashp.org/2021-covid-19-state-restrictions-re-openings-and-mask-requirements/")</f>
        <v>https://www.nashp.org/2021-covid-19-state-restrictions-re-openings-and-mask-requirements/</v>
      </c>
      <c r="H199" s="1"/>
      <c r="I199" s="1"/>
    </row>
    <row r="200">
      <c r="A200" s="2">
        <f>IFERROR(__xludf.DUMMYFUNCTION("""COMPUTED_VALUE"""),44341.0)</f>
        <v>44341</v>
      </c>
      <c r="B200" s="1" t="str">
        <f>IFERROR(__xludf.DUMMYFUNCTION("""COMPUTED_VALUE"""),"Hawaii")</f>
        <v>Hawaii</v>
      </c>
      <c r="C200" s="1" t="str">
        <f>IFERROR(__xludf.DUMMYFUNCTION("""COMPUTED_VALUE"""),"State Proclamations ")</f>
        <v>State Proclamations </v>
      </c>
      <c r="D200" s="1" t="str">
        <f>IFERROR(__xludf.DUMMYFUNCTION("""COMPUTED_VALUE"""),"Opening")</f>
        <v>Opening</v>
      </c>
      <c r="E200" s="1" t="str">
        <f>IFERROR(__xludf.DUMMYFUNCTION("""COMPUTED_VALUE"""),"Ocean sports competitions may resume.")</f>
        <v>Ocean sports competitions may resume.</v>
      </c>
      <c r="F200" s="1" t="str">
        <f>IFERROR(__xludf.DUMMYFUNCTION("""COMPUTED_VALUE"""),"National Academy for State Health Policy")</f>
        <v>National Academy for State Health Policy</v>
      </c>
      <c r="G200" s="3" t="str">
        <f>IFERROR(__xludf.DUMMYFUNCTION("""COMPUTED_VALUE"""),"https://www.nashp.org/2021-covid-19-state-restrictions-re-openings-and-mask-requirements/")</f>
        <v>https://www.nashp.org/2021-covid-19-state-restrictions-re-openings-and-mask-requirements/</v>
      </c>
      <c r="H200" s="1"/>
      <c r="I200" s="1"/>
    </row>
    <row r="201">
      <c r="A201" s="2">
        <f>IFERROR(__xludf.DUMMYFUNCTION("""COMPUTED_VALUE"""),44354.0)</f>
        <v>44354</v>
      </c>
      <c r="B201" s="1" t="str">
        <f>IFERROR(__xludf.DUMMYFUNCTION("""COMPUTED_VALUE"""),"Hawaii")</f>
        <v>Hawaii</v>
      </c>
      <c r="C201" s="1" t="str">
        <f>IFERROR(__xludf.DUMMYFUNCTION("""COMPUTED_VALUE"""),"State Proclamations ")</f>
        <v>State Proclamations </v>
      </c>
      <c r="D201" s="1" t="str">
        <f>IFERROR(__xludf.DUMMYFUNCTION("""COMPUTED_VALUE"""),"Opening")</f>
        <v>Opening</v>
      </c>
      <c r="E201" s="1" t="str">
        <f>IFERROR(__xludf.DUMMYFUNCTION("""COMPUTED_VALUE"""),"The governor announced vaccination benchmarks for reopening. Once 60% of state residents are fully vaccinated, social gathering limits will expand to 25 people indoors and 75 outdoors and restaurants will also be able to expand to 75% capacity; and once 7"&amp;"0% of state residents are fully vaccinated, all social gathering and capacity restrictions will end.")</f>
        <v>The governor announced vaccination benchmarks for reopening. Once 60% of state residents are fully vaccinated, social gathering limits will expand to 25 people indoors and 75 outdoors and restaurants will also be able to expand to 75% capacity; and once 70% of state residents are fully vaccinated, all social gathering and capacity restrictions will end.</v>
      </c>
      <c r="F201" s="1" t="str">
        <f>IFERROR(__xludf.DUMMYFUNCTION("""COMPUTED_VALUE"""),"National Academy for State Health Policy")</f>
        <v>National Academy for State Health Policy</v>
      </c>
      <c r="G201" s="3" t="str">
        <f>IFERROR(__xludf.DUMMYFUNCTION("""COMPUTED_VALUE"""),"https://www.nashp.org/2021-covid-19-state-restrictions-re-openings-and-mask-requirements/")</f>
        <v>https://www.nashp.org/2021-covid-19-state-restrictions-re-openings-and-mask-requirements/</v>
      </c>
      <c r="H201" s="1"/>
      <c r="I201" s="1"/>
    </row>
    <row r="202">
      <c r="A202" s="2">
        <f>IFERROR(__xludf.DUMMYFUNCTION("""COMPUTED_VALUE"""),44385.0)</f>
        <v>44385</v>
      </c>
      <c r="B202" s="1" t="str">
        <f>IFERROR(__xludf.DUMMYFUNCTION("""COMPUTED_VALUE"""),"Hawaii")</f>
        <v>Hawaii</v>
      </c>
      <c r="C202" s="1" t="str">
        <f>IFERROR(__xludf.DUMMYFUNCTION("""COMPUTED_VALUE"""),"State Proclamations ")</f>
        <v>State Proclamations </v>
      </c>
      <c r="D202" s="1" t="str">
        <f>IFERROR(__xludf.DUMMYFUNCTION("""COMPUTED_VALUE"""),"Opening")</f>
        <v>Opening</v>
      </c>
      <c r="E202" s="1" t="str">
        <f>IFERROR(__xludf.DUMMYFUNCTION("""COMPUTED_VALUE"""),"Because the state reached 60% of state residents fully vaccinated, restaurant capacity was expanded to 75% and social gathering limits were increased to 25 individuals indoors and 75 individuals outdoors.")</f>
        <v>Because the state reached 60% of state residents fully vaccinated, restaurant capacity was expanded to 75% and social gathering limits were increased to 25 individuals indoors and 75 individuals outdoors.</v>
      </c>
      <c r="F202" s="1" t="str">
        <f>IFERROR(__xludf.DUMMYFUNCTION("""COMPUTED_VALUE"""),"National Academy for State Health Policy")</f>
        <v>National Academy for State Health Policy</v>
      </c>
      <c r="G202" s="3" t="str">
        <f>IFERROR(__xludf.DUMMYFUNCTION("""COMPUTED_VALUE"""),"https://www.nashp.org/2021-covid-19-state-restrictions-re-openings-and-mask-requirements/")</f>
        <v>https://www.nashp.org/2021-covid-19-state-restrictions-re-openings-and-mask-requirements/</v>
      </c>
      <c r="H202" s="1"/>
      <c r="I202" s="1"/>
    </row>
    <row r="203">
      <c r="A203" s="2">
        <f>IFERROR(__xludf.DUMMYFUNCTION("""COMPUTED_VALUE"""),44418.0)</f>
        <v>44418</v>
      </c>
      <c r="B203" s="1" t="str">
        <f>IFERROR(__xludf.DUMMYFUNCTION("""COMPUTED_VALUE"""),"Hawaii")</f>
        <v>Hawaii</v>
      </c>
      <c r="C203" s="1" t="str">
        <f>IFERROR(__xludf.DUMMYFUNCTION("""COMPUTED_VALUE"""),"State Proclamations ")</f>
        <v>State Proclamations </v>
      </c>
      <c r="D203" s="1" t="str">
        <f>IFERROR(__xludf.DUMMYFUNCTION("""COMPUTED_VALUE"""),"Closing")</f>
        <v>Closing</v>
      </c>
      <c r="E203" s="1" t="str">
        <f>IFERROR(__xludf.DUMMYFUNCTION("""COMPUTED_VALUE"""),"The governor reinstated limits on social gatherings and capacity limits on businesses.")</f>
        <v>The governor reinstated limits on social gatherings and capacity limits on businesses.</v>
      </c>
      <c r="F203" s="1" t="str">
        <f>IFERROR(__xludf.DUMMYFUNCTION("""COMPUTED_VALUE"""),"National Academy for State Health Policy")</f>
        <v>National Academy for State Health Policy</v>
      </c>
      <c r="G203" s="3" t="str">
        <f>IFERROR(__xludf.DUMMYFUNCTION("""COMPUTED_VALUE"""),"https://www.nashp.org/2021-covid-19-state-restrictions-re-openings-and-mask-requirements/")</f>
        <v>https://www.nashp.org/2021-covid-19-state-restrictions-re-openings-and-mask-requirements/</v>
      </c>
      <c r="H203" s="1"/>
      <c r="I203" s="1"/>
    </row>
    <row r="204">
      <c r="A204" s="2">
        <f>IFERROR(__xludf.DUMMYFUNCTION("""COMPUTED_VALUE"""),44502.0)</f>
        <v>44502</v>
      </c>
      <c r="B204" s="1" t="str">
        <f>IFERROR(__xludf.DUMMYFUNCTION("""COMPUTED_VALUE"""),"Hawaii")</f>
        <v>Hawaii</v>
      </c>
      <c r="C204" s="1" t="str">
        <f>IFERROR(__xludf.DUMMYFUNCTION("""COMPUTED_VALUE"""),"State Proclamations ")</f>
        <v>State Proclamations </v>
      </c>
      <c r="D204" s="1" t="str">
        <f>IFERROR(__xludf.DUMMYFUNCTION("""COMPUTED_VALUE"""),"Opening")</f>
        <v>Opening</v>
      </c>
      <c r="E204" s="1" t="str">
        <f>IFERROR(__xludf.DUMMYFUNCTION("""COMPUTED_VALUE"""),"The governor issued an executive order lifting social distancing restrictions outdoors at bars and restaurants.")</f>
        <v>The governor issued an executive order lifting social distancing restrictions outdoors at bars and restaurants.</v>
      </c>
      <c r="F204" s="1" t="str">
        <f>IFERROR(__xludf.DUMMYFUNCTION("""COMPUTED_VALUE"""),"National Academy for State Health Policy")</f>
        <v>National Academy for State Health Policy</v>
      </c>
      <c r="G204" s="3" t="str">
        <f>IFERROR(__xludf.DUMMYFUNCTION("""COMPUTED_VALUE"""),"https://www.nashp.org/2021-covid-19-state-restrictions-re-openings-and-mask-requirements/")</f>
        <v>https://www.nashp.org/2021-covid-19-state-restrictions-re-openings-and-mask-requirements/</v>
      </c>
      <c r="H204" s="1"/>
      <c r="I204" s="1"/>
    </row>
    <row r="205">
      <c r="A205" s="2">
        <f>IFERROR(__xludf.DUMMYFUNCTION("""COMPUTED_VALUE"""),44530.0)</f>
        <v>44530</v>
      </c>
      <c r="B205" s="1" t="str">
        <f>IFERROR(__xludf.DUMMYFUNCTION("""COMPUTED_VALUE"""),"Hawaii")</f>
        <v>Hawaii</v>
      </c>
      <c r="C205" s="1" t="str">
        <f>IFERROR(__xludf.DUMMYFUNCTION("""COMPUTED_VALUE"""),"State of Emergency")</f>
        <v>State of Emergency</v>
      </c>
      <c r="D205" s="1" t="str">
        <f>IFERROR(__xludf.DUMMYFUNCTION("""COMPUTED_VALUE"""),"End")</f>
        <v>End</v>
      </c>
      <c r="E205" s="1" t="str">
        <f>IFERROR(__xludf.DUMMYFUNCTION("""COMPUTED_VALUE"""),"The State of Emergency expired on Nov. 30, 2021.")</f>
        <v>The State of Emergency expired on Nov. 30, 2021.</v>
      </c>
      <c r="F205" s="1" t="str">
        <f>IFERROR(__xludf.DUMMYFUNCTION("""COMPUTED_VALUE"""),"National Academy for State Health Policy")</f>
        <v>National Academy for State Health Policy</v>
      </c>
      <c r="G205" s="3" t="str">
        <f>IFERROR(__xludf.DUMMYFUNCTION("""COMPUTED_VALUE"""),"https://www.nashp.org/governors-prioritize-health-for-all/")</f>
        <v>https://www.nashp.org/governors-prioritize-health-for-all/</v>
      </c>
      <c r="H205" s="1"/>
      <c r="I205" s="1"/>
    </row>
    <row r="206">
      <c r="A206" s="2">
        <f>IFERROR(__xludf.DUMMYFUNCTION("""COMPUTED_VALUE"""),44531.0)</f>
        <v>44531</v>
      </c>
      <c r="B206" s="1" t="str">
        <f>IFERROR(__xludf.DUMMYFUNCTION("""COMPUTED_VALUE"""),"Hawaii")</f>
        <v>Hawaii</v>
      </c>
      <c r="C206" s="1" t="str">
        <f>IFERROR(__xludf.DUMMYFUNCTION("""COMPUTED_VALUE"""),"State Proclamations ")</f>
        <v>State Proclamations </v>
      </c>
      <c r="D206" s="1" t="str">
        <f>IFERROR(__xludf.DUMMYFUNCTION("""COMPUTED_VALUE"""),"Opening")</f>
        <v>Opening</v>
      </c>
      <c r="E206" s="1" t="str">
        <f>IFERROR(__xludf.DUMMYFUNCTION("""COMPUTED_VALUE"""),"Gov. David Ige lifted statewide social gathering limits and transferred authority for this policy to county officials.")</f>
        <v>Gov. David Ige lifted statewide social gathering limits and transferred authority for this policy to county officials.</v>
      </c>
      <c r="F206" s="1" t="str">
        <f>IFERROR(__xludf.DUMMYFUNCTION("""COMPUTED_VALUE"""),"National Academy for State Health Policy")</f>
        <v>National Academy for State Health Policy</v>
      </c>
      <c r="G206" s="3" t="str">
        <f>IFERROR(__xludf.DUMMYFUNCTION("""COMPUTED_VALUE"""),"https://www.nashp.org/2021-covid-19-state-restrictions-re-openings-and-mask-requirements/")</f>
        <v>https://www.nashp.org/2021-covid-19-state-restrictions-re-openings-and-mask-requirements/</v>
      </c>
      <c r="H206" s="1"/>
      <c r="I206" s="1"/>
    </row>
    <row r="207">
      <c r="A207" s="2">
        <f>IFERROR(__xludf.DUMMYFUNCTION("""COMPUTED_VALUE"""),43903.0)</f>
        <v>43903</v>
      </c>
      <c r="B207" s="1" t="str">
        <f>IFERROR(__xludf.DUMMYFUNCTION("""COMPUTED_VALUE"""),"Idaho")</f>
        <v>Idaho</v>
      </c>
      <c r="C207" s="1" t="str">
        <f>IFERROR(__xludf.DUMMYFUNCTION("""COMPUTED_VALUE"""),"State of Emergency")</f>
        <v>State of Emergency</v>
      </c>
      <c r="D207" s="1" t="str">
        <f>IFERROR(__xludf.DUMMYFUNCTION("""COMPUTED_VALUE"""),"Start")</f>
        <v>Start</v>
      </c>
      <c r="E207" s="1" t="str">
        <f>IFERROR(__xludf.DUMMYFUNCTION("""COMPUTED_VALUE"""),"Gov. Brad Little issued a proactive emergency declaration on March 13.")</f>
        <v>Gov. Brad Little issued a proactive emergency declaration on March 13.</v>
      </c>
      <c r="F207" s="1" t="str">
        <f>IFERROR(__xludf.DUMMYFUNCTION("""COMPUTED_VALUE"""),"Business Insider")</f>
        <v>Business Insider</v>
      </c>
      <c r="G207" s="3" t="str">
        <f>IFERROR(__xludf.DUMMYFUNCTION("""COMPUTED_VALUE"""),"https://www.businessinsider.com/california-washington-state-of-emergency-coronavirus-what-it-means-2020-3#idaho-34")</f>
        <v>https://www.businessinsider.com/california-washington-state-of-emergency-coronavirus-what-it-means-2020-3#idaho-34</v>
      </c>
      <c r="H207" s="1"/>
      <c r="I207" s="1"/>
    </row>
    <row r="208">
      <c r="A208" s="2">
        <f>IFERROR(__xludf.DUMMYFUNCTION("""COMPUTED_VALUE"""),43915.0)</f>
        <v>43915</v>
      </c>
      <c r="B208" s="1" t="str">
        <f>IFERROR(__xludf.DUMMYFUNCTION("""COMPUTED_VALUE"""),"Idaho")</f>
        <v>Idaho</v>
      </c>
      <c r="C208" s="1" t="str">
        <f>IFERROR(__xludf.DUMMYFUNCTION("""COMPUTED_VALUE"""),"Stay-at-Home Order")</f>
        <v>Stay-at-Home Order</v>
      </c>
      <c r="D208" s="1" t="str">
        <f>IFERROR(__xludf.DUMMYFUNCTION("""COMPUTED_VALUE"""),"Start")</f>
        <v>Start</v>
      </c>
      <c r="E208" s="1" t="str">
        <f>IFERROR(__xludf.DUMMYFUNCTION("""COMPUTED_VALUE"""),"Original stay-at-home order begins")</f>
        <v>Original stay-at-home order begins</v>
      </c>
      <c r="F208" s="1" t="str">
        <f>IFERROR(__xludf.DUMMYFUNCTION("""COMPUTED_VALUE"""),"National Academy for State Health Policy")</f>
        <v>National Academy for State Health Policy</v>
      </c>
      <c r="G208" s="3" t="str">
        <f>IFERROR(__xludf.DUMMYFUNCTION("""COMPUTED_VALUE"""),"https://www.nashp.org/2020-state-reopening-chart/")</f>
        <v>https://www.nashp.org/2020-state-reopening-chart/</v>
      </c>
      <c r="H208" s="1"/>
      <c r="I208" s="1"/>
    </row>
    <row r="209">
      <c r="A209" s="2">
        <f>IFERROR(__xludf.DUMMYFUNCTION("""COMPUTED_VALUE"""),43951.0)</f>
        <v>43951</v>
      </c>
      <c r="B209" s="1" t="str">
        <f>IFERROR(__xludf.DUMMYFUNCTION("""COMPUTED_VALUE"""),"Idaho")</f>
        <v>Idaho</v>
      </c>
      <c r="C209" s="1" t="str">
        <f>IFERROR(__xludf.DUMMYFUNCTION("""COMPUTED_VALUE"""),"Stay-at-Home Order")</f>
        <v>Stay-at-Home Order</v>
      </c>
      <c r="D209" s="1" t="str">
        <f>IFERROR(__xludf.DUMMYFUNCTION("""COMPUTED_VALUE"""),"End")</f>
        <v>End</v>
      </c>
      <c r="E209" s="1" t="str">
        <f>IFERROR(__xludf.DUMMYFUNCTION("""COMPUTED_VALUE"""),"Original stay-at-home order ends")</f>
        <v>Original stay-at-home order ends</v>
      </c>
      <c r="F209" s="1" t="str">
        <f>IFERROR(__xludf.DUMMYFUNCTION("""COMPUTED_VALUE"""),"National Academy for State Health Policy")</f>
        <v>National Academy for State Health Policy</v>
      </c>
      <c r="G209" s="3" t="str">
        <f>IFERROR(__xludf.DUMMYFUNCTION("""COMPUTED_VALUE"""),"https://www.nashp.org/2020-state-reopening-chart/")</f>
        <v>https://www.nashp.org/2020-state-reopening-chart/</v>
      </c>
      <c r="H209" s="1"/>
      <c r="I209" s="1"/>
    </row>
    <row r="210">
      <c r="A210" s="2">
        <f>IFERROR(__xludf.DUMMYFUNCTION("""COMPUTED_VALUE"""),43951.0)</f>
        <v>43951</v>
      </c>
      <c r="B210" s="1" t="str">
        <f>IFERROR(__xludf.DUMMYFUNCTION("""COMPUTED_VALUE"""),"Idaho")</f>
        <v>Idaho</v>
      </c>
      <c r="C210" s="1" t="str">
        <f>IFERROR(__xludf.DUMMYFUNCTION("""COMPUTED_VALUE"""),"State Proclamations ")</f>
        <v>State Proclamations </v>
      </c>
      <c r="D210" s="1" t="str">
        <f>IFERROR(__xludf.DUMMYFUNCTION("""COMPUTED_VALUE"""),"Opening")</f>
        <v>Opening</v>
      </c>
      <c r="E210" s="1" t="str">
        <f>IFERROR(__xludf.DUMMYFUNCTION("""COMPUTED_VALUE"""),"Idaho has reopened retail stores, restaurant dining, personal care services, houses of worship, movie theaters, nightclubs, gyms, pools, and large venues. Elective medical procedures can resume at the discretion of providers.")</f>
        <v>Idaho has reopened retail stores, restaurant dining, personal care services, houses of worship, movie theaters, nightclubs, gyms, pools, and large venues. Elective medical procedures can resume at the discretion of providers.</v>
      </c>
      <c r="F210" s="1" t="str">
        <f>IFERROR(__xludf.DUMMYFUNCTION("""COMPUTED_VALUE"""),"National Academy for State Health Policy")</f>
        <v>National Academy for State Health Policy</v>
      </c>
      <c r="G210" s="3" t="str">
        <f>IFERROR(__xludf.DUMMYFUNCTION("""COMPUTED_VALUE"""),"https://www.nashp.org/2020-state-reopening-chart/")</f>
        <v>https://www.nashp.org/2020-state-reopening-chart/</v>
      </c>
      <c r="H210" s="1"/>
      <c r="I210" s="1"/>
    </row>
    <row r="211">
      <c r="A211" s="2">
        <f>IFERROR(__xludf.DUMMYFUNCTION("""COMPUTED_VALUE"""),44004.0)</f>
        <v>44004</v>
      </c>
      <c r="B211" s="1" t="str">
        <f>IFERROR(__xludf.DUMMYFUNCTION("""COMPUTED_VALUE"""),"Idaho")</f>
        <v>Idaho</v>
      </c>
      <c r="C211" s="1" t="str">
        <f>IFERROR(__xludf.DUMMYFUNCTION("""COMPUTED_VALUE"""),"State Proclamations ")</f>
        <v>State Proclamations </v>
      </c>
      <c r="D211" s="1" t="str">
        <f>IFERROR(__xludf.DUMMYFUNCTION("""COMPUTED_VALUE"""),"Closing")</f>
        <v>Closing</v>
      </c>
      <c r="E211" s="1" t="str">
        <f>IFERROR(__xludf.DUMMYFUNCTION("""COMPUTED_VALUE"""),"Due to a resurgence in infections, Ada County (where Boise is located) moved back to Stage 3 of reopening. Under Stage 3, bars and nightclubs must close.")</f>
        <v>Due to a resurgence in infections, Ada County (where Boise is located) moved back to Stage 3 of reopening. Under Stage 3, bars and nightclubs must close.</v>
      </c>
      <c r="F211" s="1" t="str">
        <f>IFERROR(__xludf.DUMMYFUNCTION("""COMPUTED_VALUE"""),"National Academy for State Health Policy")</f>
        <v>National Academy for State Health Policy</v>
      </c>
      <c r="G211" s="3" t="str">
        <f>IFERROR(__xludf.DUMMYFUNCTION("""COMPUTED_VALUE"""),"https://www.nashp.org/2020-state-reopening-chart/")</f>
        <v>https://www.nashp.org/2020-state-reopening-chart/</v>
      </c>
      <c r="H211" s="1"/>
      <c r="I211" s="1"/>
    </row>
    <row r="212">
      <c r="A212" s="2">
        <f>IFERROR(__xludf.DUMMYFUNCTION("""COMPUTED_VALUE"""),44007.0)</f>
        <v>44007</v>
      </c>
      <c r="B212" s="1" t="str">
        <f>IFERROR(__xludf.DUMMYFUNCTION("""COMPUTED_VALUE"""),"Idaho")</f>
        <v>Idaho</v>
      </c>
      <c r="C212" s="1" t="str">
        <f>IFERROR(__xludf.DUMMYFUNCTION("""COMPUTED_VALUE"""),"State Proclamations ")</f>
        <v>State Proclamations </v>
      </c>
      <c r="D212" s="1" t="str">
        <f>IFERROR(__xludf.DUMMYFUNCTION("""COMPUTED_VALUE"""),"Closing")</f>
        <v>Closing</v>
      </c>
      <c r="E212" s="1" t="str">
        <f>IFERROR(__xludf.DUMMYFUNCTION("""COMPUTED_VALUE"""),"Due to a resurgence in infections, the governor announced the state will remain in Stage 4 of its reopening plan, rather than move into the full reopening originally scheduled for June 26. The governor is re-evaluting every two weeks - as of Oct. 1, 2020,"&amp;" the state remained in Stage 4.")</f>
        <v>Due to a resurgence in infections, the governor announced the state will remain in Stage 4 of its reopening plan, rather than move into the full reopening originally scheduled for June 26. The governor is re-evaluting every two weeks - as of Oct. 1, 2020, the state remained in Stage 4.</v>
      </c>
      <c r="F212" s="1" t="str">
        <f>IFERROR(__xludf.DUMMYFUNCTION("""COMPUTED_VALUE"""),"National Academy for State Health Policy")</f>
        <v>National Academy for State Health Policy</v>
      </c>
      <c r="G212" s="3" t="str">
        <f>IFERROR(__xludf.DUMMYFUNCTION("""COMPUTED_VALUE"""),"https://www.nashp.org/2020-state-reopening-chart/")</f>
        <v>https://www.nashp.org/2020-state-reopening-chart/</v>
      </c>
      <c r="H212" s="1"/>
      <c r="I212" s="1"/>
    </row>
    <row r="213">
      <c r="A213" s="2">
        <f>IFERROR(__xludf.DUMMYFUNCTION("""COMPUTED_VALUE"""),44131.0)</f>
        <v>44131</v>
      </c>
      <c r="B213" s="1" t="str">
        <f>IFERROR(__xludf.DUMMYFUNCTION("""COMPUTED_VALUE"""),"Idaho")</f>
        <v>Idaho</v>
      </c>
      <c r="C213" s="1" t="str">
        <f>IFERROR(__xludf.DUMMYFUNCTION("""COMPUTED_VALUE"""),"State Proclamations ")</f>
        <v>State Proclamations </v>
      </c>
      <c r="D213" s="1" t="str">
        <f>IFERROR(__xludf.DUMMYFUNCTION("""COMPUTED_VALUE"""),"Closing")</f>
        <v>Closing</v>
      </c>
      <c r="E213" s="1" t="str">
        <f>IFERROR(__xludf.DUMMYFUNCTION("""COMPUTED_VALUE"""),"Due to a resurgence in cases and hospitalizations, the state moved back to Phase 3, closing nightclubs and limiting capacity for many businesses.")</f>
        <v>Due to a resurgence in cases and hospitalizations, the state moved back to Phase 3, closing nightclubs and limiting capacity for many businesses.</v>
      </c>
      <c r="F213" s="1" t="str">
        <f>IFERROR(__xludf.DUMMYFUNCTION("""COMPUTED_VALUE"""),"National Academy for State Health Policy")</f>
        <v>National Academy for State Health Policy</v>
      </c>
      <c r="G213" s="3" t="str">
        <f>IFERROR(__xludf.DUMMYFUNCTION("""COMPUTED_VALUE"""),"https://www.nashp.org/2020-state-reopening-chart/")</f>
        <v>https://www.nashp.org/2020-state-reopening-chart/</v>
      </c>
      <c r="H213" s="1"/>
      <c r="I213" s="1"/>
    </row>
    <row r="214">
      <c r="A214" s="2">
        <f>IFERROR(__xludf.DUMMYFUNCTION("""COMPUTED_VALUE"""),44148.0)</f>
        <v>44148</v>
      </c>
      <c r="B214" s="1" t="str">
        <f>IFERROR(__xludf.DUMMYFUNCTION("""COMPUTED_VALUE"""),"Idaho")</f>
        <v>Idaho</v>
      </c>
      <c r="C214" s="1" t="str">
        <f>IFERROR(__xludf.DUMMYFUNCTION("""COMPUTED_VALUE"""),"State Proclamations ")</f>
        <v>State Proclamations </v>
      </c>
      <c r="D214" s="1" t="str">
        <f>IFERROR(__xludf.DUMMYFUNCTION("""COMPUTED_VALUE"""),"Closing")</f>
        <v>Closing</v>
      </c>
      <c r="E214" s="1" t="str">
        <f>IFERROR(__xludf.DUMMYFUNCTION("""COMPUTED_VALUE"""),"The governor moved the state back to Stage 2 amid an increase in cases. Groups of more than 10 people are prohibited when social distancing cannot be maintained.")</f>
        <v>The governor moved the state back to Stage 2 amid an increase in cases. Groups of more than 10 people are prohibited when social distancing cannot be maintained.</v>
      </c>
      <c r="F214" s="1" t="str">
        <f>IFERROR(__xludf.DUMMYFUNCTION("""COMPUTED_VALUE"""),"National Academy for State Health Policy")</f>
        <v>National Academy for State Health Policy</v>
      </c>
      <c r="G214" s="3" t="str">
        <f>IFERROR(__xludf.DUMMYFUNCTION("""COMPUTED_VALUE"""),"https://www.nashp.org/2021-covid-19-state-restrictions-re-openings-and-mask-requirements/")</f>
        <v>https://www.nashp.org/2021-covid-19-state-restrictions-re-openings-and-mask-requirements/</v>
      </c>
      <c r="H214" s="1"/>
      <c r="I214" s="1"/>
    </row>
    <row r="215">
      <c r="A215" s="2">
        <f>IFERROR(__xludf.DUMMYFUNCTION("""COMPUTED_VALUE"""),44229.0)</f>
        <v>44229</v>
      </c>
      <c r="B215" s="1" t="str">
        <f>IFERROR(__xludf.DUMMYFUNCTION("""COMPUTED_VALUE"""),"Idaho")</f>
        <v>Idaho</v>
      </c>
      <c r="C215" s="1" t="str">
        <f>IFERROR(__xludf.DUMMYFUNCTION("""COMPUTED_VALUE"""),"State Proclamations ")</f>
        <v>State Proclamations </v>
      </c>
      <c r="D215" s="1" t="str">
        <f>IFERROR(__xludf.DUMMYFUNCTION("""COMPUTED_VALUE"""),"Opening")</f>
        <v>Opening</v>
      </c>
      <c r="E215" s="1" t="str">
        <f>IFERROR(__xludf.DUMMYFUNCTION("""COMPUTED_VALUE"""),"The state moved into Stage 3 of reopening. The order signed by Gov. Brad Little increased the limit on gatherings from 10 people to 50 people or less. Religious and political gatherings are exempt from the limit but must maintain social distancing.")</f>
        <v>The state moved into Stage 3 of reopening. The order signed by Gov. Brad Little increased the limit on gatherings from 10 people to 50 people or less. Religious and political gatherings are exempt from the limit but must maintain social distancing.</v>
      </c>
      <c r="F215" s="1" t="str">
        <f>IFERROR(__xludf.DUMMYFUNCTION("""COMPUTED_VALUE"""),"National Academy for State Health Policy")</f>
        <v>National Academy for State Health Policy</v>
      </c>
      <c r="G215" s="3" t="str">
        <f>IFERROR(__xludf.DUMMYFUNCTION("""COMPUTED_VALUE"""),"https://www.nashp.org/2021-covid-19-state-restrictions-re-openings-and-mask-requirements/")</f>
        <v>https://www.nashp.org/2021-covid-19-state-restrictions-re-openings-and-mask-requirements/</v>
      </c>
      <c r="H215" s="1"/>
      <c r="I215" s="1"/>
    </row>
    <row r="216">
      <c r="A216" s="2">
        <f>IFERROR(__xludf.DUMMYFUNCTION("""COMPUTED_VALUE"""),44258.0)</f>
        <v>44258</v>
      </c>
      <c r="B216" s="1" t="str">
        <f>IFERROR(__xludf.DUMMYFUNCTION("""COMPUTED_VALUE"""),"Idaho")</f>
        <v>Idaho</v>
      </c>
      <c r="C216" s="1" t="str">
        <f>IFERROR(__xludf.DUMMYFUNCTION("""COMPUTED_VALUE"""),"State Proclamations ")</f>
        <v>State Proclamations </v>
      </c>
      <c r="D216" s="1" t="str">
        <f>IFERROR(__xludf.DUMMYFUNCTION("""COMPUTED_VALUE"""),"Opening")</f>
        <v>Opening</v>
      </c>
      <c r="E216" s="1" t="str">
        <f>IFERROR(__xludf.DUMMYFUNCTION("""COMPUTED_VALUE"""),"The House has passed legislation to define how severe an epidemic must be before it can qualify as a disaster. Under the measure, the coronavirus pandemic wouldn't meet the criteria, and would effectively end the state of emergency.")</f>
        <v>The House has passed legislation to define how severe an epidemic must be before it can qualify as a disaster. Under the measure, the coronavirus pandemic wouldn't meet the criteria, and would effectively end the state of emergency.</v>
      </c>
      <c r="F216" s="1" t="str">
        <f>IFERROR(__xludf.DUMMYFUNCTION("""COMPUTED_VALUE"""),"National Academy for State Health Policy")</f>
        <v>National Academy for State Health Policy</v>
      </c>
      <c r="G216" s="3" t="str">
        <f>IFERROR(__xludf.DUMMYFUNCTION("""COMPUTED_VALUE"""),"https://www.nashp.org/2021-covid-19-state-restrictions-re-openings-and-mask-requirements/")</f>
        <v>https://www.nashp.org/2021-covid-19-state-restrictions-re-openings-and-mask-requirements/</v>
      </c>
      <c r="H216" s="1"/>
      <c r="I216" s="1"/>
    </row>
    <row r="217">
      <c r="A217" s="2">
        <f>IFERROR(__xludf.DUMMYFUNCTION("""COMPUTED_VALUE"""),44327.0)</f>
        <v>44327</v>
      </c>
      <c r="B217" s="1" t="str">
        <f>IFERROR(__xludf.DUMMYFUNCTION("""COMPUTED_VALUE"""),"Idaho")</f>
        <v>Idaho</v>
      </c>
      <c r="C217" s="1" t="str">
        <f>IFERROR(__xludf.DUMMYFUNCTION("""COMPUTED_VALUE"""),"State Proclamations ")</f>
        <v>State Proclamations </v>
      </c>
      <c r="D217" s="1" t="str">
        <f>IFERROR(__xludf.DUMMYFUNCTION("""COMPUTED_VALUE"""),"Opening")</f>
        <v>Opening</v>
      </c>
      <c r="E217" s="1" t="str">
        <f>IFERROR(__xludf.DUMMYFUNCTION("""COMPUTED_VALUE"""),"The state entered Stage 4 of reopening. The stage lifts all suggestions on gathering sizes, and also ends seating-only restrictions for restaurants, bars, and nightclubs.")</f>
        <v>The state entered Stage 4 of reopening. The stage lifts all suggestions on gathering sizes, and also ends seating-only restrictions for restaurants, bars, and nightclubs.</v>
      </c>
      <c r="F217" s="1" t="str">
        <f>IFERROR(__xludf.DUMMYFUNCTION("""COMPUTED_VALUE"""),"National Academy for State Health Policy")</f>
        <v>National Academy for State Health Policy</v>
      </c>
      <c r="G217" s="3" t="str">
        <f>IFERROR(__xludf.DUMMYFUNCTION("""COMPUTED_VALUE"""),"https://www.nashp.org/2021-covid-19-state-restrictions-re-openings-and-mask-requirements/")</f>
        <v>https://www.nashp.org/2021-covid-19-state-restrictions-re-openings-and-mask-requirements/</v>
      </c>
      <c r="H217" s="1"/>
      <c r="I217" s="1"/>
    </row>
    <row r="218">
      <c r="A218" s="2">
        <f>IFERROR(__xludf.DUMMYFUNCTION("""COMPUTED_VALUE"""),44544.0)</f>
        <v>44544</v>
      </c>
      <c r="B218" s="1" t="str">
        <f>IFERROR(__xludf.DUMMYFUNCTION("""COMPUTED_VALUE"""),"Idaho")</f>
        <v>Idaho</v>
      </c>
      <c r="C218" s="1" t="str">
        <f>IFERROR(__xludf.DUMMYFUNCTION("""COMPUTED_VALUE"""),"State of Emergency")</f>
        <v>State of Emergency</v>
      </c>
      <c r="D218" s="1" t="str">
        <f>IFERROR(__xludf.DUMMYFUNCTION("""COMPUTED_VALUE"""),"End")</f>
        <v>End</v>
      </c>
      <c r="E218" s="1" t="str">
        <f>IFERROR(__xludf.DUMMYFUNCTION("""COMPUTED_VALUE"""),"The State of Emergency expired on Dec. 14, 2021")</f>
        <v>The State of Emergency expired on Dec. 14, 2021</v>
      </c>
      <c r="F218" s="1" t="str">
        <f>IFERROR(__xludf.DUMMYFUNCTION("""COMPUTED_VALUE"""),"National Academy for State Health Policy")</f>
        <v>National Academy for State Health Policy</v>
      </c>
      <c r="G218" s="3" t="str">
        <f>IFERROR(__xludf.DUMMYFUNCTION("""COMPUTED_VALUE"""),"https://www.nashp.org/governors-prioritize-health-for-all/")</f>
        <v>https://www.nashp.org/governors-prioritize-health-for-all/</v>
      </c>
      <c r="H218" s="1"/>
      <c r="I218" s="1"/>
    </row>
    <row r="219">
      <c r="A219" s="2">
        <f>IFERROR(__xludf.DUMMYFUNCTION("""COMPUTED_VALUE"""),43899.0)</f>
        <v>43899</v>
      </c>
      <c r="B219" s="1" t="str">
        <f>IFERROR(__xludf.DUMMYFUNCTION("""COMPUTED_VALUE"""),"Illinois")</f>
        <v>Illinois</v>
      </c>
      <c r="C219" s="1" t="str">
        <f>IFERROR(__xludf.DUMMYFUNCTION("""COMPUTED_VALUE"""),"State of Emergency")</f>
        <v>State of Emergency</v>
      </c>
      <c r="D219" s="1" t="str">
        <f>IFERROR(__xludf.DUMMYFUNCTION("""COMPUTED_VALUE"""),"Start")</f>
        <v>Start</v>
      </c>
      <c r="E219" s="1" t="str">
        <f>IFERROR(__xludf.DUMMYFUNCTION("""COMPUTED_VALUE"""),"Gov. JB Pritzker issued a state of emergency on March 9, according to the Southern Illinoisan.")</f>
        <v>Gov. JB Pritzker issued a state of emergency on March 9, according to the Southern Illinoisan.</v>
      </c>
      <c r="F219" s="1" t="str">
        <f>IFERROR(__xludf.DUMMYFUNCTION("""COMPUTED_VALUE"""),"Business Insider")</f>
        <v>Business Insider</v>
      </c>
      <c r="G219" s="3" t="str">
        <f>IFERROR(__xludf.DUMMYFUNCTION("""COMPUTED_VALUE"""),"https://www.businessinsider.com/california-washington-state-of-emergency-coronavirus-what-it-means-2020-3#illinois-15")</f>
        <v>https://www.businessinsider.com/california-washington-state-of-emergency-coronavirus-what-it-means-2020-3#illinois-15</v>
      </c>
      <c r="H219" s="1"/>
      <c r="I219" s="1"/>
    </row>
    <row r="220">
      <c r="A220" s="2">
        <f>IFERROR(__xludf.DUMMYFUNCTION("""COMPUTED_VALUE"""),43915.0)</f>
        <v>43915</v>
      </c>
      <c r="B220" s="1" t="str">
        <f>IFERROR(__xludf.DUMMYFUNCTION("""COMPUTED_VALUE"""),"Illinois")</f>
        <v>Illinois</v>
      </c>
      <c r="C220" s="1" t="str">
        <f>IFERROR(__xludf.DUMMYFUNCTION("""COMPUTED_VALUE"""),"Stay-at-Home Order")</f>
        <v>Stay-at-Home Order</v>
      </c>
      <c r="D220" s="1" t="str">
        <f>IFERROR(__xludf.DUMMYFUNCTION("""COMPUTED_VALUE"""),"Start")</f>
        <v>Start</v>
      </c>
      <c r="E220" s="1" t="str">
        <f>IFERROR(__xludf.DUMMYFUNCTION("""COMPUTED_VALUE"""),"Original stay-at-home order begins")</f>
        <v>Original stay-at-home order begins</v>
      </c>
      <c r="F220" s="1" t="str">
        <f>IFERROR(__xludf.DUMMYFUNCTION("""COMPUTED_VALUE"""),"National Academy for State Health Policy")</f>
        <v>National Academy for State Health Policy</v>
      </c>
      <c r="G220" s="3" t="str">
        <f>IFERROR(__xludf.DUMMYFUNCTION("""COMPUTED_VALUE"""),"https://www.nashp.org/2020-state-reopening-chart/")</f>
        <v>https://www.nashp.org/2020-state-reopening-chart/</v>
      </c>
      <c r="H220" s="1"/>
      <c r="I220" s="1"/>
    </row>
    <row r="221">
      <c r="A221" s="2">
        <f>IFERROR(__xludf.DUMMYFUNCTION("""COMPUTED_VALUE"""),43952.0)</f>
        <v>43952</v>
      </c>
      <c r="B221" s="1" t="str">
        <f>IFERROR(__xludf.DUMMYFUNCTION("""COMPUTED_VALUE"""),"Illinois")</f>
        <v>Illinois</v>
      </c>
      <c r="C221" s="1" t="str">
        <f>IFERROR(__xludf.DUMMYFUNCTION("""COMPUTED_VALUE"""),"Mask Mandate")</f>
        <v>Mask Mandate</v>
      </c>
      <c r="D221" s="1" t="str">
        <f>IFERROR(__xludf.DUMMYFUNCTION("""COMPUTED_VALUE"""),"Start")</f>
        <v>Start</v>
      </c>
      <c r="E221" s="1" t="str">
        <f>IFERROR(__xludf.DUMMYFUNCTION("""COMPUTED_VALUE"""),"Gov. J.B. Pritzker ordered the use of face masks for anyone stepping outside their house.")</f>
        <v>Gov. J.B. Pritzker ordered the use of face masks for anyone stepping outside their house.</v>
      </c>
      <c r="F221" s="1" t="str">
        <f>IFERROR(__xludf.DUMMYFUNCTION("""COMPUTED_VALUE"""),"CNN")</f>
        <v>CNN</v>
      </c>
      <c r="G221" s="3" t="str">
        <f>IFERROR(__xludf.DUMMYFUNCTION("""COMPUTED_VALUE"""),"https://www.cnn.com/2020/06/19/us/states-face-mask-coronavirus-trnd/index.html")</f>
        <v>https://www.cnn.com/2020/06/19/us/states-face-mask-coronavirus-trnd/index.html</v>
      </c>
      <c r="H221" s="1"/>
      <c r="I221" s="1"/>
    </row>
    <row r="222">
      <c r="A222" s="2">
        <f>IFERROR(__xludf.DUMMYFUNCTION("""COMPUTED_VALUE"""),43982.0)</f>
        <v>43982</v>
      </c>
      <c r="B222" s="1" t="str">
        <f>IFERROR(__xludf.DUMMYFUNCTION("""COMPUTED_VALUE"""),"Illinois")</f>
        <v>Illinois</v>
      </c>
      <c r="C222" s="1" t="str">
        <f>IFERROR(__xludf.DUMMYFUNCTION("""COMPUTED_VALUE"""),"Stay-at-Home Order")</f>
        <v>Stay-at-Home Order</v>
      </c>
      <c r="D222" s="1" t="str">
        <f>IFERROR(__xludf.DUMMYFUNCTION("""COMPUTED_VALUE"""),"End")</f>
        <v>End</v>
      </c>
      <c r="E222" s="1" t="str">
        <f>IFERROR(__xludf.DUMMYFUNCTION("""COMPUTED_VALUE"""),"Original stay-at-home order ends")</f>
        <v>Original stay-at-home order ends</v>
      </c>
      <c r="F222" s="1" t="str">
        <f>IFERROR(__xludf.DUMMYFUNCTION("""COMPUTED_VALUE"""),"National Academy for State Health Policy")</f>
        <v>National Academy for State Health Policy</v>
      </c>
      <c r="G222" s="3" t="str">
        <f>IFERROR(__xludf.DUMMYFUNCTION("""COMPUTED_VALUE"""),"https://www.nashp.org/2020-state-reopening-chart/")</f>
        <v>https://www.nashp.org/2020-state-reopening-chart/</v>
      </c>
      <c r="H222" s="1"/>
      <c r="I222" s="1"/>
    </row>
    <row r="223">
      <c r="A223" s="2">
        <f>IFERROR(__xludf.DUMMYFUNCTION("""COMPUTED_VALUE"""),43982.0)</f>
        <v>43982</v>
      </c>
      <c r="B223" s="1" t="str">
        <f>IFERROR(__xludf.DUMMYFUNCTION("""COMPUTED_VALUE"""),"Illinois")</f>
        <v>Illinois</v>
      </c>
      <c r="C223" s="1" t="str">
        <f>IFERROR(__xludf.DUMMYFUNCTION("""COMPUTED_VALUE"""),"State Proclamations ")</f>
        <v>State Proclamations </v>
      </c>
      <c r="D223" s="1" t="str">
        <f>IFERROR(__xludf.DUMMYFUNCTION("""COMPUTED_VALUE"""),"Opening")</f>
        <v>Opening</v>
      </c>
      <c r="E223" s="1" t="str">
        <f>IFERROR(__xludf.DUMMYFUNCTION("""COMPUTED_VALUE"""),"Illinois has reopened retail stores, restaurant dining, personal care services, houses or worship, museums, theaters, state parks, gyms, and offices. Nonessential medical procedures resumed May 11.")</f>
        <v>Illinois has reopened retail stores, restaurant dining, personal care services, houses or worship, museums, theaters, state parks, gyms, and offices. Nonessential medical procedures resumed May 11.</v>
      </c>
      <c r="F223" s="1" t="str">
        <f>IFERROR(__xludf.DUMMYFUNCTION("""COMPUTED_VALUE"""),"National Academy for State Health Policy")</f>
        <v>National Academy for State Health Policy</v>
      </c>
      <c r="G223" s="3" t="str">
        <f>IFERROR(__xludf.DUMMYFUNCTION("""COMPUTED_VALUE"""),"https://www.nashp.org/2020-state-reopening-chart/")</f>
        <v>https://www.nashp.org/2020-state-reopening-chart/</v>
      </c>
      <c r="H223" s="1"/>
      <c r="I223" s="1"/>
    </row>
    <row r="224">
      <c r="A224" s="2">
        <f>IFERROR(__xludf.DUMMYFUNCTION("""COMPUTED_VALUE"""),43999.0)</f>
        <v>43999</v>
      </c>
      <c r="B224" s="1" t="str">
        <f>IFERROR(__xludf.DUMMYFUNCTION("""COMPUTED_VALUE"""),"Illinois")</f>
        <v>Illinois</v>
      </c>
      <c r="C224" s="1" t="str">
        <f>IFERROR(__xludf.DUMMYFUNCTION("""COMPUTED_VALUE"""),"State Proclamations ")</f>
        <v>State Proclamations </v>
      </c>
      <c r="D224" s="1" t="str">
        <f>IFERROR(__xludf.DUMMYFUNCTION("""COMPUTED_VALUE"""),"Opening")</f>
        <v>Opening</v>
      </c>
      <c r="E224" s="1" t="str">
        <f>IFERROR(__xludf.DUMMYFUNCTION("""COMPUTED_VALUE"""),"Bars that do not serve food could open patios.")</f>
        <v>Bars that do not serve food could open patios.</v>
      </c>
      <c r="F224" s="1" t="str">
        <f>IFERROR(__xludf.DUMMYFUNCTION("""COMPUTED_VALUE"""),"National Academy for State Health Policy")</f>
        <v>National Academy for State Health Policy</v>
      </c>
      <c r="G224" s="3" t="str">
        <f>IFERROR(__xludf.DUMMYFUNCTION("""COMPUTED_VALUE"""),"https://www.nashp.org/2020-state-reopening-chart/")</f>
        <v>https://www.nashp.org/2020-state-reopening-chart/</v>
      </c>
      <c r="H224" s="1"/>
      <c r="I224" s="1"/>
    </row>
    <row r="225">
      <c r="A225" s="2">
        <f>IFERROR(__xludf.DUMMYFUNCTION("""COMPUTED_VALUE"""),44008.0)</f>
        <v>44008</v>
      </c>
      <c r="B225" s="1" t="str">
        <f>IFERROR(__xludf.DUMMYFUNCTION("""COMPUTED_VALUE"""),"Illinois")</f>
        <v>Illinois</v>
      </c>
      <c r="C225" s="1" t="str">
        <f>IFERROR(__xludf.DUMMYFUNCTION("""COMPUTED_VALUE"""),"State Proclamations ")</f>
        <v>State Proclamations </v>
      </c>
      <c r="D225" s="1" t="str">
        <f>IFERROR(__xludf.DUMMYFUNCTION("""COMPUTED_VALUE"""),"Opening")</f>
        <v>Opening</v>
      </c>
      <c r="E225" s="1" t="str">
        <f>IFERROR(__xludf.DUMMYFUNCTION("""COMPUTED_VALUE"""),"Gatherings of up to 50 people can meet. Bars and restaurants reopened with capacity limits.")</f>
        <v>Gatherings of up to 50 people can meet. Bars and restaurants reopened with capacity limits.</v>
      </c>
      <c r="F225" s="1" t="str">
        <f>IFERROR(__xludf.DUMMYFUNCTION("""COMPUTED_VALUE"""),"National Academy for State Health Policy")</f>
        <v>National Academy for State Health Policy</v>
      </c>
      <c r="G225" s="3" t="str">
        <f>IFERROR(__xludf.DUMMYFUNCTION("""COMPUTED_VALUE"""),"https://www.nashp.org/2020-state-reopening-chart/")</f>
        <v>https://www.nashp.org/2020-state-reopening-chart/</v>
      </c>
      <c r="H225" s="1"/>
      <c r="I225" s="1"/>
    </row>
    <row r="226">
      <c r="A226" s="2">
        <f>IFERROR(__xludf.DUMMYFUNCTION("""COMPUTED_VALUE"""),44036.0)</f>
        <v>44036</v>
      </c>
      <c r="B226" s="1" t="str">
        <f>IFERROR(__xludf.DUMMYFUNCTION("""COMPUTED_VALUE"""),"Illinois")</f>
        <v>Illinois</v>
      </c>
      <c r="C226" s="1" t="str">
        <f>IFERROR(__xludf.DUMMYFUNCTION("""COMPUTED_VALUE"""),"State Proclamations ")</f>
        <v>State Proclamations </v>
      </c>
      <c r="D226" s="1" t="str">
        <f>IFERROR(__xludf.DUMMYFUNCTION("""COMPUTED_VALUE"""),"Closing")</f>
        <v>Closing</v>
      </c>
      <c r="E226" s="1" t="str">
        <f>IFERROR(__xludf.DUMMYFUNCTION("""COMPUTED_VALUE"""),"In Chicago, alcohol-serving establishments without a retail food license are no longer able to serve customers indoors, exercise classes must limit the number of participants to 10, and personal-grooming services that require the removal of masks are proh"&amp;"ibited.")</f>
        <v>In Chicago, alcohol-serving establishments without a retail food license are no longer able to serve customers indoors, exercise classes must limit the number of participants to 10, and personal-grooming services that require the removal of masks are prohibited.</v>
      </c>
      <c r="F226" s="1" t="str">
        <f>IFERROR(__xludf.DUMMYFUNCTION("""COMPUTED_VALUE"""),"National Academy for State Health Policy")</f>
        <v>National Academy for State Health Policy</v>
      </c>
      <c r="G226" s="3" t="str">
        <f>IFERROR(__xludf.DUMMYFUNCTION("""COMPUTED_VALUE"""),"https://www.nashp.org/2020-state-reopening-chart/")</f>
        <v>https://www.nashp.org/2020-state-reopening-chart/</v>
      </c>
      <c r="H226" s="1"/>
      <c r="I226" s="1"/>
    </row>
    <row r="227">
      <c r="A227" s="2">
        <f>IFERROR(__xludf.DUMMYFUNCTION("""COMPUTED_VALUE"""),44061.0)</f>
        <v>44061</v>
      </c>
      <c r="B227" s="1" t="str">
        <f>IFERROR(__xludf.DUMMYFUNCTION("""COMPUTED_VALUE"""),"Illinois")</f>
        <v>Illinois</v>
      </c>
      <c r="C227" s="1" t="str">
        <f>IFERROR(__xludf.DUMMYFUNCTION("""COMPUTED_VALUE"""),"State Proclamations ")</f>
        <v>State Proclamations </v>
      </c>
      <c r="D227" s="1" t="str">
        <f>IFERROR(__xludf.DUMMYFUNCTION("""COMPUTED_VALUE"""),"Closing")</f>
        <v>Closing</v>
      </c>
      <c r="E227" s="1" t="str">
        <f>IFERROR(__xludf.DUMMYFUNCTION("""COMPUTED_VALUE"""),"The governor ordered mitigation efforts in the Metro East area, including the closing of bars, restaurants, and casinos by 11 p.m., the closing of party buses and the reduction of gathering sizes to the lesser of 25 people or 25% of room capacity. These m"&amp;"easures will remain in effect over a 14-day period after which time more stringent mitigation measures, such as the closing of indoor bars and dining, can be implemented if metrics do not improve.")</f>
        <v>The governor ordered mitigation efforts in the Metro East area, including the closing of bars, restaurants, and casinos by 11 p.m., the closing of party buses and the reduction of gathering sizes to the lesser of 25 people or 25% of room capacity. These measures will remain in effect over a 14-day period after which time more stringent mitigation measures, such as the closing of indoor bars and dining, can be implemented if metrics do not improve.</v>
      </c>
      <c r="F227" s="1" t="str">
        <f>IFERROR(__xludf.DUMMYFUNCTION("""COMPUTED_VALUE"""),"National Academy for State Health Policy")</f>
        <v>National Academy for State Health Policy</v>
      </c>
      <c r="G227" s="3" t="str">
        <f>IFERROR(__xludf.DUMMYFUNCTION("""COMPUTED_VALUE"""),"https://www.nashp.org/2020-state-reopening-chart/")</f>
        <v>https://www.nashp.org/2020-state-reopening-chart/</v>
      </c>
      <c r="H227" s="1"/>
      <c r="I227" s="1"/>
    </row>
    <row r="228">
      <c r="A228" s="2">
        <f>IFERROR(__xludf.DUMMYFUNCTION("""COMPUTED_VALUE"""),44102.0)</f>
        <v>44102</v>
      </c>
      <c r="B228" s="1" t="str">
        <f>IFERROR(__xludf.DUMMYFUNCTION("""COMPUTED_VALUE"""),"Illinois")</f>
        <v>Illinois</v>
      </c>
      <c r="C228" s="1" t="str">
        <f>IFERROR(__xludf.DUMMYFUNCTION("""COMPUTED_VALUE"""),"State Proclamations ")</f>
        <v>State Proclamations </v>
      </c>
      <c r="D228" s="1" t="str">
        <f>IFERROR(__xludf.DUMMYFUNCTION("""COMPUTED_VALUE"""),"Opening")</f>
        <v>Opening</v>
      </c>
      <c r="E228" s="1" t="str">
        <f>IFERROR(__xludf.DUMMYFUNCTION("""COMPUTED_VALUE"""),"The mayor of Chicago eased restrictions on indoor bar service. Indoor bar service resumed with capacity limits, and capacity at restaurants, health cetners, and non-essential retail establishments increased from 25% to 40%.")</f>
        <v>The mayor of Chicago eased restrictions on indoor bar service. Indoor bar service resumed with capacity limits, and capacity at restaurants, health cetners, and non-essential retail establishments increased from 25% to 40%.</v>
      </c>
      <c r="F228" s="1" t="str">
        <f>IFERROR(__xludf.DUMMYFUNCTION("""COMPUTED_VALUE"""),"National Academy for State Health Policy")</f>
        <v>National Academy for State Health Policy</v>
      </c>
      <c r="G228" s="3" t="str">
        <f>IFERROR(__xludf.DUMMYFUNCTION("""COMPUTED_VALUE"""),"https://www.nashp.org/2020-state-reopening-chart/")</f>
        <v>https://www.nashp.org/2020-state-reopening-chart/</v>
      </c>
      <c r="H228" s="1"/>
      <c r="I228" s="1"/>
    </row>
    <row r="229">
      <c r="A229" s="2">
        <f>IFERROR(__xludf.DUMMYFUNCTION("""COMPUTED_VALUE"""),44104.0)</f>
        <v>44104</v>
      </c>
      <c r="B229" s="1" t="str">
        <f>IFERROR(__xludf.DUMMYFUNCTION("""COMPUTED_VALUE"""),"Illinois")</f>
        <v>Illinois</v>
      </c>
      <c r="C229" s="1" t="str">
        <f>IFERROR(__xludf.DUMMYFUNCTION("""COMPUTED_VALUE"""),"State Proclamations ")</f>
        <v>State Proclamations </v>
      </c>
      <c r="D229" s="1" t="str">
        <f>IFERROR(__xludf.DUMMYFUNCTION("""COMPUTED_VALUE"""),"Closing")</f>
        <v>Closing</v>
      </c>
      <c r="E229" s="1" t="str">
        <f>IFERROR(__xludf.DUMMYFUNCTION("""COMPUTED_VALUE"""),"In Region 1, bars and restaurants are unable to offer indoor service and gatherings will be limited to 25 people")</f>
        <v>In Region 1, bars and restaurants are unable to offer indoor service and gatherings will be limited to 25 people</v>
      </c>
      <c r="F229" s="1" t="str">
        <f>IFERROR(__xludf.DUMMYFUNCTION("""COMPUTED_VALUE"""),"National Academy for State Health Policy")</f>
        <v>National Academy for State Health Policy</v>
      </c>
      <c r="G229" s="3" t="str">
        <f>IFERROR(__xludf.DUMMYFUNCTION("""COMPUTED_VALUE"""),"https://www.nashp.org/2020-state-reopening-chart/")</f>
        <v>https://www.nashp.org/2020-state-reopening-chart/</v>
      </c>
      <c r="H229" s="1"/>
      <c r="I229" s="1"/>
    </row>
    <row r="230">
      <c r="A230" s="2">
        <f>IFERROR(__xludf.DUMMYFUNCTION("""COMPUTED_VALUE"""),44126.0)</f>
        <v>44126</v>
      </c>
      <c r="B230" s="1" t="str">
        <f>IFERROR(__xludf.DUMMYFUNCTION("""COMPUTED_VALUE"""),"Illinois")</f>
        <v>Illinois</v>
      </c>
      <c r="C230" s="1" t="str">
        <f>IFERROR(__xludf.DUMMYFUNCTION("""COMPUTED_VALUE"""),"State Proclamations ")</f>
        <v>State Proclamations </v>
      </c>
      <c r="D230" s="1" t="str">
        <f>IFERROR(__xludf.DUMMYFUNCTION("""COMPUTED_VALUE"""),"Closing")</f>
        <v>Closing</v>
      </c>
      <c r="E230" s="1" t="str">
        <f>IFERROR(__xludf.DUMMYFUNCTION("""COMPUTED_VALUE"""),"In Region 5, bars and restaurants are not able to offer indoor service, and outdoor service will have to close by 11 p.m. Gatherings will be limited to the lesser of 25 people or 25% of a room's capacity.")</f>
        <v>In Region 5, bars and restaurants are not able to offer indoor service, and outdoor service will have to close by 11 p.m. Gatherings will be limited to the lesser of 25 people or 25% of a room's capacity.</v>
      </c>
      <c r="F230" s="1" t="str">
        <f>IFERROR(__xludf.DUMMYFUNCTION("""COMPUTED_VALUE"""),"National Academy for State Health Policy")</f>
        <v>National Academy for State Health Policy</v>
      </c>
      <c r="G230" s="3" t="str">
        <f>IFERROR(__xludf.DUMMYFUNCTION("""COMPUTED_VALUE"""),"https://www.nashp.org/2020-state-reopening-chart/")</f>
        <v>https://www.nashp.org/2020-state-reopening-chart/</v>
      </c>
      <c r="H230" s="1"/>
      <c r="I230" s="1"/>
    </row>
    <row r="231">
      <c r="A231" s="2">
        <f>IFERROR(__xludf.DUMMYFUNCTION("""COMPUTED_VALUE"""),44127.0)</f>
        <v>44127</v>
      </c>
      <c r="B231" s="1" t="str">
        <f>IFERROR(__xludf.DUMMYFUNCTION("""COMPUTED_VALUE"""),"Illinois")</f>
        <v>Illinois</v>
      </c>
      <c r="C231" s="1" t="str">
        <f>IFERROR(__xludf.DUMMYFUNCTION("""COMPUTED_VALUE"""),"State Proclamations ")</f>
        <v>State Proclamations </v>
      </c>
      <c r="D231" s="1" t="str">
        <f>IFERROR(__xludf.DUMMYFUNCTION("""COMPUTED_VALUE"""),"Closing")</f>
        <v>Closing</v>
      </c>
      <c r="E231" s="1" t="str">
        <f>IFERROR(__xludf.DUMMYFUNCTION("""COMPUTED_VALUE"""),"Region 11 (Chicago) established a business curfew in effect from 10 p.m. to 6 a.m. for all nonessential businesses, and bars without a retail food license will no longer be able to serve customers indoors.")</f>
        <v>Region 11 (Chicago) established a business curfew in effect from 10 p.m. to 6 a.m. for all nonessential businesses, and bars without a retail food license will no longer be able to serve customers indoors.</v>
      </c>
      <c r="F231" s="1" t="str">
        <f>IFERROR(__xludf.DUMMYFUNCTION("""COMPUTED_VALUE"""),"National Academy for State Health Policy")</f>
        <v>National Academy for State Health Policy</v>
      </c>
      <c r="G231" s="3" t="str">
        <f>IFERROR(__xludf.DUMMYFUNCTION("""COMPUTED_VALUE"""),"https://www.nashp.org/2020-state-reopening-chart/")</f>
        <v>https://www.nashp.org/2020-state-reopening-chart/</v>
      </c>
      <c r="H231" s="1"/>
      <c r="I231" s="1"/>
    </row>
    <row r="232">
      <c r="A232" s="2">
        <f>IFERROR(__xludf.DUMMYFUNCTION("""COMPUTED_VALUE"""),44139.0)</f>
        <v>44139</v>
      </c>
      <c r="B232" s="1" t="str">
        <f>IFERROR(__xludf.DUMMYFUNCTION("""COMPUTED_VALUE"""),"Illinois")</f>
        <v>Illinois</v>
      </c>
      <c r="C232" s="1" t="str">
        <f>IFERROR(__xludf.DUMMYFUNCTION("""COMPUTED_VALUE"""),"State Proclamations ")</f>
        <v>State Proclamations </v>
      </c>
      <c r="D232" s="1" t="str">
        <f>IFERROR(__xludf.DUMMYFUNCTION("""COMPUTED_VALUE"""),"Closing")</f>
        <v>Closing</v>
      </c>
      <c r="E232" s="1" t="str">
        <f>IFERROR(__xludf.DUMMYFUNCTION("""COMPUTED_VALUE"""),"Due to the nationwide resurgence in cases, all 11 of the state’s regions now have mitigation restrictions in effect. In Region 2, bars and restaurants cannot offer indoor service, and outdoor service has to close by 11 p.m. Gatherings are limited to the l"&amp;"esser of 25 people or 25% capacity.")</f>
        <v>Due to the nationwide resurgence in cases, all 11 of the state’s regions now have mitigation restrictions in effect. In Region 2, bars and restaurants cannot offer indoor service, and outdoor service has to close by 11 p.m. Gatherings are limited to the lesser of 25 people or 25% capacity.</v>
      </c>
      <c r="F232" s="1" t="str">
        <f>IFERROR(__xludf.DUMMYFUNCTION("""COMPUTED_VALUE"""),"National Academy for State Health Policy")</f>
        <v>National Academy for State Health Policy</v>
      </c>
      <c r="G232" s="3" t="str">
        <f>IFERROR(__xludf.DUMMYFUNCTION("""COMPUTED_VALUE"""),"https://www.nashp.org/2020-state-reopening-chart/")</f>
        <v>https://www.nashp.org/2020-state-reopening-chart/</v>
      </c>
      <c r="H232" s="1"/>
      <c r="I232" s="1"/>
    </row>
    <row r="233">
      <c r="A233" s="2">
        <f>IFERROR(__xludf.DUMMYFUNCTION("""COMPUTED_VALUE"""),44146.0)</f>
        <v>44146</v>
      </c>
      <c r="B233" s="1" t="str">
        <f>IFERROR(__xludf.DUMMYFUNCTION("""COMPUTED_VALUE"""),"Illinois")</f>
        <v>Illinois</v>
      </c>
      <c r="C233" s="1" t="str">
        <f>IFERROR(__xludf.DUMMYFUNCTION("""COMPUTED_VALUE"""),"State Proclamations ")</f>
        <v>State Proclamations </v>
      </c>
      <c r="D233" s="1" t="str">
        <f>IFERROR(__xludf.DUMMYFUNCTION("""COMPUTED_VALUE"""),"Closing")</f>
        <v>Closing</v>
      </c>
      <c r="E233" s="1" t="str">
        <f>IFERROR(__xludf.DUMMYFUNCTION("""COMPUTED_VALUE"""),"In regions 5,7, and 8, indoor and outdoor social events and gatherings are limited to 10 people, and party size limits at bars and restaurants were reduced from 10 people to 6. The Department of Public Health also began encoursing residents to work from h"&amp;"ome, participate in essential activities only, and limit travel and gatherings.")</f>
        <v>In regions 5,7, and 8, indoor and outdoor social events and gatherings are limited to 10 people, and party size limits at bars and restaurants were reduced from 10 people to 6. The Department of Public Health also began encoursing residents to work from home, participate in essential activities only, and limit travel and gatherings.</v>
      </c>
      <c r="F233" s="1" t="str">
        <f>IFERROR(__xludf.DUMMYFUNCTION("""COMPUTED_VALUE"""),"National Academy for State Health Policy")</f>
        <v>National Academy for State Health Policy</v>
      </c>
      <c r="G233" s="3" t="str">
        <f>IFERROR(__xludf.DUMMYFUNCTION("""COMPUTED_VALUE"""),"https://www.nashp.org/2020-state-reopening-chart/")</f>
        <v>https://www.nashp.org/2020-state-reopening-chart/</v>
      </c>
      <c r="H233" s="1"/>
      <c r="I233" s="1"/>
    </row>
    <row r="234">
      <c r="A234" s="2">
        <f>IFERROR(__xludf.DUMMYFUNCTION("""COMPUTED_VALUE"""),44155.0)</f>
        <v>44155</v>
      </c>
      <c r="B234" s="1" t="str">
        <f>IFERROR(__xludf.DUMMYFUNCTION("""COMPUTED_VALUE"""),"Illinois")</f>
        <v>Illinois</v>
      </c>
      <c r="C234" s="1" t="str">
        <f>IFERROR(__xludf.DUMMYFUNCTION("""COMPUTED_VALUE"""),"State Proclamations ")</f>
        <v>State Proclamations </v>
      </c>
      <c r="D234" s="1" t="str">
        <f>IFERROR(__xludf.DUMMYFUNCTION("""COMPUTED_VALUE"""),"Closing")</f>
        <v>Closing</v>
      </c>
      <c r="E234" s="1" t="str">
        <f>IFERROR(__xludf.DUMMYFUNCTION("""COMPUTED_VALUE"""),"Indoor service closed at restaurants, and casinos and museums closed. The governor prohibited indoor gym classes and reduced retail capacity from 50% to 25%.")</f>
        <v>Indoor service closed at restaurants, and casinos and museums closed. The governor prohibited indoor gym classes and reduced retail capacity from 50% to 25%.</v>
      </c>
      <c r="F234" s="1" t="str">
        <f>IFERROR(__xludf.DUMMYFUNCTION("""COMPUTED_VALUE"""),"National Academy for State Health Policy")</f>
        <v>National Academy for State Health Policy</v>
      </c>
      <c r="G234" s="3" t="str">
        <f>IFERROR(__xludf.DUMMYFUNCTION("""COMPUTED_VALUE"""),"https://www.nashp.org/2020-state-reopening-chart/")</f>
        <v>https://www.nashp.org/2020-state-reopening-chart/</v>
      </c>
      <c r="H234" s="1"/>
      <c r="I234" s="1"/>
    </row>
    <row r="235">
      <c r="A235" s="2">
        <f>IFERROR(__xludf.DUMMYFUNCTION("""COMPUTED_VALUE"""),44218.0)</f>
        <v>44218</v>
      </c>
      <c r="B235" s="1" t="str">
        <f>IFERROR(__xludf.DUMMYFUNCTION("""COMPUTED_VALUE"""),"Illinois")</f>
        <v>Illinois</v>
      </c>
      <c r="C235" s="1" t="str">
        <f>IFERROR(__xludf.DUMMYFUNCTION("""COMPUTED_VALUE"""),"State Proclamations ")</f>
        <v>State Proclamations </v>
      </c>
      <c r="D235" s="1" t="str">
        <f>IFERROR(__xludf.DUMMYFUNCTION("""COMPUTED_VALUE"""),"Opening")</f>
        <v>Opening</v>
      </c>
      <c r="E235" s="1" t="str">
        <f>IFERROR(__xludf.DUMMYFUNCTION("""COMPUTED_VALUE"""),"Regions 10 and 11 moved to Tier 1 (least restrictive), and Region 4 moved to Tier 2. Every region has moved out of Tier 3 (most restrictive) mitigation.")</f>
        <v>Regions 10 and 11 moved to Tier 1 (least restrictive), and Region 4 moved to Tier 2. Every region has moved out of Tier 3 (most restrictive) mitigation.</v>
      </c>
      <c r="F235" s="1" t="str">
        <f>IFERROR(__xludf.DUMMYFUNCTION("""COMPUTED_VALUE"""),"National Academy for State Health Policy")</f>
        <v>National Academy for State Health Policy</v>
      </c>
      <c r="G235" s="3" t="str">
        <f>IFERROR(__xludf.DUMMYFUNCTION("""COMPUTED_VALUE"""),"https://www.nashp.org/2021-covid-19-state-restrictions-re-openings-and-mask-requirements/")</f>
        <v>https://www.nashp.org/2021-covid-19-state-restrictions-re-openings-and-mask-requirements/</v>
      </c>
      <c r="H235" s="1"/>
      <c r="I235" s="1"/>
    </row>
    <row r="236">
      <c r="A236" s="2">
        <f>IFERROR(__xludf.DUMMYFUNCTION("""COMPUTED_VALUE"""),44221.0)</f>
        <v>44221</v>
      </c>
      <c r="B236" s="1" t="str">
        <f>IFERROR(__xludf.DUMMYFUNCTION("""COMPUTED_VALUE"""),"Illinois")</f>
        <v>Illinois</v>
      </c>
      <c r="C236" s="1" t="str">
        <f>IFERROR(__xludf.DUMMYFUNCTION("""COMPUTED_VALUE"""),"State Proclamations ")</f>
        <v>State Proclamations </v>
      </c>
      <c r="D236" s="1" t="str">
        <f>IFERROR(__xludf.DUMMYFUNCTION("""COMPUTED_VALUE"""),"Opening")</f>
        <v>Opening</v>
      </c>
      <c r="E236" s="1" t="str">
        <f>IFERROR(__xludf.DUMMYFUNCTION("""COMPUTED_VALUE"""),"Regions 1 and 2 moved out of Tier 1 mitigation into regular Phase 4.")</f>
        <v>Regions 1 and 2 moved out of Tier 1 mitigation into regular Phase 4.</v>
      </c>
      <c r="F236" s="1" t="str">
        <f>IFERROR(__xludf.DUMMYFUNCTION("""COMPUTED_VALUE"""),"National Academy for State Health Policy")</f>
        <v>National Academy for State Health Policy</v>
      </c>
      <c r="G236" s="3" t="str">
        <f>IFERROR(__xludf.DUMMYFUNCTION("""COMPUTED_VALUE"""),"https://www.nashp.org/2021-covid-19-state-restrictions-re-openings-and-mask-requirements/")</f>
        <v>https://www.nashp.org/2021-covid-19-state-restrictions-re-openings-and-mask-requirements/</v>
      </c>
      <c r="H236" s="1"/>
      <c r="I236" s="1"/>
    </row>
    <row r="237">
      <c r="A237" s="2">
        <f>IFERROR(__xludf.DUMMYFUNCTION("""COMPUTED_VALUE"""),44222.0)</f>
        <v>44222</v>
      </c>
      <c r="B237" s="1" t="str">
        <f>IFERROR(__xludf.DUMMYFUNCTION("""COMPUTED_VALUE"""),"Illinois")</f>
        <v>Illinois</v>
      </c>
      <c r="C237" s="1" t="str">
        <f>IFERROR(__xludf.DUMMYFUNCTION("""COMPUTED_VALUE"""),"State Proclamations ")</f>
        <v>State Proclamations </v>
      </c>
      <c r="D237" s="1" t="str">
        <f>IFERROR(__xludf.DUMMYFUNCTION("""COMPUTED_VALUE"""),"Opening")</f>
        <v>Opening</v>
      </c>
      <c r="E237" s="1" t="str">
        <f>IFERROR(__xludf.DUMMYFUNCTION("""COMPUTED_VALUE"""),"Regions 8 and 9 moved from Tier 2 to Tier 1 mitigation. Region 4 (including Bond, Clinton, Madison, Monroe, Randolph, St. Clair, and Washington counties) is the only part of the state that still has Tier 2 restrictions.")</f>
        <v>Regions 8 and 9 moved from Tier 2 to Tier 1 mitigation. Region 4 (including Bond, Clinton, Madison, Monroe, Randolph, St. Clair, and Washington counties) is the only part of the state that still has Tier 2 restrictions.</v>
      </c>
      <c r="F237" s="1" t="str">
        <f>IFERROR(__xludf.DUMMYFUNCTION("""COMPUTED_VALUE"""),"National Academy for State Health Policy")</f>
        <v>National Academy for State Health Policy</v>
      </c>
      <c r="G237" s="3" t="str">
        <f>IFERROR(__xludf.DUMMYFUNCTION("""COMPUTED_VALUE"""),"https://www.nashp.org/2021-covid-19-state-restrictions-re-openings-and-mask-requirements/")</f>
        <v>https://www.nashp.org/2021-covid-19-state-restrictions-re-openings-and-mask-requirements/</v>
      </c>
      <c r="H237" s="1"/>
      <c r="I237" s="1"/>
    </row>
    <row r="238">
      <c r="A238" s="2">
        <f>IFERROR(__xludf.DUMMYFUNCTION("""COMPUTED_VALUE"""),44227.0)</f>
        <v>44227</v>
      </c>
      <c r="B238" s="1" t="str">
        <f>IFERROR(__xludf.DUMMYFUNCTION("""COMPUTED_VALUE"""),"Illinois")</f>
        <v>Illinois</v>
      </c>
      <c r="C238" s="1" t="str">
        <f>IFERROR(__xludf.DUMMYFUNCTION("""COMPUTED_VALUE"""),"State Proclamations ")</f>
        <v>State Proclamations </v>
      </c>
      <c r="D238" s="1" t="str">
        <f>IFERROR(__xludf.DUMMYFUNCTION("""COMPUTED_VALUE"""),"Opening")</f>
        <v>Opening</v>
      </c>
      <c r="E238" s="1" t="str">
        <f>IFERROR(__xludf.DUMMYFUNCTION("""COMPUTED_VALUE"""),"Regions 7 and 11 (Chicago) moved out of Tier 1 mitigation into regular Phase 4.")</f>
        <v>Regions 7 and 11 (Chicago) moved out of Tier 1 mitigation into regular Phase 4.</v>
      </c>
      <c r="F238" s="1" t="str">
        <f>IFERROR(__xludf.DUMMYFUNCTION("""COMPUTED_VALUE"""),"National Academy for State Health Policy")</f>
        <v>National Academy for State Health Policy</v>
      </c>
      <c r="G238" s="3" t="str">
        <f>IFERROR(__xludf.DUMMYFUNCTION("""COMPUTED_VALUE"""),"https://www.nashp.org/2021-covid-19-state-restrictions-re-openings-and-mask-requirements/")</f>
        <v>https://www.nashp.org/2021-covid-19-state-restrictions-re-openings-and-mask-requirements/</v>
      </c>
      <c r="H238" s="1"/>
      <c r="I238" s="1"/>
    </row>
    <row r="239">
      <c r="A239" s="2">
        <f>IFERROR(__xludf.DUMMYFUNCTION("""COMPUTED_VALUE"""),44229.0)</f>
        <v>44229</v>
      </c>
      <c r="B239" s="1" t="str">
        <f>IFERROR(__xludf.DUMMYFUNCTION("""COMPUTED_VALUE"""),"Illinois")</f>
        <v>Illinois</v>
      </c>
      <c r="C239" s="1" t="str">
        <f>IFERROR(__xludf.DUMMYFUNCTION("""COMPUTED_VALUE"""),"State Proclamations ")</f>
        <v>State Proclamations </v>
      </c>
      <c r="D239" s="1" t="str">
        <f>IFERROR(__xludf.DUMMYFUNCTION("""COMPUTED_VALUE"""),"Opening")</f>
        <v>Opening</v>
      </c>
      <c r="E239" s="1" t="str">
        <f>IFERROR(__xludf.DUMMYFUNCTION("""COMPUTED_VALUE"""),"Regions 4 and 10 moved out of Tier 1 mitigation into regular Phase 4.")</f>
        <v>Regions 4 and 10 moved out of Tier 1 mitigation into regular Phase 4.</v>
      </c>
      <c r="F239" s="1" t="str">
        <f>IFERROR(__xludf.DUMMYFUNCTION("""COMPUTED_VALUE"""),"National Academy for State Health Policy")</f>
        <v>National Academy for State Health Policy</v>
      </c>
      <c r="G239" s="3" t="str">
        <f>IFERROR(__xludf.DUMMYFUNCTION("""COMPUTED_VALUE"""),"https://www.nashp.org/2021-covid-19-state-restrictions-re-openings-and-mask-requirements/")</f>
        <v>https://www.nashp.org/2021-covid-19-state-restrictions-re-openings-and-mask-requirements/</v>
      </c>
      <c r="H239" s="1"/>
      <c r="I239" s="1"/>
    </row>
    <row r="240">
      <c r="A240" s="2">
        <f>IFERROR(__xludf.DUMMYFUNCTION("""COMPUTED_VALUE"""),44330.0)</f>
        <v>44330</v>
      </c>
      <c r="B240" s="1" t="str">
        <f>IFERROR(__xludf.DUMMYFUNCTION("""COMPUTED_VALUE"""),"Illinois")</f>
        <v>Illinois</v>
      </c>
      <c r="C240" s="1" t="str">
        <f>IFERROR(__xludf.DUMMYFUNCTION("""COMPUTED_VALUE"""),"State Proclamations ")</f>
        <v>State Proclamations </v>
      </c>
      <c r="D240" s="1" t="str">
        <f>IFERROR(__xludf.DUMMYFUNCTION("""COMPUTED_VALUE"""),"Opening")</f>
        <v>Opening</v>
      </c>
      <c r="E240" s="1" t="str">
        <f>IFERROR(__xludf.DUMMYFUNCTION("""COMPUTED_VALUE"""),"The state moved to the Bridge to Phase 5 of reopening. The new phase allows for higher capacity limits and increased business operations.")</f>
        <v>The state moved to the Bridge to Phase 5 of reopening. The new phase allows for higher capacity limits and increased business operations.</v>
      </c>
      <c r="F240" s="1" t="str">
        <f>IFERROR(__xludf.DUMMYFUNCTION("""COMPUTED_VALUE"""),"National Academy for State Health Policy")</f>
        <v>National Academy for State Health Policy</v>
      </c>
      <c r="G240" s="3" t="str">
        <f>IFERROR(__xludf.DUMMYFUNCTION("""COMPUTED_VALUE"""),"https://www.nashp.org/2021-covid-19-state-restrictions-re-openings-and-mask-requirements/")</f>
        <v>https://www.nashp.org/2021-covid-19-state-restrictions-re-openings-and-mask-requirements/</v>
      </c>
      <c r="H240" s="1"/>
      <c r="I240" s="1"/>
    </row>
    <row r="241">
      <c r="A241" s="2">
        <f>IFERROR(__xludf.DUMMYFUNCTION("""COMPUTED_VALUE"""),44358.0)</f>
        <v>44358</v>
      </c>
      <c r="B241" s="1" t="str">
        <f>IFERROR(__xludf.DUMMYFUNCTION("""COMPUTED_VALUE"""),"Illinois")</f>
        <v>Illinois</v>
      </c>
      <c r="C241" s="1" t="str">
        <f>IFERROR(__xludf.DUMMYFUNCTION("""COMPUTED_VALUE"""),"Mask Mandate")</f>
        <v>Mask Mandate</v>
      </c>
      <c r="D241" s="1" t="str">
        <f>IFERROR(__xludf.DUMMYFUNCTION("""COMPUTED_VALUE"""),"End")</f>
        <v>End</v>
      </c>
      <c r="E241" s="1" t="str">
        <f>IFERROR(__xludf.DUMMYFUNCTION("""COMPUTED_VALUE"""),"On June 11, the mask mandate ended")</f>
        <v>On June 11, the mask mandate ended</v>
      </c>
      <c r="F241" s="1" t="str">
        <f>IFERROR(__xludf.DUMMYFUNCTION("""COMPUTED_VALUE"""),"National Academy for State Health Policy")</f>
        <v>National Academy for State Health Policy</v>
      </c>
      <c r="G241" s="3" t="str">
        <f>IFERROR(__xludf.DUMMYFUNCTION("""COMPUTED_VALUE"""),"https://www.nashp.org/2021-covid-19-state-restrictions-re-openings-and-mask-requirements/")</f>
        <v>https://www.nashp.org/2021-covid-19-state-restrictions-re-openings-and-mask-requirements/</v>
      </c>
      <c r="H241" s="1"/>
      <c r="I241" s="1"/>
    </row>
    <row r="242">
      <c r="A242" s="2">
        <f>IFERROR(__xludf.DUMMYFUNCTION("""COMPUTED_VALUE"""),44358.0)</f>
        <v>44358</v>
      </c>
      <c r="B242" s="1" t="str">
        <f>IFERROR(__xludf.DUMMYFUNCTION("""COMPUTED_VALUE"""),"Illinois")</f>
        <v>Illinois</v>
      </c>
      <c r="C242" s="1" t="str">
        <f>IFERROR(__xludf.DUMMYFUNCTION("""COMPUTED_VALUE"""),"State Proclamations ")</f>
        <v>State Proclamations </v>
      </c>
      <c r="D242" s="1" t="str">
        <f>IFERROR(__xludf.DUMMYFUNCTION("""COMPUTED_VALUE"""),"Opening")</f>
        <v>Opening</v>
      </c>
      <c r="E242" s="1" t="str">
        <f>IFERROR(__xludf.DUMMYFUNCTION("""COMPUTED_VALUE"""),"The state moved to Phase 5 of reopening. The new phase allows for large gatherings of all sizes to resume and removes capacity restrictions for businesses, schools, recreation, and events.")</f>
        <v>The state moved to Phase 5 of reopening. The new phase allows for large gatherings of all sizes to resume and removes capacity restrictions for businesses, schools, recreation, and events.</v>
      </c>
      <c r="F242" s="1" t="str">
        <f>IFERROR(__xludf.DUMMYFUNCTION("""COMPUTED_VALUE"""),"National Academy for State Health Policy")</f>
        <v>National Academy for State Health Policy</v>
      </c>
      <c r="G242" s="3" t="str">
        <f>IFERROR(__xludf.DUMMYFUNCTION("""COMPUTED_VALUE"""),"https://www.nashp.org/2021-covid-19-state-restrictions-re-openings-and-mask-requirements/")</f>
        <v>https://www.nashp.org/2021-covid-19-state-restrictions-re-openings-and-mask-requirements/</v>
      </c>
      <c r="H242" s="1"/>
      <c r="I242" s="1"/>
    </row>
    <row r="243">
      <c r="A243" s="2">
        <f>IFERROR(__xludf.DUMMYFUNCTION("""COMPUTED_VALUE"""),44386.0)</f>
        <v>44386</v>
      </c>
      <c r="B243" s="1" t="str">
        <f>IFERROR(__xludf.DUMMYFUNCTION("""COMPUTED_VALUE"""),"Illinois")</f>
        <v>Illinois</v>
      </c>
      <c r="C243" s="1" t="str">
        <f>IFERROR(__xludf.DUMMYFUNCTION("""COMPUTED_VALUE"""),"State Proclamations ")</f>
        <v>State Proclamations </v>
      </c>
      <c r="D243" s="1" t="str">
        <f>IFERROR(__xludf.DUMMYFUNCTION("""COMPUTED_VALUE"""),"Opening")</f>
        <v>Opening</v>
      </c>
      <c r="E243" s="1" t="str">
        <f>IFERROR(__xludf.DUMMYFUNCTION("""COMPUTED_VALUE"""),"The Superintendent of Education announced that in-person learning will be required for the 2021-2022 school year, though remote instruction will be available to students unable to receive a vaccine.")</f>
        <v>The Superintendent of Education announced that in-person learning will be required for the 2021-2022 school year, though remote instruction will be available to students unable to receive a vaccine.</v>
      </c>
      <c r="F243" s="1" t="str">
        <f>IFERROR(__xludf.DUMMYFUNCTION("""COMPUTED_VALUE"""),"National Academy for State Health Policy")</f>
        <v>National Academy for State Health Policy</v>
      </c>
      <c r="G243" s="3" t="str">
        <f>IFERROR(__xludf.DUMMYFUNCTION("""COMPUTED_VALUE"""),"https://www.nashp.org/2021-covid-19-state-restrictions-re-openings-and-mask-requirements/")</f>
        <v>https://www.nashp.org/2021-covid-19-state-restrictions-re-openings-and-mask-requirements/</v>
      </c>
      <c r="H243" s="1"/>
      <c r="I243" s="1"/>
    </row>
    <row r="244">
      <c r="A244" s="2">
        <f>IFERROR(__xludf.DUMMYFUNCTION("""COMPUTED_VALUE"""),44434.0)</f>
        <v>44434</v>
      </c>
      <c r="B244" s="1" t="str">
        <f>IFERROR(__xludf.DUMMYFUNCTION("""COMPUTED_VALUE"""),"Illinois")</f>
        <v>Illinois</v>
      </c>
      <c r="C244" s="1" t="str">
        <f>IFERROR(__xludf.DUMMYFUNCTION("""COMPUTED_VALUE"""),"Mask Mandate")</f>
        <v>Mask Mandate</v>
      </c>
      <c r="D244" s="1" t="str">
        <f>IFERROR(__xludf.DUMMYFUNCTION("""COMPUTED_VALUE"""),"Start")</f>
        <v>Start</v>
      </c>
      <c r="E244" s="1" t="str">
        <f>IFERROR(__xludf.DUMMYFUNCTION("""COMPUTED_VALUE"""),"On Aug. 26, 2021, Gov. JB Pritzker reinstated the indoor mask mandate for all individuals.")</f>
        <v>On Aug. 26, 2021, Gov. JB Pritzker reinstated the indoor mask mandate for all individuals.</v>
      </c>
      <c r="F244" s="1" t="str">
        <f>IFERROR(__xludf.DUMMYFUNCTION("""COMPUTED_VALUE"""),"National Academy for State Health Policy")</f>
        <v>National Academy for State Health Policy</v>
      </c>
      <c r="G244" s="3" t="str">
        <f>IFERROR(__xludf.DUMMYFUNCTION("""COMPUTED_VALUE"""),"https://www.nashp.org/2021-covid-19-state-restrictions-re-openings-and-mask-requirements/")</f>
        <v>https://www.nashp.org/2021-covid-19-state-restrictions-re-openings-and-mask-requirements/</v>
      </c>
      <c r="H244" s="1"/>
      <c r="I244" s="1"/>
    </row>
    <row r="245">
      <c r="A245" s="2">
        <f>IFERROR(__xludf.DUMMYFUNCTION("""COMPUTED_VALUE"""),43896.0)</f>
        <v>43896</v>
      </c>
      <c r="B245" s="1" t="str">
        <f>IFERROR(__xludf.DUMMYFUNCTION("""COMPUTED_VALUE"""),"Indiana")</f>
        <v>Indiana</v>
      </c>
      <c r="C245" s="1" t="str">
        <f>IFERROR(__xludf.DUMMYFUNCTION("""COMPUTED_VALUE"""),"State of Emergency")</f>
        <v>State of Emergency</v>
      </c>
      <c r="D245" s="1" t="str">
        <f>IFERROR(__xludf.DUMMYFUNCTION("""COMPUTED_VALUE"""),"Start")</f>
        <v>Start</v>
      </c>
      <c r="E245" s="1" t="str">
        <f>IFERROR(__xludf.DUMMYFUNCTION("""COMPUTED_VALUE"""),"A state of emergency was issued by Gov. Eric Holcomb on March 6.")</f>
        <v>A state of emergency was issued by Gov. Eric Holcomb on March 6.</v>
      </c>
      <c r="F245" s="1" t="str">
        <f>IFERROR(__xludf.DUMMYFUNCTION("""COMPUTED_VALUE"""),"Business Insider")</f>
        <v>Business Insider</v>
      </c>
      <c r="G245" s="3" t="str">
        <f>IFERROR(__xludf.DUMMYFUNCTION("""COMPUTED_VALUE"""),"https://www.businessinsider.com/california-washington-state-of-emergency-coronavirus-what-it-means-2020-3#indiana-9")</f>
        <v>https://www.businessinsider.com/california-washington-state-of-emergency-coronavirus-what-it-means-2020-3#indiana-9</v>
      </c>
      <c r="H245" s="1"/>
      <c r="I245" s="1"/>
    </row>
    <row r="246">
      <c r="A246" s="2">
        <f>IFERROR(__xludf.DUMMYFUNCTION("""COMPUTED_VALUE"""),43914.0)</f>
        <v>43914</v>
      </c>
      <c r="B246" s="1" t="str">
        <f>IFERROR(__xludf.DUMMYFUNCTION("""COMPUTED_VALUE"""),"Indiana")</f>
        <v>Indiana</v>
      </c>
      <c r="C246" s="1" t="str">
        <f>IFERROR(__xludf.DUMMYFUNCTION("""COMPUTED_VALUE"""),"Stay-at-Home Order")</f>
        <v>Stay-at-Home Order</v>
      </c>
      <c r="D246" s="1" t="str">
        <f>IFERROR(__xludf.DUMMYFUNCTION("""COMPUTED_VALUE"""),"Start")</f>
        <v>Start</v>
      </c>
      <c r="E246" s="1" t="str">
        <f>IFERROR(__xludf.DUMMYFUNCTION("""COMPUTED_VALUE"""),"Original stay-at-home order begins")</f>
        <v>Original stay-at-home order begins</v>
      </c>
      <c r="F246" s="1" t="str">
        <f>IFERROR(__xludf.DUMMYFUNCTION("""COMPUTED_VALUE"""),"National Academy for State Health Policy")</f>
        <v>National Academy for State Health Policy</v>
      </c>
      <c r="G246" s="3" t="str">
        <f>IFERROR(__xludf.DUMMYFUNCTION("""COMPUTED_VALUE"""),"https://www.nashp.org/2020-state-reopening-chart/")</f>
        <v>https://www.nashp.org/2020-state-reopening-chart/</v>
      </c>
      <c r="H246" s="1"/>
      <c r="I246" s="1"/>
    </row>
    <row r="247">
      <c r="A247" s="2">
        <f>IFERROR(__xludf.DUMMYFUNCTION("""COMPUTED_VALUE"""),43952.0)</f>
        <v>43952</v>
      </c>
      <c r="B247" s="1" t="str">
        <f>IFERROR(__xludf.DUMMYFUNCTION("""COMPUTED_VALUE"""),"Indiana")</f>
        <v>Indiana</v>
      </c>
      <c r="C247" s="1" t="str">
        <f>IFERROR(__xludf.DUMMYFUNCTION("""COMPUTED_VALUE"""),"Stay-at-Home Order")</f>
        <v>Stay-at-Home Order</v>
      </c>
      <c r="D247" s="1" t="str">
        <f>IFERROR(__xludf.DUMMYFUNCTION("""COMPUTED_VALUE"""),"End")</f>
        <v>End</v>
      </c>
      <c r="E247" s="1" t="str">
        <f>IFERROR(__xludf.DUMMYFUNCTION("""COMPUTED_VALUE"""),"Original stay-at-home order ends")</f>
        <v>Original stay-at-home order ends</v>
      </c>
      <c r="F247" s="1" t="str">
        <f>IFERROR(__xludf.DUMMYFUNCTION("""COMPUTED_VALUE"""),"National Academy for State Health Policy")</f>
        <v>National Academy for State Health Policy</v>
      </c>
      <c r="G247" s="3" t="str">
        <f>IFERROR(__xludf.DUMMYFUNCTION("""COMPUTED_VALUE"""),"https://www.nashp.org/2020-state-reopening-chart/")</f>
        <v>https://www.nashp.org/2020-state-reopening-chart/</v>
      </c>
      <c r="H247" s="1"/>
      <c r="I247" s="1"/>
    </row>
    <row r="248">
      <c r="A248" s="2">
        <f>IFERROR(__xludf.DUMMYFUNCTION("""COMPUTED_VALUE"""),43952.0)</f>
        <v>43952</v>
      </c>
      <c r="B248" s="1" t="str">
        <f>IFERROR(__xludf.DUMMYFUNCTION("""COMPUTED_VALUE"""),"Indiana")</f>
        <v>Indiana</v>
      </c>
      <c r="C248" s="1" t="str">
        <f>IFERROR(__xludf.DUMMYFUNCTION("""COMPUTED_VALUE"""),"State Proclamations ")</f>
        <v>State Proclamations </v>
      </c>
      <c r="D248" s="1" t="str">
        <f>IFERROR(__xludf.DUMMYFUNCTION("""COMPUTED_VALUE"""),"Opening")</f>
        <v>Opening</v>
      </c>
      <c r="E248" s="1" t="str">
        <f>IFERROR(__xludf.DUMMYFUNCTION("""COMPUTED_VALUE"""),"Indiana has reopened retail stores, restaurant dining, personal care services, houses of worship, libraries, museums, zoos, theaters, bowling alleys, gyms, pools, amusement parks, and offices. Nonessential medical procedures resumed April 27.")</f>
        <v>Indiana has reopened retail stores, restaurant dining, personal care services, houses of worship, libraries, museums, zoos, theaters, bowling alleys, gyms, pools, amusement parks, and offices. Nonessential medical procedures resumed April 27.</v>
      </c>
      <c r="F248" s="1" t="str">
        <f>IFERROR(__xludf.DUMMYFUNCTION("""COMPUTED_VALUE"""),"National Academy for State Health Policy")</f>
        <v>National Academy for State Health Policy</v>
      </c>
      <c r="G248" s="3" t="str">
        <f>IFERROR(__xludf.DUMMYFUNCTION("""COMPUTED_VALUE"""),"https://www.nashp.org/2020-state-reopening-chart/")</f>
        <v>https://www.nashp.org/2020-state-reopening-chart/</v>
      </c>
      <c r="H248" s="1"/>
      <c r="I248" s="1"/>
    </row>
    <row r="249">
      <c r="A249" s="2">
        <f>IFERROR(__xludf.DUMMYFUNCTION("""COMPUTED_VALUE"""),43994.0)</f>
        <v>43994</v>
      </c>
      <c r="B249" s="1" t="str">
        <f>IFERROR(__xludf.DUMMYFUNCTION("""COMPUTED_VALUE"""),"Indiana")</f>
        <v>Indiana</v>
      </c>
      <c r="C249" s="1" t="str">
        <f>IFERROR(__xludf.DUMMYFUNCTION("""COMPUTED_VALUE"""),"State Proclamations ")</f>
        <v>State Proclamations </v>
      </c>
      <c r="D249" s="1" t="str">
        <f>IFERROR(__xludf.DUMMYFUNCTION("""COMPUTED_VALUE"""),"Opening")</f>
        <v>Opening</v>
      </c>
      <c r="E249" s="1" t="str">
        <f>IFERROR(__xludf.DUMMYFUNCTION("""COMPUTED_VALUE"""),"Stage 4 of the reopening plan began. Under Stage 4, social gatherings of up to 250 people are permitted with social distancing, retail stores can open at full capacity, restaurants can open at 75% capacity, bars can open at 50% capacity, and movie theater"&amp;"s and bowling alleys can open at 50% capacity.")</f>
        <v>Stage 4 of the reopening plan began. Under Stage 4, social gatherings of up to 250 people are permitted with social distancing, retail stores can open at full capacity, restaurants can open at 75% capacity, bars can open at 50% capacity, and movie theaters and bowling alleys can open at 50% capacity.</v>
      </c>
      <c r="F249" s="1" t="str">
        <f>IFERROR(__xludf.DUMMYFUNCTION("""COMPUTED_VALUE"""),"National Academy for State Health Policy")</f>
        <v>National Academy for State Health Policy</v>
      </c>
      <c r="G249" s="3" t="str">
        <f>IFERROR(__xludf.DUMMYFUNCTION("""COMPUTED_VALUE"""),"https://www.nashp.org/2020-state-reopening-chart/")</f>
        <v>https://www.nashp.org/2020-state-reopening-chart/</v>
      </c>
      <c r="H249" s="1"/>
      <c r="I249" s="1"/>
    </row>
    <row r="250">
      <c r="A250" s="2">
        <f>IFERROR(__xludf.DUMMYFUNCTION("""COMPUTED_VALUE"""),44013.0)</f>
        <v>44013</v>
      </c>
      <c r="B250" s="1" t="str">
        <f>IFERROR(__xludf.DUMMYFUNCTION("""COMPUTED_VALUE"""),"Indiana")</f>
        <v>Indiana</v>
      </c>
      <c r="C250" s="1" t="str">
        <f>IFERROR(__xludf.DUMMYFUNCTION("""COMPUTED_VALUE"""),"State Proclamations ")</f>
        <v>State Proclamations </v>
      </c>
      <c r="D250" s="1" t="str">
        <f>IFERROR(__xludf.DUMMYFUNCTION("""COMPUTED_VALUE"""),"Closing")</f>
        <v>Closing</v>
      </c>
      <c r="E250" s="1" t="str">
        <f>IFERROR(__xludf.DUMMYFUNCTION("""COMPUTED_VALUE"""),"Due to a resurgence in infection, the governor announced the state would pause progression to Stage 5 until at least July 18, which would have lifted capacity limits on businesses.")</f>
        <v>Due to a resurgence in infection, the governor announced the state would pause progression to Stage 5 until at least July 18, which would have lifted capacity limits on businesses.</v>
      </c>
      <c r="F250" s="1" t="str">
        <f>IFERROR(__xludf.DUMMYFUNCTION("""COMPUTED_VALUE"""),"National Academy for State Health Policy")</f>
        <v>National Academy for State Health Policy</v>
      </c>
      <c r="G250" s="3" t="str">
        <f>IFERROR(__xludf.DUMMYFUNCTION("""COMPUTED_VALUE"""),"https://www.nashp.org/2020-state-reopening-chart/")</f>
        <v>https://www.nashp.org/2020-state-reopening-chart/</v>
      </c>
      <c r="H250" s="1"/>
      <c r="I250" s="1"/>
    </row>
    <row r="251">
      <c r="A251" s="2">
        <f>IFERROR(__xludf.DUMMYFUNCTION("""COMPUTED_VALUE"""),44027.0)</f>
        <v>44027</v>
      </c>
      <c r="B251" s="1" t="str">
        <f>IFERROR(__xludf.DUMMYFUNCTION("""COMPUTED_VALUE"""),"Indiana")</f>
        <v>Indiana</v>
      </c>
      <c r="C251" s="1" t="str">
        <f>IFERROR(__xludf.DUMMYFUNCTION("""COMPUTED_VALUE"""),"State Proclamations ")</f>
        <v>State Proclamations </v>
      </c>
      <c r="D251" s="1" t="str">
        <f>IFERROR(__xludf.DUMMYFUNCTION("""COMPUTED_VALUE"""),"Closing")</f>
        <v>Closing</v>
      </c>
      <c r="E251" s="1" t="str">
        <f>IFERROR(__xludf.DUMMYFUNCTION("""COMPUTED_VALUE"""),"The governor said the state will stay in reopening Stage 4 for at least 14 more days.")</f>
        <v>The governor said the state will stay in reopening Stage 4 for at least 14 more days.</v>
      </c>
      <c r="F251" s="1" t="str">
        <f>IFERROR(__xludf.DUMMYFUNCTION("""COMPUTED_VALUE"""),"National Academy for State Health Policy")</f>
        <v>National Academy for State Health Policy</v>
      </c>
      <c r="G251" s="3" t="str">
        <f>IFERROR(__xludf.DUMMYFUNCTION("""COMPUTED_VALUE"""),"https://www.nashp.org/2020-state-reopening-chart/")</f>
        <v>https://www.nashp.org/2020-state-reopening-chart/</v>
      </c>
      <c r="H251" s="1"/>
      <c r="I251" s="1"/>
    </row>
    <row r="252">
      <c r="A252" s="2">
        <f>IFERROR(__xludf.DUMMYFUNCTION("""COMPUTED_VALUE"""),44035.0)</f>
        <v>44035</v>
      </c>
      <c r="B252" s="1" t="str">
        <f>IFERROR(__xludf.DUMMYFUNCTION("""COMPUTED_VALUE"""),"Indiana")</f>
        <v>Indiana</v>
      </c>
      <c r="C252" s="1" t="str">
        <f>IFERROR(__xludf.DUMMYFUNCTION("""COMPUTED_VALUE"""),"State Proclamations ")</f>
        <v>State Proclamations </v>
      </c>
      <c r="D252" s="1" t="str">
        <f>IFERROR(__xludf.DUMMYFUNCTION("""COMPUTED_VALUE"""),"Closing")</f>
        <v>Closing</v>
      </c>
      <c r="E252" s="1" t="str">
        <f>IFERROR(__xludf.DUMMYFUNCTION("""COMPUTED_VALUE"""),"Events with over 250 people are required to submit a plan to their local health department for approval that addresses capacity limits, guest information, social distancing measures and more.")</f>
        <v>Events with over 250 people are required to submit a plan to their local health department for approval that addresses capacity limits, guest information, social distancing measures and more.</v>
      </c>
      <c r="F252" s="1" t="str">
        <f>IFERROR(__xludf.DUMMYFUNCTION("""COMPUTED_VALUE"""),"National Academy for State Health Policy")</f>
        <v>National Academy for State Health Policy</v>
      </c>
      <c r="G252" s="3" t="str">
        <f>IFERROR(__xludf.DUMMYFUNCTION("""COMPUTED_VALUE"""),"https://www.nashp.org/2020-state-reopening-chart/")</f>
        <v>https://www.nashp.org/2020-state-reopening-chart/</v>
      </c>
      <c r="H252" s="1"/>
      <c r="I252" s="1"/>
    </row>
    <row r="253">
      <c r="A253" s="2">
        <f>IFERROR(__xludf.DUMMYFUNCTION("""COMPUTED_VALUE"""),44039.0)</f>
        <v>44039</v>
      </c>
      <c r="B253" s="1" t="str">
        <f>IFERROR(__xludf.DUMMYFUNCTION("""COMPUTED_VALUE"""),"Indiana")</f>
        <v>Indiana</v>
      </c>
      <c r="C253" s="1" t="str">
        <f>IFERROR(__xludf.DUMMYFUNCTION("""COMPUTED_VALUE"""),"Mask Mandate")</f>
        <v>Mask Mandate</v>
      </c>
      <c r="D253" s="1" t="str">
        <f>IFERROR(__xludf.DUMMYFUNCTION("""COMPUTED_VALUE"""),"Start")</f>
        <v>Start</v>
      </c>
      <c r="E253" s="1" t="str">
        <f>IFERROR(__xludf.DUMMYFUNCTION("""COMPUTED_VALUE"""),"Gov. Eric Holcomb announced that a statewide mask mandate will go into effect on July 27 due to the increase in the state's positivity rate and some counties seeing increases in cases. The mask mandate applies to anyone who is 8 years and older, and is re"&amp;"quired in indoor public spaces, commercial entities, while using transportation services and outdoors where social distancing isn't possible.")</f>
        <v>Gov. Eric Holcomb announced that a statewide mask mandate will go into effect on July 27 due to the increase in the state's positivity rate and some counties seeing increases in cases. The mask mandate applies to anyone who is 8 years and older, and is required in indoor public spaces, commercial entities, while using transportation services and outdoors where social distancing isn't possible.</v>
      </c>
      <c r="F253" s="1" t="str">
        <f>IFERROR(__xludf.DUMMYFUNCTION("""COMPUTED_VALUE"""),"CNN")</f>
        <v>CNN</v>
      </c>
      <c r="G253" s="3" t="str">
        <f>IFERROR(__xludf.DUMMYFUNCTION("""COMPUTED_VALUE"""),"https://www.cnn.com/2020/06/19/us/states-face-mask-coronavirus-trnd/index.html")</f>
        <v>https://www.cnn.com/2020/06/19/us/states-face-mask-coronavirus-trnd/index.html</v>
      </c>
      <c r="H253" s="1"/>
      <c r="I253" s="1"/>
    </row>
    <row r="254">
      <c r="A254" s="2">
        <f>IFERROR(__xludf.DUMMYFUNCTION("""COMPUTED_VALUE"""),44041.0)</f>
        <v>44041</v>
      </c>
      <c r="B254" s="1" t="str">
        <f>IFERROR(__xludf.DUMMYFUNCTION("""COMPUTED_VALUE"""),"Indiana")</f>
        <v>Indiana</v>
      </c>
      <c r="C254" s="1" t="str">
        <f>IFERROR(__xludf.DUMMYFUNCTION("""COMPUTED_VALUE"""),"State Proclamations ")</f>
        <v>State Proclamations </v>
      </c>
      <c r="D254" s="1" t="str">
        <f>IFERROR(__xludf.DUMMYFUNCTION("""COMPUTED_VALUE"""),"Closing")</f>
        <v>Closing</v>
      </c>
      <c r="E254" s="1" t="str">
        <f>IFERROR(__xludf.DUMMYFUNCTION("""COMPUTED_VALUE"""),"The governor announced the state will remain in Stage 4.5 through Aug. 27.")</f>
        <v>The governor announced the state will remain in Stage 4.5 through Aug. 27.</v>
      </c>
      <c r="F254" s="1" t="str">
        <f>IFERROR(__xludf.DUMMYFUNCTION("""COMPUTED_VALUE"""),"National Academy for State Health Policy")</f>
        <v>National Academy for State Health Policy</v>
      </c>
      <c r="G254" s="3" t="str">
        <f>IFERROR(__xludf.DUMMYFUNCTION("""COMPUTED_VALUE"""),"https://www.nashp.org/2020-state-reopening-chart/")</f>
        <v>https://www.nashp.org/2020-state-reopening-chart/</v>
      </c>
      <c r="H254" s="1"/>
      <c r="I254" s="1"/>
    </row>
    <row r="255">
      <c r="A255" s="2">
        <f>IFERROR(__xludf.DUMMYFUNCTION("""COMPUTED_VALUE"""),44069.0)</f>
        <v>44069</v>
      </c>
      <c r="B255" s="1" t="str">
        <f>IFERROR(__xludf.DUMMYFUNCTION("""COMPUTED_VALUE"""),"Indiana")</f>
        <v>Indiana</v>
      </c>
      <c r="C255" s="1" t="str">
        <f>IFERROR(__xludf.DUMMYFUNCTION("""COMPUTED_VALUE"""),"State Proclamations ")</f>
        <v>State Proclamations </v>
      </c>
      <c r="D255" s="1" t="str">
        <f>IFERROR(__xludf.DUMMYFUNCTION("""COMPUTED_VALUE"""),"Closing")</f>
        <v>Closing</v>
      </c>
      <c r="E255" s="1" t="str">
        <f>IFERROR(__xludf.DUMMYFUNCTION("""COMPUTED_VALUE"""),"The governor announced the state will remain in Stage 4.5 through Sept. 25.")</f>
        <v>The governor announced the state will remain in Stage 4.5 through Sept. 25.</v>
      </c>
      <c r="F255" s="1" t="str">
        <f>IFERROR(__xludf.DUMMYFUNCTION("""COMPUTED_VALUE"""),"National Academy for State Health Policy")</f>
        <v>National Academy for State Health Policy</v>
      </c>
      <c r="G255" s="3" t="str">
        <f>IFERROR(__xludf.DUMMYFUNCTION("""COMPUTED_VALUE"""),"https://www.nashp.org/2020-state-reopening-chart/")</f>
        <v>https://www.nashp.org/2020-state-reopening-chart/</v>
      </c>
      <c r="H255" s="1"/>
      <c r="I255" s="1"/>
    </row>
    <row r="256">
      <c r="A256" s="2">
        <f>IFERROR(__xludf.DUMMYFUNCTION("""COMPUTED_VALUE"""),44100.0)</f>
        <v>44100</v>
      </c>
      <c r="B256" s="1" t="str">
        <f>IFERROR(__xludf.DUMMYFUNCTION("""COMPUTED_VALUE"""),"Indiana")</f>
        <v>Indiana</v>
      </c>
      <c r="C256" s="1" t="str">
        <f>IFERROR(__xludf.DUMMYFUNCTION("""COMPUTED_VALUE"""),"State Proclamations ")</f>
        <v>State Proclamations </v>
      </c>
      <c r="D256" s="1" t="str">
        <f>IFERROR(__xludf.DUMMYFUNCTION("""COMPUTED_VALUE"""),"Opening")</f>
        <v>Opening</v>
      </c>
      <c r="E256" s="1" t="str">
        <f>IFERROR(__xludf.DUMMYFUNCTION("""COMPUTED_VALUE"""),"The state moved into Stage 5, which will be in place through Oct. 17.")</f>
        <v>The state moved into Stage 5, which will be in place through Oct. 17.</v>
      </c>
      <c r="F256" s="1" t="str">
        <f>IFERROR(__xludf.DUMMYFUNCTION("""COMPUTED_VALUE"""),"National Academy for State Health Policy")</f>
        <v>National Academy for State Health Policy</v>
      </c>
      <c r="G256" s="3" t="str">
        <f>IFERROR(__xludf.DUMMYFUNCTION("""COMPUTED_VALUE"""),"https://www.nashp.org/2020-state-reopening-chart/")</f>
        <v>https://www.nashp.org/2020-state-reopening-chart/</v>
      </c>
      <c r="H256" s="1"/>
      <c r="I256" s="1"/>
    </row>
    <row r="257">
      <c r="A257" s="2">
        <f>IFERROR(__xludf.DUMMYFUNCTION("""COMPUTED_VALUE"""),44118.0)</f>
        <v>44118</v>
      </c>
      <c r="B257" s="1" t="str">
        <f>IFERROR(__xludf.DUMMYFUNCTION("""COMPUTED_VALUE"""),"Indiana")</f>
        <v>Indiana</v>
      </c>
      <c r="C257" s="1" t="str">
        <f>IFERROR(__xludf.DUMMYFUNCTION("""COMPUTED_VALUE"""),"State Proclamations ")</f>
        <v>State Proclamations </v>
      </c>
      <c r="D257" s="1" t="str">
        <f>IFERROR(__xludf.DUMMYFUNCTION("""COMPUTED_VALUE"""),"Opening")</f>
        <v>Opening</v>
      </c>
      <c r="E257" s="1" t="str">
        <f>IFERROR(__xludf.DUMMYFUNCTION("""COMPUTED_VALUE"""),"The governor announced the state will remain in Stage 5 for an additional month.")</f>
        <v>The governor announced the state will remain in Stage 5 for an additional month.</v>
      </c>
      <c r="F257" s="1" t="str">
        <f>IFERROR(__xludf.DUMMYFUNCTION("""COMPUTED_VALUE"""),"National Academy for State Health Policy")</f>
        <v>National Academy for State Health Policy</v>
      </c>
      <c r="G257" s="3" t="str">
        <f>IFERROR(__xludf.DUMMYFUNCTION("""COMPUTED_VALUE"""),"https://www.nashp.org/2020-state-reopening-chart/")</f>
        <v>https://www.nashp.org/2020-state-reopening-chart/</v>
      </c>
      <c r="H257" s="1"/>
      <c r="I257" s="1"/>
    </row>
    <row r="258">
      <c r="A258" s="2">
        <f>IFERROR(__xludf.DUMMYFUNCTION("""COMPUTED_VALUE"""),44146.0)</f>
        <v>44146</v>
      </c>
      <c r="B258" s="1" t="str">
        <f>IFERROR(__xludf.DUMMYFUNCTION("""COMPUTED_VALUE"""),"Indiana")</f>
        <v>Indiana</v>
      </c>
      <c r="C258" s="1" t="str">
        <f>IFERROR(__xludf.DUMMYFUNCTION("""COMPUTED_VALUE"""),"State Proclamations ")</f>
        <v>State Proclamations </v>
      </c>
      <c r="D258" s="1" t="str">
        <f>IFERROR(__xludf.DUMMYFUNCTION("""COMPUTED_VALUE"""),"Closing")</f>
        <v>Closing</v>
      </c>
      <c r="E258" s="1" t="str">
        <f>IFERROR(__xludf.DUMMYFUNCTION("""COMPUTED_VALUE"""),"The governor announced that the state is no longer in Stage 5 and placed limits on social gatherings and school events for most of the state. There are no plans to reduce business or restaurant capacity.")</f>
        <v>The governor announced that the state is no longer in Stage 5 and placed limits on social gatherings and school events for most of the state. There are no plans to reduce business or restaurant capacity.</v>
      </c>
      <c r="F258" s="1" t="str">
        <f>IFERROR(__xludf.DUMMYFUNCTION("""COMPUTED_VALUE"""),"National Academy for State Health Policy")</f>
        <v>National Academy for State Health Policy</v>
      </c>
      <c r="G258" s="3" t="str">
        <f>IFERROR(__xludf.DUMMYFUNCTION("""COMPUTED_VALUE"""),"https://www.nashp.org/2020-state-reopening-chart/")</f>
        <v>https://www.nashp.org/2020-state-reopening-chart/</v>
      </c>
      <c r="H258" s="1"/>
      <c r="I258" s="1"/>
    </row>
    <row r="259">
      <c r="A259" s="2">
        <f>IFERROR(__xludf.DUMMYFUNCTION("""COMPUTED_VALUE"""),44167.0)</f>
        <v>44167</v>
      </c>
      <c r="B259" s="1" t="str">
        <f>IFERROR(__xludf.DUMMYFUNCTION("""COMPUTED_VALUE"""),"Indiana")</f>
        <v>Indiana</v>
      </c>
      <c r="C259" s="1" t="str">
        <f>IFERROR(__xludf.DUMMYFUNCTION("""COMPUTED_VALUE"""),"State Proclamations ")</f>
        <v>State Proclamations </v>
      </c>
      <c r="D259" s="1" t="str">
        <f>IFERROR(__xludf.DUMMYFUNCTION("""COMPUTED_VALUE"""),"Closing")</f>
        <v>Closing</v>
      </c>
      <c r="E259" s="1" t="str">
        <f>IFERROR(__xludf.DUMMYFUNCTION("""COMPUTED_VALUE"""),"The governor extended the public health emergency through the end of the year.")</f>
        <v>The governor extended the public health emergency through the end of the year.</v>
      </c>
      <c r="F259" s="1" t="str">
        <f>IFERROR(__xludf.DUMMYFUNCTION("""COMPUTED_VALUE"""),"National Academy for State Health Policy")</f>
        <v>National Academy for State Health Policy</v>
      </c>
      <c r="G259" s="3" t="str">
        <f>IFERROR(__xludf.DUMMYFUNCTION("""COMPUTED_VALUE"""),"https://www.nashp.org/2020-state-reopening-chart/")</f>
        <v>https://www.nashp.org/2020-state-reopening-chart/</v>
      </c>
      <c r="H259" s="1"/>
      <c r="I259" s="1"/>
    </row>
    <row r="260">
      <c r="A260" s="2">
        <f>IFERROR(__xludf.DUMMYFUNCTION("""COMPUTED_VALUE"""),44174.0)</f>
        <v>44174</v>
      </c>
      <c r="B260" s="1" t="str">
        <f>IFERROR(__xludf.DUMMYFUNCTION("""COMPUTED_VALUE"""),"Indiana")</f>
        <v>Indiana</v>
      </c>
      <c r="C260" s="1" t="str">
        <f>IFERROR(__xludf.DUMMYFUNCTION("""COMPUTED_VALUE"""),"State Proclamations ")</f>
        <v>State Proclamations </v>
      </c>
      <c r="D260" s="1" t="str">
        <f>IFERROR(__xludf.DUMMYFUNCTION("""COMPUTED_VALUE"""),"Closing")</f>
        <v>Closing</v>
      </c>
      <c r="E260" s="1" t="str">
        <f>IFERROR(__xludf.DUMMYFUNCTION("""COMPUTED_VALUE"""),"The governor announced hospitals must postpone nonessential medical services for three weeks.")</f>
        <v>The governor announced hospitals must postpone nonessential medical services for three weeks.</v>
      </c>
      <c r="F260" s="1" t="str">
        <f>IFERROR(__xludf.DUMMYFUNCTION("""COMPUTED_VALUE"""),"National Academy for State Health Policy")</f>
        <v>National Academy for State Health Policy</v>
      </c>
      <c r="G260" s="3" t="str">
        <f>IFERROR(__xludf.DUMMYFUNCTION("""COMPUTED_VALUE"""),"https://www.nashp.org/2020-state-reopening-chart/")</f>
        <v>https://www.nashp.org/2020-state-reopening-chart/</v>
      </c>
      <c r="H260" s="1"/>
      <c r="I260" s="1"/>
    </row>
    <row r="261">
      <c r="A261" s="2">
        <f>IFERROR(__xludf.DUMMYFUNCTION("""COMPUTED_VALUE"""),44178.0)</f>
        <v>44178</v>
      </c>
      <c r="B261" s="1" t="str">
        <f>IFERROR(__xludf.DUMMYFUNCTION("""COMPUTED_VALUE"""),"Indiana")</f>
        <v>Indiana</v>
      </c>
      <c r="C261" s="1" t="str">
        <f>IFERROR(__xludf.DUMMYFUNCTION("""COMPUTED_VALUE"""),"State Proclamations ")</f>
        <v>State Proclamations </v>
      </c>
      <c r="D261" s="1" t="str">
        <f>IFERROR(__xludf.DUMMYFUNCTION("""COMPUTED_VALUE"""),"Closing")</f>
        <v>Closing</v>
      </c>
      <c r="E261" s="1" t="str">
        <f>IFERROR(__xludf.DUMMYFUNCTION("""COMPUTED_VALUE"""),"Local health departments are prohibited from granting permission for larger events.")</f>
        <v>Local health departments are prohibited from granting permission for larger events.</v>
      </c>
      <c r="F261" s="1" t="str">
        <f>IFERROR(__xludf.DUMMYFUNCTION("""COMPUTED_VALUE"""),"National Academy for State Health Policy")</f>
        <v>National Academy for State Health Policy</v>
      </c>
      <c r="G261" s="3" t="str">
        <f>IFERROR(__xludf.DUMMYFUNCTION("""COMPUTED_VALUE"""),"https://www.nashp.org/2020-state-reopening-chart/")</f>
        <v>https://www.nashp.org/2020-state-reopening-chart/</v>
      </c>
      <c r="H261" s="1"/>
      <c r="I261" s="1"/>
    </row>
    <row r="262">
      <c r="A262" s="2">
        <f>IFERROR(__xludf.DUMMYFUNCTION("""COMPUTED_VALUE"""),44218.0)</f>
        <v>44218</v>
      </c>
      <c r="B262" s="1" t="str">
        <f>IFERROR(__xludf.DUMMYFUNCTION("""COMPUTED_VALUE"""),"Indiana")</f>
        <v>Indiana</v>
      </c>
      <c r="C262" s="1" t="str">
        <f>IFERROR(__xludf.DUMMYFUNCTION("""COMPUTED_VALUE"""),"State Proclamations ")</f>
        <v>State Proclamations </v>
      </c>
      <c r="D262" s="1" t="str">
        <f>IFERROR(__xludf.DUMMYFUNCTION("""COMPUTED_VALUE"""),"Closing")</f>
        <v>Closing</v>
      </c>
      <c r="E262" s="1" t="str">
        <f>IFERROR(__xludf.DUMMYFUNCTION("""COMPUTED_VALUE"""),"Gov. Eric Holcomb extended current restrictions through Jan. 31. Restrictions include mask requirements and capacity limits at recreational, collegiate, and professional sporting events.")</f>
        <v>Gov. Eric Holcomb extended current restrictions through Jan. 31. Restrictions include mask requirements and capacity limits at recreational, collegiate, and professional sporting events.</v>
      </c>
      <c r="F262" s="1" t="str">
        <f>IFERROR(__xludf.DUMMYFUNCTION("""COMPUTED_VALUE"""),"National Academy for State Health Policy")</f>
        <v>National Academy for State Health Policy</v>
      </c>
      <c r="G262" s="3" t="str">
        <f>IFERROR(__xludf.DUMMYFUNCTION("""COMPUTED_VALUE"""),"https://www.nashp.org/2021-covid-19-state-restrictions-re-openings-and-mask-requirements/")</f>
        <v>https://www.nashp.org/2021-covid-19-state-restrictions-re-openings-and-mask-requirements/</v>
      </c>
      <c r="H262" s="1"/>
      <c r="I262" s="1"/>
    </row>
    <row r="263">
      <c r="A263" s="2">
        <f>IFERROR(__xludf.DUMMYFUNCTION("""COMPUTED_VALUE"""),44228.0)</f>
        <v>44228</v>
      </c>
      <c r="B263" s="1" t="str">
        <f>IFERROR(__xludf.DUMMYFUNCTION("""COMPUTED_VALUE"""),"Indiana")</f>
        <v>Indiana</v>
      </c>
      <c r="C263" s="1" t="str">
        <f>IFERROR(__xludf.DUMMYFUNCTION("""COMPUTED_VALUE"""),"State Proclamations ")</f>
        <v>State Proclamations </v>
      </c>
      <c r="D263" s="1" t="str">
        <f>IFERROR(__xludf.DUMMYFUNCTION("""COMPUTED_VALUE"""),"Opening")</f>
        <v>Opening</v>
      </c>
      <c r="E263" s="1" t="str">
        <f>IFERROR(__xludf.DUMMYFUNCTION("""COMPUTED_VALUE"""),"Gathering limits in counties designated red and orange are limited to 25% of each building’s capacity, while the limit in yellow counties is 50%. Buildings in blue counties do not have a gathering limit. The order will be in effect until Feb. 28.")</f>
        <v>Gathering limits in counties designated red and orange are limited to 25% of each building’s capacity, while the limit in yellow counties is 50%. Buildings in blue counties do not have a gathering limit. The order will be in effect until Feb. 28.</v>
      </c>
      <c r="F263" s="1" t="str">
        <f>IFERROR(__xludf.DUMMYFUNCTION("""COMPUTED_VALUE"""),"National Academy for State Health Policy")</f>
        <v>National Academy for State Health Policy</v>
      </c>
      <c r="G263" s="3" t="str">
        <f>IFERROR(__xludf.DUMMYFUNCTION("""COMPUTED_VALUE"""),"https://www.nashp.org/2021-covid-19-state-restrictions-re-openings-and-mask-requirements/")</f>
        <v>https://www.nashp.org/2021-covid-19-state-restrictions-re-openings-and-mask-requirements/</v>
      </c>
      <c r="H263" s="1"/>
      <c r="I263" s="1"/>
    </row>
    <row r="264">
      <c r="A264" s="2">
        <f>IFERROR(__xludf.DUMMYFUNCTION("""COMPUTED_VALUE"""),44235.0)</f>
        <v>44235</v>
      </c>
      <c r="B264" s="1" t="str">
        <f>IFERROR(__xludf.DUMMYFUNCTION("""COMPUTED_VALUE"""),"Indiana")</f>
        <v>Indiana</v>
      </c>
      <c r="C264" s="1" t="str">
        <f>IFERROR(__xludf.DUMMYFUNCTION("""COMPUTED_VALUE"""),"State Proclamations ")</f>
        <v>State Proclamations </v>
      </c>
      <c r="D264" s="1" t="str">
        <f>IFERROR(__xludf.DUMMYFUNCTION("""COMPUTED_VALUE"""),"Opening")</f>
        <v>Opening</v>
      </c>
      <c r="E264" s="1" t="str">
        <f>IFERROR(__xludf.DUMMYFUNCTION("""COMPUTED_VALUE"""),"New quarantine rules for schools take effect. The new rules allow teachers and students exposed to someone with the virus to forgo a 14-day quarantine if they were at least three feet apart and wore a face covering.")</f>
        <v>New quarantine rules for schools take effect. The new rules allow teachers and students exposed to someone with the virus to forgo a 14-day quarantine if they were at least three feet apart and wore a face covering.</v>
      </c>
      <c r="F264" s="1" t="str">
        <f>IFERROR(__xludf.DUMMYFUNCTION("""COMPUTED_VALUE"""),"National Academy for State Health Policy")</f>
        <v>National Academy for State Health Policy</v>
      </c>
      <c r="G264" s="3" t="str">
        <f>IFERROR(__xludf.DUMMYFUNCTION("""COMPUTED_VALUE"""),"https://www.nashp.org/2021-covid-19-state-restrictions-re-openings-and-mask-requirements/")</f>
        <v>https://www.nashp.org/2021-covid-19-state-restrictions-re-openings-and-mask-requirements/</v>
      </c>
      <c r="H264" s="1"/>
      <c r="I264" s="1"/>
    </row>
    <row r="265">
      <c r="A265" s="2">
        <f>IFERROR(__xludf.DUMMYFUNCTION("""COMPUTED_VALUE"""),44236.0)</f>
        <v>44236</v>
      </c>
      <c r="B265" s="1" t="str">
        <f>IFERROR(__xludf.DUMMYFUNCTION("""COMPUTED_VALUE"""),"Indiana")</f>
        <v>Indiana</v>
      </c>
      <c r="C265" s="1" t="str">
        <f>IFERROR(__xludf.DUMMYFUNCTION("""COMPUTED_VALUE"""),"State Proclamations ")</f>
        <v>State Proclamations </v>
      </c>
      <c r="D265" s="1" t="str">
        <f>IFERROR(__xludf.DUMMYFUNCTION("""COMPUTED_VALUE"""),"Opening")</f>
        <v>Opening</v>
      </c>
      <c r="E265" s="1" t="str">
        <f>IFERROR(__xludf.DUMMYFUNCTION("""COMPUTED_VALUE"""),"The state House passed a bill to prohibit the governor from placing restrictions on houses of worship during states of emergency. The bill would also prohibit local health authorities from imposing regulations that exceed those established by the state un"&amp;"less approved by local elected officials.")</f>
        <v>The state House passed a bill to prohibit the governor from placing restrictions on houses of worship during states of emergency. The bill would also prohibit local health authorities from imposing regulations that exceed those established by the state unless approved by local elected officials.</v>
      </c>
      <c r="F265" s="1" t="str">
        <f>IFERROR(__xludf.DUMMYFUNCTION("""COMPUTED_VALUE"""),"National Academy for State Health Policy")</f>
        <v>National Academy for State Health Policy</v>
      </c>
      <c r="G265" s="3" t="str">
        <f>IFERROR(__xludf.DUMMYFUNCTION("""COMPUTED_VALUE"""),"https://www.nashp.org/2021-covid-19-state-restrictions-re-openings-and-mask-requirements/")</f>
        <v>https://www.nashp.org/2021-covid-19-state-restrictions-re-openings-and-mask-requirements/</v>
      </c>
      <c r="H265" s="1"/>
      <c r="I265" s="1"/>
    </row>
    <row r="266">
      <c r="A266" s="2">
        <f>IFERROR(__xludf.DUMMYFUNCTION("""COMPUTED_VALUE"""),44250.0)</f>
        <v>44250</v>
      </c>
      <c r="B266" s="1" t="str">
        <f>IFERROR(__xludf.DUMMYFUNCTION("""COMPUTED_VALUE"""),"Indiana")</f>
        <v>Indiana</v>
      </c>
      <c r="C266" s="1" t="str">
        <f>IFERROR(__xludf.DUMMYFUNCTION("""COMPUTED_VALUE"""),"State Proclamations ")</f>
        <v>State Proclamations </v>
      </c>
      <c r="D266" s="1" t="str">
        <f>IFERROR(__xludf.DUMMYFUNCTION("""COMPUTED_VALUE"""),"Opening")</f>
        <v>Opening</v>
      </c>
      <c r="E266" s="1" t="str">
        <f>IFERROR(__xludf.DUMMYFUNCTION("""COMPUTED_VALUE"""),"The state Senate passed a bill that would limit the governor’s state of emergency declarations to 60 days. Under the law, the General Assembly would have sole authority to extend emergency declarations.")</f>
        <v>The state Senate passed a bill that would limit the governor’s state of emergency declarations to 60 days. Under the law, the General Assembly would have sole authority to extend emergency declarations.</v>
      </c>
      <c r="F266" s="1" t="str">
        <f>IFERROR(__xludf.DUMMYFUNCTION("""COMPUTED_VALUE"""),"National Academy for State Health Policy")</f>
        <v>National Academy for State Health Policy</v>
      </c>
      <c r="G266" s="3" t="str">
        <f>IFERROR(__xludf.DUMMYFUNCTION("""COMPUTED_VALUE"""),"https://www.nashp.org/2021-covid-19-state-restrictions-re-openings-and-mask-requirements/")</f>
        <v>https://www.nashp.org/2021-covid-19-state-restrictions-re-openings-and-mask-requirements/</v>
      </c>
      <c r="H266" s="1"/>
      <c r="I266" s="1"/>
    </row>
    <row r="267">
      <c r="A267" s="2">
        <f>IFERROR(__xludf.DUMMYFUNCTION("""COMPUTED_VALUE"""),44292.0)</f>
        <v>44292</v>
      </c>
      <c r="B267" s="1" t="str">
        <f>IFERROR(__xludf.DUMMYFUNCTION("""COMPUTED_VALUE"""),"Indiana")</f>
        <v>Indiana</v>
      </c>
      <c r="C267" s="1" t="str">
        <f>IFERROR(__xludf.DUMMYFUNCTION("""COMPUTED_VALUE"""),"Mask Mandate")</f>
        <v>Mask Mandate</v>
      </c>
      <c r="D267" s="1" t="str">
        <f>IFERROR(__xludf.DUMMYFUNCTION("""COMPUTED_VALUE"""),"End")</f>
        <v>End</v>
      </c>
      <c r="E267" s="1" t="str">
        <f>IFERROR(__xludf.DUMMYFUNCTION("""COMPUTED_VALUE"""),"On April 6, the mask mandate ended, though masks are still required in schools")</f>
        <v>On April 6, the mask mandate ended, though masks are still required in schools</v>
      </c>
      <c r="F267" s="1" t="str">
        <f>IFERROR(__xludf.DUMMYFUNCTION("""COMPUTED_VALUE"""),"National Academy for State Health Policy")</f>
        <v>National Academy for State Health Policy</v>
      </c>
      <c r="G267" s="3" t="str">
        <f>IFERROR(__xludf.DUMMYFUNCTION("""COMPUTED_VALUE"""),"https://www.nashp.org/2021-covid-19-state-restrictions-re-openings-and-mask-requirements/")</f>
        <v>https://www.nashp.org/2021-covid-19-state-restrictions-re-openings-and-mask-requirements/</v>
      </c>
      <c r="H267" s="1"/>
      <c r="I267" s="1"/>
    </row>
    <row r="268">
      <c r="A268" s="2">
        <f>IFERROR(__xludf.DUMMYFUNCTION("""COMPUTED_VALUE"""),44292.0)</f>
        <v>44292</v>
      </c>
      <c r="B268" s="1" t="str">
        <f>IFERROR(__xludf.DUMMYFUNCTION("""COMPUTED_VALUE"""),"Indiana")</f>
        <v>Indiana</v>
      </c>
      <c r="C268" s="1" t="str">
        <f>IFERROR(__xludf.DUMMYFUNCTION("""COMPUTED_VALUE"""),"State Proclamations ")</f>
        <v>State Proclamations </v>
      </c>
      <c r="D268" s="1" t="str">
        <f>IFERROR(__xludf.DUMMYFUNCTION("""COMPUTED_VALUE"""),"Opening")</f>
        <v>Opening</v>
      </c>
      <c r="E268" s="1" t="str">
        <f>IFERROR(__xludf.DUMMYFUNCTION("""COMPUTED_VALUE"""),"The governor will lift restrictions on businesses. Local officials can still enact stricter restrictions.")</f>
        <v>The governor will lift restrictions on businesses. Local officials can still enact stricter restrictions.</v>
      </c>
      <c r="F268" s="1" t="str">
        <f>IFERROR(__xludf.DUMMYFUNCTION("""COMPUTED_VALUE"""),"National Academy for State Health Policy")</f>
        <v>National Academy for State Health Policy</v>
      </c>
      <c r="G268" s="3" t="str">
        <f>IFERROR(__xludf.DUMMYFUNCTION("""COMPUTED_VALUE"""),"https://www.nashp.org/2021-covid-19-state-restrictions-re-openings-and-mask-requirements/")</f>
        <v>https://www.nashp.org/2021-covid-19-state-restrictions-re-openings-and-mask-requirements/</v>
      </c>
      <c r="H268" s="1"/>
      <c r="I268" s="1"/>
    </row>
    <row r="269">
      <c r="A269" s="2">
        <f>IFERROR(__xludf.DUMMYFUNCTION("""COMPUTED_VALUE"""),44383.0)</f>
        <v>44383</v>
      </c>
      <c r="B269" s="1" t="str">
        <f>IFERROR(__xludf.DUMMYFUNCTION("""COMPUTED_VALUE"""),"Indiana")</f>
        <v>Indiana</v>
      </c>
      <c r="C269" s="1" t="str">
        <f>IFERROR(__xludf.DUMMYFUNCTION("""COMPUTED_VALUE"""),"State Proclamations ")</f>
        <v>State Proclamations </v>
      </c>
      <c r="D269" s="1" t="str">
        <f>IFERROR(__xludf.DUMMYFUNCTION("""COMPUTED_VALUE"""),"Opening")</f>
        <v>Opening</v>
      </c>
      <c r="E269" s="1" t="str">
        <f>IFERROR(__xludf.DUMMYFUNCTION("""COMPUTED_VALUE"""),"State employees are required to return to the office")</f>
        <v>State employees are required to return to the office</v>
      </c>
      <c r="F269" s="1" t="str">
        <f>IFERROR(__xludf.DUMMYFUNCTION("""COMPUTED_VALUE"""),"National Academy for State Health Policy")</f>
        <v>National Academy for State Health Policy</v>
      </c>
      <c r="G269" s="3" t="str">
        <f>IFERROR(__xludf.DUMMYFUNCTION("""COMPUTED_VALUE"""),"https://www.nashp.org/2021-covid-19-state-restrictions-re-openings-and-mask-requirements/")</f>
        <v>https://www.nashp.org/2021-covid-19-state-restrictions-re-openings-and-mask-requirements/</v>
      </c>
      <c r="H269" s="1"/>
      <c r="I269" s="1"/>
    </row>
    <row r="270">
      <c r="A270" s="2">
        <f>IFERROR(__xludf.DUMMYFUNCTION("""COMPUTED_VALUE"""),43899.0)</f>
        <v>43899</v>
      </c>
      <c r="B270" s="1" t="str">
        <f>IFERROR(__xludf.DUMMYFUNCTION("""COMPUTED_VALUE"""),"Iowa")</f>
        <v>Iowa</v>
      </c>
      <c r="C270" s="1" t="str">
        <f>IFERROR(__xludf.DUMMYFUNCTION("""COMPUTED_VALUE"""),"State of Emergency")</f>
        <v>State of Emergency</v>
      </c>
      <c r="D270" s="1" t="str">
        <f>IFERROR(__xludf.DUMMYFUNCTION("""COMPUTED_VALUE"""),"Start")</f>
        <v>Start</v>
      </c>
      <c r="E270" s="1" t="str">
        <f>IFERROR(__xludf.DUMMYFUNCTION("""COMPUTED_VALUE"""),"As of March 9, Gov. Kim Reynolds signed a Proclamation of Disaster Emergency, local news agencies reported.")</f>
        <v>As of March 9, Gov. Kim Reynolds signed a Proclamation of Disaster Emergency, local news agencies reported.</v>
      </c>
      <c r="F270" s="1" t="str">
        <f>IFERROR(__xludf.DUMMYFUNCTION("""COMPUTED_VALUE"""),"Business Insider")</f>
        <v>Business Insider</v>
      </c>
      <c r="G270" s="3" t="str">
        <f>IFERROR(__xludf.DUMMYFUNCTION("""COMPUTED_VALUE"""),"https://www.businessinsider.com/california-washington-state-of-emergency-coronavirus-what-it-means-2020-3#iowa-12")</f>
        <v>https://www.businessinsider.com/california-washington-state-of-emergency-coronavirus-what-it-means-2020-3#iowa-12</v>
      </c>
      <c r="H270" s="1"/>
      <c r="I270" s="1"/>
    </row>
    <row r="271">
      <c r="A271" s="2">
        <f>IFERROR(__xludf.DUMMYFUNCTION("""COMPUTED_VALUE"""),43945.0)</f>
        <v>43945</v>
      </c>
      <c r="B271" s="1" t="str">
        <f>IFERROR(__xludf.DUMMYFUNCTION("""COMPUTED_VALUE"""),"Iowa")</f>
        <v>Iowa</v>
      </c>
      <c r="C271" s="1" t="str">
        <f>IFERROR(__xludf.DUMMYFUNCTION("""COMPUTED_VALUE"""),"State Proclamations ")</f>
        <v>State Proclamations </v>
      </c>
      <c r="D271" s="1" t="str">
        <f>IFERROR(__xludf.DUMMYFUNCTION("""COMPUTED_VALUE"""),"Opening")</f>
        <v>Opening</v>
      </c>
      <c r="E271" s="1" t="str">
        <f>IFERROR(__xludf.DUMMYFUNCTION("""COMPUTED_VALUE"""),"Iowa never issued a stay-at-home order but instead closed certain businesses. Retail stores, malls, restaurant dining, bars, houses of worship, personal care services, libraries, movie theaters, museums, casinos, bowling alleys, gyms, and pools have reope"&amp;"ned. Nonessential medical procedures resumed April 24.")</f>
        <v>Iowa never issued a stay-at-home order but instead closed certain businesses. Retail stores, malls, restaurant dining, bars, houses of worship, personal care services, libraries, movie theaters, museums, casinos, bowling alleys, gyms, and pools have reopened. Nonessential medical procedures resumed April 24.</v>
      </c>
      <c r="F271" s="1" t="str">
        <f>IFERROR(__xludf.DUMMYFUNCTION("""COMPUTED_VALUE"""),"National Academy for State Health Policy")</f>
        <v>National Academy for State Health Policy</v>
      </c>
      <c r="G271" s="3" t="str">
        <f>IFERROR(__xludf.DUMMYFUNCTION("""COMPUTED_VALUE"""),"https://www.nashp.org/2020-state-reopening-chart/")</f>
        <v>https://www.nashp.org/2020-state-reopening-chart/</v>
      </c>
      <c r="H271" s="1"/>
      <c r="I271" s="1"/>
    </row>
    <row r="272">
      <c r="A272" s="2">
        <f>IFERROR(__xludf.DUMMYFUNCTION("""COMPUTED_VALUE"""),43992.0)</f>
        <v>43992</v>
      </c>
      <c r="B272" s="1" t="str">
        <f>IFERROR(__xludf.DUMMYFUNCTION("""COMPUTED_VALUE"""),"Iowa")</f>
        <v>Iowa</v>
      </c>
      <c r="C272" s="1" t="str">
        <f>IFERROR(__xludf.DUMMYFUNCTION("""COMPUTED_VALUE"""),"State Proclamations ")</f>
        <v>State Proclamations </v>
      </c>
      <c r="D272" s="1" t="str">
        <f>IFERROR(__xludf.DUMMYFUNCTION("""COMPUTED_VALUE"""),"Opening")</f>
        <v>Opening</v>
      </c>
      <c r="E272" s="1" t="str">
        <f>IFERROR(__xludf.DUMMYFUNCTION("""COMPUTED_VALUE"""),"The governor lifted capacity limits on businesses.")</f>
        <v>The governor lifted capacity limits on businesses.</v>
      </c>
      <c r="F272" s="1" t="str">
        <f>IFERROR(__xludf.DUMMYFUNCTION("""COMPUTED_VALUE"""),"National Academy for State Health Policy")</f>
        <v>National Academy for State Health Policy</v>
      </c>
      <c r="G272" s="3" t="str">
        <f>IFERROR(__xludf.DUMMYFUNCTION("""COMPUTED_VALUE"""),"https://www.nashp.org/2020-state-reopening-chart/")</f>
        <v>https://www.nashp.org/2020-state-reopening-chart/</v>
      </c>
      <c r="H272" s="1"/>
      <c r="I272" s="1"/>
    </row>
    <row r="273">
      <c r="A273" s="2">
        <f>IFERROR(__xludf.DUMMYFUNCTION("""COMPUTED_VALUE"""),44029.0)</f>
        <v>44029</v>
      </c>
      <c r="B273" s="1" t="str">
        <f>IFERROR(__xludf.DUMMYFUNCTION("""COMPUTED_VALUE"""),"Iowa")</f>
        <v>Iowa</v>
      </c>
      <c r="C273" s="1" t="str">
        <f>IFERROR(__xludf.DUMMYFUNCTION("""COMPUTED_VALUE"""),"State Proclamations ")</f>
        <v>State Proclamations </v>
      </c>
      <c r="D273" s="1" t="str">
        <f>IFERROR(__xludf.DUMMYFUNCTION("""COMPUTED_VALUE"""),"Opening")</f>
        <v>Opening</v>
      </c>
      <c r="E273" s="1" t="str">
        <f>IFERROR(__xludf.DUMMYFUNCTION("""COMPUTED_VALUE"""),"The governor said the state’s schools must resume in-person instruction in the new academic year.")</f>
        <v>The governor said the state’s schools must resume in-person instruction in the new academic year.</v>
      </c>
      <c r="F273" s="1" t="str">
        <f>IFERROR(__xludf.DUMMYFUNCTION("""COMPUTED_VALUE"""),"National Academy for State Health Policy")</f>
        <v>National Academy for State Health Policy</v>
      </c>
      <c r="G273" s="3" t="str">
        <f>IFERROR(__xludf.DUMMYFUNCTION("""COMPUTED_VALUE"""),"https://www.nashp.org/2020-state-reopening-chart/")</f>
        <v>https://www.nashp.org/2020-state-reopening-chart/</v>
      </c>
      <c r="H273" s="1"/>
      <c r="I273" s="1"/>
    </row>
    <row r="274">
      <c r="A274" s="2">
        <f>IFERROR(__xludf.DUMMYFUNCTION("""COMPUTED_VALUE"""),44070.0)</f>
        <v>44070</v>
      </c>
      <c r="B274" s="1" t="str">
        <f>IFERROR(__xludf.DUMMYFUNCTION("""COMPUTED_VALUE"""),"Iowa")</f>
        <v>Iowa</v>
      </c>
      <c r="C274" s="1" t="str">
        <f>IFERROR(__xludf.DUMMYFUNCTION("""COMPUTED_VALUE"""),"State Proclamations ")</f>
        <v>State Proclamations </v>
      </c>
      <c r="D274" s="1" t="str">
        <f>IFERROR(__xludf.DUMMYFUNCTION("""COMPUTED_VALUE"""),"Closing")</f>
        <v>Closing</v>
      </c>
      <c r="E274" s="1" t="str">
        <f>IFERROR(__xludf.DUMMYFUNCTION("""COMPUTED_VALUE"""),"The governor ordered all bars, breweries, and nightclubs to shut down in the six most populous counties. She also prohibited restaruants from selling alcohol after 10 p.m. The order is in effect until Sept. 20.")</f>
        <v>The governor ordered all bars, breweries, and nightclubs to shut down in the six most populous counties. She also prohibited restaruants from selling alcohol after 10 p.m. The order is in effect until Sept. 20.</v>
      </c>
      <c r="F274" s="1" t="str">
        <f>IFERROR(__xludf.DUMMYFUNCTION("""COMPUTED_VALUE"""),"National Academy for State Health Policy")</f>
        <v>National Academy for State Health Policy</v>
      </c>
      <c r="G274" s="3" t="str">
        <f>IFERROR(__xludf.DUMMYFUNCTION("""COMPUTED_VALUE"""),"https://www.nashp.org/2020-state-reopening-chart/")</f>
        <v>https://www.nashp.org/2020-state-reopening-chart/</v>
      </c>
      <c r="H274" s="1"/>
      <c r="I274" s="1"/>
    </row>
    <row r="275">
      <c r="A275" s="2">
        <f>IFERROR(__xludf.DUMMYFUNCTION("""COMPUTED_VALUE"""),44090.0)</f>
        <v>44090</v>
      </c>
      <c r="B275" s="1" t="str">
        <f>IFERROR(__xludf.DUMMYFUNCTION("""COMPUTED_VALUE"""),"Iowa")</f>
        <v>Iowa</v>
      </c>
      <c r="C275" s="1" t="str">
        <f>IFERROR(__xludf.DUMMYFUNCTION("""COMPUTED_VALUE"""),"State Proclamations ")</f>
        <v>State Proclamations </v>
      </c>
      <c r="D275" s="1" t="str">
        <f>IFERROR(__xludf.DUMMYFUNCTION("""COMPUTED_VALUE"""),"Opening")</f>
        <v>Opening</v>
      </c>
      <c r="E275" s="1" t="str">
        <f>IFERROR(__xludf.DUMMYFUNCTION("""COMPUTED_VALUE"""),"The governor allowed bars, wineries, night clubs, and other places that sell alcohol to reopen in four counties. Bars in Story and Johnson counties remained closed.")</f>
        <v>The governor allowed bars, wineries, night clubs, and other places that sell alcohol to reopen in four counties. Bars in Story and Johnson counties remained closed.</v>
      </c>
      <c r="F275" s="1" t="str">
        <f>IFERROR(__xludf.DUMMYFUNCTION("""COMPUTED_VALUE"""),"National Academy for State Health Policy")</f>
        <v>National Academy for State Health Policy</v>
      </c>
      <c r="G275" s="3" t="str">
        <f>IFERROR(__xludf.DUMMYFUNCTION("""COMPUTED_VALUE"""),"https://www.nashp.org/2020-state-reopening-chart/")</f>
        <v>https://www.nashp.org/2020-state-reopening-chart/</v>
      </c>
      <c r="H275" s="1"/>
      <c r="I275" s="1"/>
    </row>
    <row r="276">
      <c r="A276" s="2">
        <f>IFERROR(__xludf.DUMMYFUNCTION("""COMPUTED_VALUE"""),44106.0)</f>
        <v>44106</v>
      </c>
      <c r="B276" s="1" t="str">
        <f>IFERROR(__xludf.DUMMYFUNCTION("""COMPUTED_VALUE"""),"Iowa")</f>
        <v>Iowa</v>
      </c>
      <c r="C276" s="1" t="str">
        <f>IFERROR(__xludf.DUMMYFUNCTION("""COMPUTED_VALUE"""),"State Proclamations ")</f>
        <v>State Proclamations </v>
      </c>
      <c r="D276" s="1" t="str">
        <f>IFERROR(__xludf.DUMMYFUNCTION("""COMPUTED_VALUE"""),"Opening")</f>
        <v>Opening</v>
      </c>
      <c r="E276" s="1" t="str">
        <f>IFERROR(__xludf.DUMMYFUNCTION("""COMPUTED_VALUE"""),"The governor eased restrictions on breweries, wineries, and distilleries in Story and Johnson counties.")</f>
        <v>The governor eased restrictions on breweries, wineries, and distilleries in Story and Johnson counties.</v>
      </c>
      <c r="F276" s="1" t="str">
        <f>IFERROR(__xludf.DUMMYFUNCTION("""COMPUTED_VALUE"""),"National Academy for State Health Policy")</f>
        <v>National Academy for State Health Policy</v>
      </c>
      <c r="G276" s="3" t="str">
        <f>IFERROR(__xludf.DUMMYFUNCTION("""COMPUTED_VALUE"""),"https://www.nashp.org/2020-state-reopening-chart/")</f>
        <v>https://www.nashp.org/2020-state-reopening-chart/</v>
      </c>
      <c r="H276" s="1"/>
      <c r="I276" s="1"/>
    </row>
    <row r="277">
      <c r="A277" s="2">
        <f>IFERROR(__xludf.DUMMYFUNCTION("""COMPUTED_VALUE"""),44109.0)</f>
        <v>44109</v>
      </c>
      <c r="B277" s="1" t="str">
        <f>IFERROR(__xludf.DUMMYFUNCTION("""COMPUTED_VALUE"""),"Iowa")</f>
        <v>Iowa</v>
      </c>
      <c r="C277" s="1" t="str">
        <f>IFERROR(__xludf.DUMMYFUNCTION("""COMPUTED_VALUE"""),"State Proclamations ")</f>
        <v>State Proclamations </v>
      </c>
      <c r="D277" s="1" t="str">
        <f>IFERROR(__xludf.DUMMYFUNCTION("""COMPUTED_VALUE"""),"Opening")</f>
        <v>Opening</v>
      </c>
      <c r="E277" s="1" t="str">
        <f>IFERROR(__xludf.DUMMYFUNCTION("""COMPUTED_VALUE"""),"The governor eased restrictions on bars in Story and Johnson counties.")</f>
        <v>The governor eased restrictions on bars in Story and Johnson counties.</v>
      </c>
      <c r="F277" s="1" t="str">
        <f>IFERROR(__xludf.DUMMYFUNCTION("""COMPUTED_VALUE"""),"National Academy for State Health Policy")</f>
        <v>National Academy for State Health Policy</v>
      </c>
      <c r="G277" s="3" t="str">
        <f>IFERROR(__xludf.DUMMYFUNCTION("""COMPUTED_VALUE"""),"https://www.nashp.org/2020-state-reopening-chart/")</f>
        <v>https://www.nashp.org/2020-state-reopening-chart/</v>
      </c>
      <c r="H277" s="1"/>
      <c r="I277" s="1"/>
    </row>
    <row r="278">
      <c r="A278" s="2">
        <f>IFERROR(__xludf.DUMMYFUNCTION("""COMPUTED_VALUE"""),44120.0)</f>
        <v>44120</v>
      </c>
      <c r="B278" s="1" t="str">
        <f>IFERROR(__xludf.DUMMYFUNCTION("""COMPUTED_VALUE"""),"Iowa")</f>
        <v>Iowa</v>
      </c>
      <c r="C278" s="1" t="str">
        <f>IFERROR(__xludf.DUMMYFUNCTION("""COMPUTED_VALUE"""),"State Proclamations ")</f>
        <v>State Proclamations </v>
      </c>
      <c r="D278" s="1" t="str">
        <f>IFERROR(__xludf.DUMMYFUNCTION("""COMPUTED_VALUE"""),"Closing")</f>
        <v>Closing</v>
      </c>
      <c r="E278" s="1" t="str">
        <f>IFERROR(__xludf.DUMMYFUNCTION("""COMPUTED_VALUE"""),"The governor signed an order extending the statewide emergency through Nov. 15, 2020, which includes a new provision requiring bars and restaurants to keep customers seated and to maintain six feet of distance between groups.")</f>
        <v>The governor signed an order extending the statewide emergency through Nov. 15, 2020, which includes a new provision requiring bars and restaurants to keep customers seated and to maintain six feet of distance between groups.</v>
      </c>
      <c r="F278" s="1" t="str">
        <f>IFERROR(__xludf.DUMMYFUNCTION("""COMPUTED_VALUE"""),"National Academy for State Health Policy")</f>
        <v>National Academy for State Health Policy</v>
      </c>
      <c r="G278" s="3" t="str">
        <f>IFERROR(__xludf.DUMMYFUNCTION("""COMPUTED_VALUE"""),"https://www.nashp.org/2020-state-reopening-chart/")</f>
        <v>https://www.nashp.org/2020-state-reopening-chart/</v>
      </c>
      <c r="H278" s="1"/>
      <c r="I278" s="1"/>
    </row>
    <row r="279">
      <c r="A279" s="2">
        <f>IFERROR(__xludf.DUMMYFUNCTION("""COMPUTED_VALUE"""),44145.0)</f>
        <v>44145</v>
      </c>
      <c r="B279" s="1" t="str">
        <f>IFERROR(__xludf.DUMMYFUNCTION("""COMPUTED_VALUE"""),"Iowa")</f>
        <v>Iowa</v>
      </c>
      <c r="C279" s="1" t="str">
        <f>IFERROR(__xludf.DUMMYFUNCTION("""COMPUTED_VALUE"""),"State Proclamations ")</f>
        <v>State Proclamations </v>
      </c>
      <c r="D279" s="1" t="str">
        <f>IFERROR(__xludf.DUMMYFUNCTION("""COMPUTED_VALUE"""),"Closing")</f>
        <v>Closing</v>
      </c>
      <c r="E279" s="1" t="str">
        <f>IFERROR(__xludf.DUMMYFUNCTION("""COMPUTED_VALUE"""),"The governor announced extended the public health emergency for 30 days, prohibited indoor gatherings of more than 25 people unless everyone older than age two wears a mask, and announced that several types of businesses, including bars, restaurants, and "&amp;"arcades, must ensure six feet of distance between individuals or groups.")</f>
        <v>The governor announced extended the public health emergency for 30 days, prohibited indoor gatherings of more than 25 people unless everyone older than age two wears a mask, and announced that several types of businesses, including bars, restaurants, and arcades, must ensure six feet of distance between individuals or groups.</v>
      </c>
      <c r="F279" s="1" t="str">
        <f>IFERROR(__xludf.DUMMYFUNCTION("""COMPUTED_VALUE"""),"National Academy for State Health Policy")</f>
        <v>National Academy for State Health Policy</v>
      </c>
      <c r="G279" s="3" t="str">
        <f>IFERROR(__xludf.DUMMYFUNCTION("""COMPUTED_VALUE"""),"https://www.nashp.org/2020-state-reopening-chart/")</f>
        <v>https://www.nashp.org/2020-state-reopening-chart/</v>
      </c>
      <c r="H279" s="1"/>
      <c r="I279" s="1"/>
    </row>
    <row r="280">
      <c r="A280" s="2">
        <f>IFERROR(__xludf.DUMMYFUNCTION("""COMPUTED_VALUE"""),44152.0)</f>
        <v>44152</v>
      </c>
      <c r="B280" s="1" t="str">
        <f>IFERROR(__xludf.DUMMYFUNCTION("""COMPUTED_VALUE"""),"Iowa")</f>
        <v>Iowa</v>
      </c>
      <c r="C280" s="1" t="str">
        <f>IFERROR(__xludf.DUMMYFUNCTION("""COMPUTED_VALUE"""),"Mask Mandate")</f>
        <v>Mask Mandate</v>
      </c>
      <c r="D280" s="1" t="str">
        <f>IFERROR(__xludf.DUMMYFUNCTION("""COMPUTED_VALUE"""),"Start")</f>
        <v>Start</v>
      </c>
      <c r="E280" s="1" t="str">
        <f>IFERROR(__xludf.DUMMYFUNCTION("""COMPUTED_VALUE"""),"All Public Indoor Spaces (where social distancing isn't possible)")</f>
        <v>All Public Indoor Spaces (where social distancing isn't possible)</v>
      </c>
      <c r="F280" s="1" t="str">
        <f>IFERROR(__xludf.DUMMYFUNCTION("""COMPUTED_VALUE"""),"Masks4All")</f>
        <v>Masks4All</v>
      </c>
      <c r="G280" s="3" t="str">
        <f>IFERROR(__xludf.DUMMYFUNCTION("""COMPUTED_VALUE"""),"https://masks4all.co/what-states-require-masks/")</f>
        <v>https://masks4all.co/what-states-require-masks/</v>
      </c>
      <c r="H280" s="1"/>
      <c r="I280" s="1"/>
    </row>
    <row r="281">
      <c r="A281" s="2">
        <f>IFERROR(__xludf.DUMMYFUNCTION("""COMPUTED_VALUE"""),44152.0)</f>
        <v>44152</v>
      </c>
      <c r="B281" s="1" t="str">
        <f>IFERROR(__xludf.DUMMYFUNCTION("""COMPUTED_VALUE"""),"Iowa")</f>
        <v>Iowa</v>
      </c>
      <c r="C281" s="1" t="str">
        <f>IFERROR(__xludf.DUMMYFUNCTION("""COMPUTED_VALUE"""),"State Proclamations ")</f>
        <v>State Proclamations </v>
      </c>
      <c r="D281" s="1" t="str">
        <f>IFERROR(__xludf.DUMMYFUNCTION("""COMPUTED_VALUE"""),"Closing")</f>
        <v>Closing</v>
      </c>
      <c r="E281" s="1" t="str">
        <f>IFERROR(__xludf.DUMMYFUNCTION("""COMPUTED_VALUE"""),"The governor announced a 10 p.m. curfew for bars and restaurants.")</f>
        <v>The governor announced a 10 p.m. curfew for bars and restaurants.</v>
      </c>
      <c r="F281" s="1" t="str">
        <f>IFERROR(__xludf.DUMMYFUNCTION("""COMPUTED_VALUE"""),"National Academy for State Health Policy")</f>
        <v>National Academy for State Health Policy</v>
      </c>
      <c r="G281" s="3" t="str">
        <f>IFERROR(__xludf.DUMMYFUNCTION("""COMPUTED_VALUE"""),"https://www.nashp.org/2020-state-reopening-chart/")</f>
        <v>https://www.nashp.org/2020-state-reopening-chart/</v>
      </c>
      <c r="H281" s="1"/>
      <c r="I281" s="1"/>
    </row>
    <row r="282">
      <c r="A282" s="2">
        <f>IFERROR(__xludf.DUMMYFUNCTION("""COMPUTED_VALUE"""),44174.0)</f>
        <v>44174</v>
      </c>
      <c r="B282" s="1" t="str">
        <f>IFERROR(__xludf.DUMMYFUNCTION("""COMPUTED_VALUE"""),"Iowa")</f>
        <v>Iowa</v>
      </c>
      <c r="C282" s="1" t="str">
        <f>IFERROR(__xludf.DUMMYFUNCTION("""COMPUTED_VALUE"""),"State Proclamations ")</f>
        <v>State Proclamations </v>
      </c>
      <c r="D282" s="1" t="str">
        <f>IFERROR(__xludf.DUMMYFUNCTION("""COMPUTED_VALUE"""),"Closing")</f>
        <v>Closing</v>
      </c>
      <c r="E282" s="1" t="str">
        <f>IFERROR(__xludf.DUMMYFUNCTION("""COMPUTED_VALUE"""),"The governor extended statewide COVID restrictions through Dec. 16.")</f>
        <v>The governor extended statewide COVID restrictions through Dec. 16.</v>
      </c>
      <c r="F282" s="1" t="str">
        <f>IFERROR(__xludf.DUMMYFUNCTION("""COMPUTED_VALUE"""),"National Academy for State Health Policy")</f>
        <v>National Academy for State Health Policy</v>
      </c>
      <c r="G282" s="3" t="str">
        <f>IFERROR(__xludf.DUMMYFUNCTION("""COMPUTED_VALUE"""),"https://www.nashp.org/2020-state-reopening-chart/")</f>
        <v>https://www.nashp.org/2020-state-reopening-chart/</v>
      </c>
      <c r="H282" s="1"/>
      <c r="I282" s="1"/>
    </row>
    <row r="283">
      <c r="A283" s="2">
        <f>IFERROR(__xludf.DUMMYFUNCTION("""COMPUTED_VALUE"""),44204.0)</f>
        <v>44204</v>
      </c>
      <c r="B283" s="1" t="str">
        <f>IFERROR(__xludf.DUMMYFUNCTION("""COMPUTED_VALUE"""),"Iowa")</f>
        <v>Iowa</v>
      </c>
      <c r="C283" s="1" t="str">
        <f>IFERROR(__xludf.DUMMYFUNCTION("""COMPUTED_VALUE"""),"State Proclamations ")</f>
        <v>State Proclamations </v>
      </c>
      <c r="D283" s="1" t="str">
        <f>IFERROR(__xludf.DUMMYFUNCTION("""COMPUTED_VALUE"""),"Opening")</f>
        <v>Opening</v>
      </c>
      <c r="E283" s="1" t="str">
        <f>IFERROR(__xludf.DUMMYFUNCTION("""COMPUTED_VALUE"""),"Gov. Kim Reynolds issued an order lifting spectator limits on sporting and recreational events, including high school sports. Previously, no more than two spectators were allowed per athlete.")</f>
        <v>Gov. Kim Reynolds issued an order lifting spectator limits on sporting and recreational events, including high school sports. Previously, no more than two spectators were allowed per athlete.</v>
      </c>
      <c r="F283" s="1" t="str">
        <f>IFERROR(__xludf.DUMMYFUNCTION("""COMPUTED_VALUE"""),"National Academy for State Health Policy")</f>
        <v>National Academy for State Health Policy</v>
      </c>
      <c r="G283" s="3" t="str">
        <f>IFERROR(__xludf.DUMMYFUNCTION("""COMPUTED_VALUE"""),"https://www.nashp.org/2021-covid-19-state-restrictions-re-openings-and-mask-requirements/")</f>
        <v>https://www.nashp.org/2021-covid-19-state-restrictions-re-openings-and-mask-requirements/</v>
      </c>
      <c r="H283" s="1"/>
      <c r="I283" s="1"/>
    </row>
    <row r="284">
      <c r="A284" s="2">
        <f>IFERROR(__xludf.DUMMYFUNCTION("""COMPUTED_VALUE"""),44225.0)</f>
        <v>44225</v>
      </c>
      <c r="B284" s="1" t="str">
        <f>IFERROR(__xludf.DUMMYFUNCTION("""COMPUTED_VALUE"""),"Iowa")</f>
        <v>Iowa</v>
      </c>
      <c r="C284" s="1" t="str">
        <f>IFERROR(__xludf.DUMMYFUNCTION("""COMPUTED_VALUE"""),"State Proclamations ")</f>
        <v>State Proclamations </v>
      </c>
      <c r="D284" s="1" t="str">
        <f>IFERROR(__xludf.DUMMYFUNCTION("""COMPUTED_VALUE"""),"Opening")</f>
        <v>Opening</v>
      </c>
      <c r="E284" s="1" t="str">
        <f>IFERROR(__xludf.DUMMYFUNCTION("""COMPUTED_VALUE"""),"The governor signed a bill requiring school districts to provide students in-person instruction five days a week. Under the law, parents can still request a hybrid or all remote option for their children, and schools can request a waiver from the Departme"&amp;"nt of Education based on factors such as the number of teachers quarantining because of the virus. Schools have until Feb. 15 to offer full-time in-person instruction. Schools can request a waiver from the requirement to provide in-person instruction from"&amp;" the state Department of Education based on factors such as the number of teachers quarantining because of the virus.")</f>
        <v>The governor signed a bill requiring school districts to provide students in-person instruction five days a week. Under the law, parents can still request a hybrid or all remote option for their children, and schools can request a waiver from the Department of Education based on factors such as the number of teachers quarantining because of the virus. Schools have until Feb. 15 to offer full-time in-person instruction. Schools can request a waiver from the requirement to provide in-person instruction from the state Department of Education based on factors such as the number of teachers quarantining because of the virus.</v>
      </c>
      <c r="F284" s="1" t="str">
        <f>IFERROR(__xludf.DUMMYFUNCTION("""COMPUTED_VALUE"""),"National Academy for State Health Policy")</f>
        <v>National Academy for State Health Policy</v>
      </c>
      <c r="G284" s="3" t="str">
        <f>IFERROR(__xludf.DUMMYFUNCTION("""COMPUTED_VALUE"""),"https://www.nashp.org/2021-covid-19-state-restrictions-re-openings-and-mask-requirements/")</f>
        <v>https://www.nashp.org/2021-covid-19-state-restrictions-re-openings-and-mask-requirements/</v>
      </c>
      <c r="H284" s="1"/>
      <c r="I284" s="1"/>
    </row>
    <row r="285">
      <c r="A285" s="2">
        <f>IFERROR(__xludf.DUMMYFUNCTION("""COMPUTED_VALUE"""),44235.0)</f>
        <v>44235</v>
      </c>
      <c r="B285" s="1" t="str">
        <f>IFERROR(__xludf.DUMMYFUNCTION("""COMPUTED_VALUE"""),"Iowa")</f>
        <v>Iowa</v>
      </c>
      <c r="C285" s="1" t="str">
        <f>IFERROR(__xludf.DUMMYFUNCTION("""COMPUTED_VALUE"""),"Mask Mandate")</f>
        <v>Mask Mandate</v>
      </c>
      <c r="D285" s="1" t="str">
        <f>IFERROR(__xludf.DUMMYFUNCTION("""COMPUTED_VALUE"""),"End")</f>
        <v>End</v>
      </c>
      <c r="E285" s="1" t="str">
        <f>IFERROR(__xludf.DUMMYFUNCTION("""COMPUTED_VALUE"""),"On Feb. 8, the governor lifted mask requirements")</f>
        <v>On Feb. 8, the governor lifted mask requirements</v>
      </c>
      <c r="F285" s="1" t="str">
        <f>IFERROR(__xludf.DUMMYFUNCTION("""COMPUTED_VALUE"""),"National Academy for State Health Policy")</f>
        <v>National Academy for State Health Policy</v>
      </c>
      <c r="G285" s="3" t="str">
        <f>IFERROR(__xludf.DUMMYFUNCTION("""COMPUTED_VALUE"""),"https://www.nashp.org/2021-covid-19-state-restrictions-re-openings-and-mask-requirements/")</f>
        <v>https://www.nashp.org/2021-covid-19-state-restrictions-re-openings-and-mask-requirements/</v>
      </c>
      <c r="H285" s="1"/>
      <c r="I285" s="1"/>
    </row>
    <row r="286">
      <c r="A286" s="2">
        <f>IFERROR(__xludf.DUMMYFUNCTION("""COMPUTED_VALUE"""),44235.0)</f>
        <v>44235</v>
      </c>
      <c r="B286" s="1" t="str">
        <f>IFERROR(__xludf.DUMMYFUNCTION("""COMPUTED_VALUE"""),"Iowa")</f>
        <v>Iowa</v>
      </c>
      <c r="C286" s="1" t="str">
        <f>IFERROR(__xludf.DUMMYFUNCTION("""COMPUTED_VALUE"""),"State Proclamations ")</f>
        <v>State Proclamations </v>
      </c>
      <c r="D286" s="1" t="str">
        <f>IFERROR(__xludf.DUMMYFUNCTION("""COMPUTED_VALUE"""),"Opening")</f>
        <v>Opening</v>
      </c>
      <c r="E286" s="1" t="str">
        <f>IFERROR(__xludf.DUMMYFUNCTION("""COMPUTED_VALUE"""),"The governor announced social distancing will no longer be mandated in bars, restaurants, casinos, fitness centers and other establishments, as well as at social gatherings and sporting events.")</f>
        <v>The governor announced social distancing will no longer be mandated in bars, restaurants, casinos, fitness centers and other establishments, as well as at social gatherings and sporting events.</v>
      </c>
      <c r="F286" s="1" t="str">
        <f>IFERROR(__xludf.DUMMYFUNCTION("""COMPUTED_VALUE"""),"National Academy for State Health Policy")</f>
        <v>National Academy for State Health Policy</v>
      </c>
      <c r="G286" s="3" t="str">
        <f>IFERROR(__xludf.DUMMYFUNCTION("""COMPUTED_VALUE"""),"https://www.nashp.org/2021-covid-19-state-restrictions-re-openings-and-mask-requirements/")</f>
        <v>https://www.nashp.org/2021-covid-19-state-restrictions-re-openings-and-mask-requirements/</v>
      </c>
      <c r="H286" s="1"/>
      <c r="I286" s="1"/>
    </row>
    <row r="287">
      <c r="A287" s="2">
        <f>IFERROR(__xludf.DUMMYFUNCTION("""COMPUTED_VALUE"""),44242.0)</f>
        <v>44242</v>
      </c>
      <c r="B287" s="1" t="str">
        <f>IFERROR(__xludf.DUMMYFUNCTION("""COMPUTED_VALUE"""),"Iowa")</f>
        <v>Iowa</v>
      </c>
      <c r="C287" s="1" t="str">
        <f>IFERROR(__xludf.DUMMYFUNCTION("""COMPUTED_VALUE"""),"State Proclamations ")</f>
        <v>State Proclamations </v>
      </c>
      <c r="D287" s="1" t="str">
        <f>IFERROR(__xludf.DUMMYFUNCTION("""COMPUTED_VALUE"""),"Opening")</f>
        <v>Opening</v>
      </c>
      <c r="E287" s="1" t="str">
        <f>IFERROR(__xludf.DUMMYFUNCTION("""COMPUTED_VALUE"""),"A bill requiring schools to offer full-time in-person instruction took effect.")</f>
        <v>A bill requiring schools to offer full-time in-person instruction took effect.</v>
      </c>
      <c r="F287" s="1" t="str">
        <f>IFERROR(__xludf.DUMMYFUNCTION("""COMPUTED_VALUE"""),"National Academy for State Health Policy")</f>
        <v>National Academy for State Health Policy</v>
      </c>
      <c r="G287" s="3" t="str">
        <f>IFERROR(__xludf.DUMMYFUNCTION("""COMPUTED_VALUE"""),"https://www.nashp.org/2021-covid-19-state-restrictions-re-openings-and-mask-requirements/")</f>
        <v>https://www.nashp.org/2021-covid-19-state-restrictions-re-openings-and-mask-requirements/</v>
      </c>
      <c r="H287" s="1"/>
      <c r="I287" s="1"/>
    </row>
    <row r="288">
      <c r="A288" s="2">
        <f>IFERROR(__xludf.DUMMYFUNCTION("""COMPUTED_VALUE"""),44336.0)</f>
        <v>44336</v>
      </c>
      <c r="B288" s="1" t="str">
        <f>IFERROR(__xludf.DUMMYFUNCTION("""COMPUTED_VALUE"""),"Iowa")</f>
        <v>Iowa</v>
      </c>
      <c r="C288" s="1" t="str">
        <f>IFERROR(__xludf.DUMMYFUNCTION("""COMPUTED_VALUE"""),"State Proclamations ")</f>
        <v>State Proclamations </v>
      </c>
      <c r="D288" s="1" t="str">
        <f>IFERROR(__xludf.DUMMYFUNCTION("""COMPUTED_VALUE"""),"Opening")</f>
        <v>Opening</v>
      </c>
      <c r="E288" s="1" t="str">
        <f>IFERROR(__xludf.DUMMYFUNCTION("""COMPUTED_VALUE"""),"The governor signed a bill prohibiting local mask mandates.")</f>
        <v>The governor signed a bill prohibiting local mask mandates.</v>
      </c>
      <c r="F288" s="1" t="str">
        <f>IFERROR(__xludf.DUMMYFUNCTION("""COMPUTED_VALUE"""),"National Academy for State Health Policy")</f>
        <v>National Academy for State Health Policy</v>
      </c>
      <c r="G288" s="3" t="str">
        <f>IFERROR(__xludf.DUMMYFUNCTION("""COMPUTED_VALUE"""),"https://www.nashp.org/2021-covid-19-state-restrictions-re-openings-and-mask-requirements/")</f>
        <v>https://www.nashp.org/2021-covid-19-state-restrictions-re-openings-and-mask-requirements/</v>
      </c>
      <c r="H288" s="1"/>
      <c r="I288" s="1"/>
    </row>
    <row r="289">
      <c r="A289" s="2">
        <f>IFERROR(__xludf.DUMMYFUNCTION("""COMPUTED_VALUE"""),44607.0)</f>
        <v>44607</v>
      </c>
      <c r="B289" s="1" t="str">
        <f>IFERROR(__xludf.DUMMYFUNCTION("""COMPUTED_VALUE"""),"Iowa")</f>
        <v>Iowa</v>
      </c>
      <c r="C289" s="1" t="str">
        <f>IFERROR(__xludf.DUMMYFUNCTION("""COMPUTED_VALUE"""),"State of Emergency")</f>
        <v>State of Emergency</v>
      </c>
      <c r="D289" s="1" t="str">
        <f>IFERROR(__xludf.DUMMYFUNCTION("""COMPUTED_VALUE"""),"End")</f>
        <v>End</v>
      </c>
      <c r="E289" s="1" t="str">
        <f>IFERROR(__xludf.DUMMYFUNCTION("""COMPUTED_VALUE"""),"The Public Health Emergency expired on February 15, 2022")</f>
        <v>The Public Health Emergency expired on February 15, 2022</v>
      </c>
      <c r="F289" s="1"/>
      <c r="G289" s="1"/>
      <c r="H289" s="1"/>
      <c r="I289" s="1"/>
    </row>
    <row r="290">
      <c r="A290" s="2">
        <f>IFERROR(__xludf.DUMMYFUNCTION("""COMPUTED_VALUE"""),43902.0)</f>
        <v>43902</v>
      </c>
      <c r="B290" s="1" t="str">
        <f>IFERROR(__xludf.DUMMYFUNCTION("""COMPUTED_VALUE"""),"Kansas")</f>
        <v>Kansas</v>
      </c>
      <c r="C290" s="1" t="str">
        <f>IFERROR(__xludf.DUMMYFUNCTION("""COMPUTED_VALUE"""),"State of Emergency")</f>
        <v>State of Emergency</v>
      </c>
      <c r="D290" s="1" t="str">
        <f>IFERROR(__xludf.DUMMYFUNCTION("""COMPUTED_VALUE"""),"Start")</f>
        <v>Start</v>
      </c>
      <c r="E290" s="1" t="str">
        <f>IFERROR(__xludf.DUMMYFUNCTION("""COMPUTED_VALUE"""),"Gov. Laura Kelly issued a state of emergency on March 12. The announcement was made after a man in his 70s died from COVID-19.")</f>
        <v>Gov. Laura Kelly issued a state of emergency on March 12. The announcement was made after a man in his 70s died from COVID-19.</v>
      </c>
      <c r="F290" s="1" t="str">
        <f>IFERROR(__xludf.DUMMYFUNCTION("""COMPUTED_VALUE"""),"Business Insider")</f>
        <v>Business Insider</v>
      </c>
      <c r="G290" s="3" t="str">
        <f>IFERROR(__xludf.DUMMYFUNCTION("""COMPUTED_VALUE"""),"https://www.businessinsider.com/california-washington-state-of-emergency-coronavirus-what-it-means-2020-3#kansas-27")</f>
        <v>https://www.businessinsider.com/california-washington-state-of-emergency-coronavirus-what-it-means-2020-3#kansas-27</v>
      </c>
      <c r="H290" s="1"/>
      <c r="I290" s="1"/>
    </row>
    <row r="291">
      <c r="A291" s="2">
        <f>IFERROR(__xludf.DUMMYFUNCTION("""COMPUTED_VALUE"""),43920.0)</f>
        <v>43920</v>
      </c>
      <c r="B291" s="1" t="str">
        <f>IFERROR(__xludf.DUMMYFUNCTION("""COMPUTED_VALUE"""),"Kansas")</f>
        <v>Kansas</v>
      </c>
      <c r="C291" s="1" t="str">
        <f>IFERROR(__xludf.DUMMYFUNCTION("""COMPUTED_VALUE"""),"Stay-at-Home Order")</f>
        <v>Stay-at-Home Order</v>
      </c>
      <c r="D291" s="1" t="str">
        <f>IFERROR(__xludf.DUMMYFUNCTION("""COMPUTED_VALUE"""),"Start")</f>
        <v>Start</v>
      </c>
      <c r="E291" s="1" t="str">
        <f>IFERROR(__xludf.DUMMYFUNCTION("""COMPUTED_VALUE"""),"Original stay-at-home order begins")</f>
        <v>Original stay-at-home order begins</v>
      </c>
      <c r="F291" s="1" t="str">
        <f>IFERROR(__xludf.DUMMYFUNCTION("""COMPUTED_VALUE"""),"National Academy for State Health Policy")</f>
        <v>National Academy for State Health Policy</v>
      </c>
      <c r="G291" s="3" t="str">
        <f>IFERROR(__xludf.DUMMYFUNCTION("""COMPUTED_VALUE"""),"https://www.nashp.org/2020-state-reopening-chart/")</f>
        <v>https://www.nashp.org/2020-state-reopening-chart/</v>
      </c>
      <c r="H291" s="1"/>
      <c r="I291" s="1"/>
    </row>
    <row r="292">
      <c r="A292" s="2">
        <f>IFERROR(__xludf.DUMMYFUNCTION("""COMPUTED_VALUE"""),43954.0)</f>
        <v>43954</v>
      </c>
      <c r="B292" s="1" t="str">
        <f>IFERROR(__xludf.DUMMYFUNCTION("""COMPUTED_VALUE"""),"Kansas")</f>
        <v>Kansas</v>
      </c>
      <c r="C292" s="1" t="str">
        <f>IFERROR(__xludf.DUMMYFUNCTION("""COMPUTED_VALUE"""),"Stay-at-Home Order")</f>
        <v>Stay-at-Home Order</v>
      </c>
      <c r="D292" s="1" t="str">
        <f>IFERROR(__xludf.DUMMYFUNCTION("""COMPUTED_VALUE"""),"End")</f>
        <v>End</v>
      </c>
      <c r="E292" s="1" t="str">
        <f>IFERROR(__xludf.DUMMYFUNCTION("""COMPUTED_VALUE"""),"Original stay-at-home order ends")</f>
        <v>Original stay-at-home order ends</v>
      </c>
      <c r="F292" s="1" t="str">
        <f>IFERROR(__xludf.DUMMYFUNCTION("""COMPUTED_VALUE"""),"National Academy for State Health Policy")</f>
        <v>National Academy for State Health Policy</v>
      </c>
      <c r="G292" s="3" t="str">
        <f>IFERROR(__xludf.DUMMYFUNCTION("""COMPUTED_VALUE"""),"https://www.nashp.org/2020-state-reopening-chart/")</f>
        <v>https://www.nashp.org/2020-state-reopening-chart/</v>
      </c>
      <c r="H292" s="1"/>
      <c r="I292" s="1"/>
    </row>
    <row r="293">
      <c r="A293" s="2">
        <f>IFERROR(__xludf.DUMMYFUNCTION("""COMPUTED_VALUE"""),43954.0)</f>
        <v>43954</v>
      </c>
      <c r="B293" s="1" t="str">
        <f>IFERROR(__xludf.DUMMYFUNCTION("""COMPUTED_VALUE"""),"Kansas")</f>
        <v>Kansas</v>
      </c>
      <c r="C293" s="1" t="str">
        <f>IFERROR(__xludf.DUMMYFUNCTION("""COMPUTED_VALUE"""),"State Proclamations ")</f>
        <v>State Proclamations </v>
      </c>
      <c r="D293" s="1" t="str">
        <f>IFERROR(__xludf.DUMMYFUNCTION("""COMPUTED_VALUE"""),"Opening")</f>
        <v>Opening</v>
      </c>
      <c r="E293" s="1" t="str">
        <f>IFERROR(__xludf.DUMMYFUNCTION("""COMPUTED_VALUE"""),"Kansas has reopened gyms, personal care services, casinos, theaters, community centers, restaurant dining, bars, houses or worship, theaters, museums, nightclubs, and offices. Recreational sports have resumed, and elective medical procedures can resume at"&amp;" the discretion of providers.")</f>
        <v>Kansas has reopened gyms, personal care services, casinos, theaters, community centers, restaurant dining, bars, houses or worship, theaters, museums, nightclubs, and offices. Recreational sports have resumed, and elective medical procedures can resume at the discretion of providers.</v>
      </c>
      <c r="F293" s="1" t="str">
        <f>IFERROR(__xludf.DUMMYFUNCTION("""COMPUTED_VALUE"""),"National Academy for State Health Policy")</f>
        <v>National Academy for State Health Policy</v>
      </c>
      <c r="G293" s="3" t="str">
        <f>IFERROR(__xludf.DUMMYFUNCTION("""COMPUTED_VALUE"""),"https://www.nashp.org/2020-state-reopening-chart/")</f>
        <v>https://www.nashp.org/2020-state-reopening-chart/</v>
      </c>
      <c r="H293" s="1"/>
      <c r="I293" s="1"/>
    </row>
    <row r="294">
      <c r="A294" s="2">
        <f>IFERROR(__xludf.DUMMYFUNCTION("""COMPUTED_VALUE"""),44004.0)</f>
        <v>44004</v>
      </c>
      <c r="B294" s="1" t="str">
        <f>IFERROR(__xludf.DUMMYFUNCTION("""COMPUTED_VALUE"""),"Kansas")</f>
        <v>Kansas</v>
      </c>
      <c r="C294" s="1" t="str">
        <f>IFERROR(__xludf.DUMMYFUNCTION("""COMPUTED_VALUE"""),"State Proclamations ")</f>
        <v>State Proclamations </v>
      </c>
      <c r="D294" s="1" t="str">
        <f>IFERROR(__xludf.DUMMYFUNCTION("""COMPUTED_VALUE"""),"Closing")</f>
        <v>Closing</v>
      </c>
      <c r="E294" s="1" t="str">
        <f>IFERROR(__xludf.DUMMYFUNCTION("""COMPUTED_VALUE"""),"The governor recommended communities delay the next phase of reopening amid a surge of new cases.")</f>
        <v>The governor recommended communities delay the next phase of reopening amid a surge of new cases.</v>
      </c>
      <c r="F294" s="1" t="str">
        <f>IFERROR(__xludf.DUMMYFUNCTION("""COMPUTED_VALUE"""),"National Academy for State Health Policy")</f>
        <v>National Academy for State Health Policy</v>
      </c>
      <c r="G294" s="3" t="str">
        <f>IFERROR(__xludf.DUMMYFUNCTION("""COMPUTED_VALUE"""),"https://www.nashp.org/2020-state-reopening-chart/")</f>
        <v>https://www.nashp.org/2020-state-reopening-chart/</v>
      </c>
      <c r="H294" s="1"/>
      <c r="I294" s="1"/>
    </row>
    <row r="295">
      <c r="A295" s="2">
        <f>IFERROR(__xludf.DUMMYFUNCTION("""COMPUTED_VALUE"""),44015.0)</f>
        <v>44015</v>
      </c>
      <c r="B295" s="1" t="str">
        <f>IFERROR(__xludf.DUMMYFUNCTION("""COMPUTED_VALUE"""),"Kansas")</f>
        <v>Kansas</v>
      </c>
      <c r="C295" s="1" t="str">
        <f>IFERROR(__xludf.DUMMYFUNCTION("""COMPUTED_VALUE"""),"Mask Mandate")</f>
        <v>Mask Mandate</v>
      </c>
      <c r="D295" s="1" t="str">
        <f>IFERROR(__xludf.DUMMYFUNCTION("""COMPUTED_VALUE"""),"Start")</f>
        <v>Start</v>
      </c>
      <c r="E295" s="1" t="str">
        <f>IFERROR(__xludf.DUMMYFUNCTION("""COMPUTED_VALUE"""),"An executive order was issued by Gov. Laura Kelly mandating face masks must be worn statewide in public spaces.")</f>
        <v>An executive order was issued by Gov. Laura Kelly mandating face masks must be worn statewide in public spaces.</v>
      </c>
      <c r="F295" s="1" t="str">
        <f>IFERROR(__xludf.DUMMYFUNCTION("""COMPUTED_VALUE"""),"CNN")</f>
        <v>CNN</v>
      </c>
      <c r="G295" s="3" t="str">
        <f>IFERROR(__xludf.DUMMYFUNCTION("""COMPUTED_VALUE"""),"https://www.cnn.com/2020/06/19/us/states-face-mask-coronavirus-trnd/index.html")</f>
        <v>https://www.cnn.com/2020/06/19/us/states-face-mask-coronavirus-trnd/index.html</v>
      </c>
      <c r="H295" s="1"/>
      <c r="I295" s="1"/>
    </row>
    <row r="296">
      <c r="A296" s="2">
        <f>IFERROR(__xludf.DUMMYFUNCTION("""COMPUTED_VALUE"""),44027.0)</f>
        <v>44027</v>
      </c>
      <c r="B296" s="1" t="str">
        <f>IFERROR(__xludf.DUMMYFUNCTION("""COMPUTED_VALUE"""),"Kansas")</f>
        <v>Kansas</v>
      </c>
      <c r="C296" s="1" t="str">
        <f>IFERROR(__xludf.DUMMYFUNCTION("""COMPUTED_VALUE"""),"State Proclamations ")</f>
        <v>State Proclamations </v>
      </c>
      <c r="D296" s="1" t="str">
        <f>IFERROR(__xludf.DUMMYFUNCTION("""COMPUTED_VALUE"""),"Closing")</f>
        <v>Closing</v>
      </c>
      <c r="E296" s="1" t="str">
        <f>IFERROR(__xludf.DUMMYFUNCTION("""COMPUTED_VALUE"""),"The governor announced schools will delay opening until after Labor Day.")</f>
        <v>The governor announced schools will delay opening until after Labor Day.</v>
      </c>
      <c r="F296" s="1" t="str">
        <f>IFERROR(__xludf.DUMMYFUNCTION("""COMPUTED_VALUE"""),"National Academy for State Health Policy")</f>
        <v>National Academy for State Health Policy</v>
      </c>
      <c r="G296" s="3" t="str">
        <f>IFERROR(__xludf.DUMMYFUNCTION("""COMPUTED_VALUE"""),"https://www.nashp.org/2020-state-reopening-chart/")</f>
        <v>https://www.nashp.org/2020-state-reopening-chart/</v>
      </c>
      <c r="H296" s="1"/>
      <c r="I296" s="1"/>
    </row>
    <row r="297">
      <c r="A297" s="2">
        <f>IFERROR(__xludf.DUMMYFUNCTION("""COMPUTED_VALUE"""),44153.0)</f>
        <v>44153</v>
      </c>
      <c r="B297" s="1" t="str">
        <f>IFERROR(__xludf.DUMMYFUNCTION("""COMPUTED_VALUE"""),"Kansas")</f>
        <v>Kansas</v>
      </c>
      <c r="C297" s="1" t="str">
        <f>IFERROR(__xludf.DUMMYFUNCTION("""COMPUTED_VALUE"""),"State Proclamations ")</f>
        <v>State Proclamations </v>
      </c>
      <c r="D297" s="1" t="str">
        <f>IFERROR(__xludf.DUMMYFUNCTION("""COMPUTED_VALUE"""),"Opening")</f>
        <v>Opening</v>
      </c>
      <c r="E297" s="1" t="str">
        <f>IFERROR(__xludf.DUMMYFUNCTION("""COMPUTED_VALUE"""),"The governor announced a new statewide mask order that allows counties to develop their own mandates. Counties can still opt out.")</f>
        <v>The governor announced a new statewide mask order that allows counties to develop their own mandates. Counties can still opt out.</v>
      </c>
      <c r="F297" s="1" t="str">
        <f>IFERROR(__xludf.DUMMYFUNCTION("""COMPUTED_VALUE"""),"National Academy for State Health Policy")</f>
        <v>National Academy for State Health Policy</v>
      </c>
      <c r="G297" s="3" t="str">
        <f>IFERROR(__xludf.DUMMYFUNCTION("""COMPUTED_VALUE"""),"https://www.nashp.org/2020-state-reopening-chart/")</f>
        <v>https://www.nashp.org/2020-state-reopening-chart/</v>
      </c>
      <c r="H297" s="1"/>
      <c r="I297" s="1"/>
    </row>
    <row r="298">
      <c r="A298" s="2">
        <f>IFERROR(__xludf.DUMMYFUNCTION("""COMPUTED_VALUE"""),44279.0)</f>
        <v>44279</v>
      </c>
      <c r="B298" s="1" t="str">
        <f>IFERROR(__xludf.DUMMYFUNCTION("""COMPUTED_VALUE"""),"Kansas")</f>
        <v>Kansas</v>
      </c>
      <c r="C298" s="1" t="str">
        <f>IFERROR(__xludf.DUMMYFUNCTION("""COMPUTED_VALUE"""),"State Proclamations ")</f>
        <v>State Proclamations </v>
      </c>
      <c r="D298" s="1" t="str">
        <f>IFERROR(__xludf.DUMMYFUNCTION("""COMPUTED_VALUE"""),"Closing")</f>
        <v>Closing</v>
      </c>
      <c r="E298" s="1" t="str">
        <f>IFERROR(__xludf.DUMMYFUNCTION("""COMPUTED_VALUE"""),"Gov. Laura Kelly signed a bill extending the state's emergency order through May 28, but ending all executive orders related to the pandemic on March 31. The governor plans to reissue most of the orders, including the state’s mask mandate. Under the new l"&amp;"aw, the state legislature can end executive orders during a legislative session.")</f>
        <v>Gov. Laura Kelly signed a bill extending the state's emergency order through May 28, but ending all executive orders related to the pandemic on March 31. The governor plans to reissue most of the orders, including the state’s mask mandate. Under the new law, the state legislature can end executive orders during a legislative session.</v>
      </c>
      <c r="F298" s="1" t="str">
        <f>IFERROR(__xludf.DUMMYFUNCTION("""COMPUTED_VALUE"""),"National Academy for State Health Policy")</f>
        <v>National Academy for State Health Policy</v>
      </c>
      <c r="G298" s="3" t="str">
        <f>IFERROR(__xludf.DUMMYFUNCTION("""COMPUTED_VALUE"""),"https://www.nashp.org/2021-covid-19-state-restrictions-re-openings-and-mask-requirements/")</f>
        <v>https://www.nashp.org/2021-covid-19-state-restrictions-re-openings-and-mask-requirements/</v>
      </c>
      <c r="H298" s="1"/>
      <c r="I298" s="1"/>
    </row>
    <row r="299">
      <c r="A299" s="2">
        <f>IFERROR(__xludf.DUMMYFUNCTION("""COMPUTED_VALUE"""),44313.0)</f>
        <v>44313</v>
      </c>
      <c r="B299" s="1" t="str">
        <f>IFERROR(__xludf.DUMMYFUNCTION("""COMPUTED_VALUE"""),"Kansas")</f>
        <v>Kansas</v>
      </c>
      <c r="C299" s="1" t="str">
        <f>IFERROR(__xludf.DUMMYFUNCTION("""COMPUTED_VALUE"""),"Mask Mandate")</f>
        <v>Mask Mandate</v>
      </c>
      <c r="D299" s="1" t="str">
        <f>IFERROR(__xludf.DUMMYFUNCTION("""COMPUTED_VALUE"""),"End")</f>
        <v>End</v>
      </c>
      <c r="E299" s="1" t="str">
        <f>IFERROR(__xludf.DUMMYFUNCTION("""COMPUTED_VALUE"""),"The governor lifted the outdoor mask mandate on April 27.")</f>
        <v>The governor lifted the outdoor mask mandate on April 27.</v>
      </c>
      <c r="F299" s="1" t="str">
        <f>IFERROR(__xludf.DUMMYFUNCTION("""COMPUTED_VALUE"""),"National Academy for State Health Policy")</f>
        <v>National Academy for State Health Policy</v>
      </c>
      <c r="G299" s="3" t="str">
        <f>IFERROR(__xludf.DUMMYFUNCTION("""COMPUTED_VALUE"""),"https://www.nashp.org/2021-covid-19-state-restrictions-re-openings-and-mask-requirements/")</f>
        <v>https://www.nashp.org/2021-covid-19-state-restrictions-re-openings-and-mask-requirements/</v>
      </c>
      <c r="H299" s="1"/>
      <c r="I299" s="1"/>
    </row>
    <row r="300">
      <c r="A300" s="2">
        <f>IFERROR(__xludf.DUMMYFUNCTION("""COMPUTED_VALUE"""),44360.0)</f>
        <v>44360</v>
      </c>
      <c r="B300" s="1" t="str">
        <f>IFERROR(__xludf.DUMMYFUNCTION("""COMPUTED_VALUE"""),"Kansas")</f>
        <v>Kansas</v>
      </c>
      <c r="C300" s="1" t="str">
        <f>IFERROR(__xludf.DUMMYFUNCTION("""COMPUTED_VALUE"""),"State Proclamations ")</f>
        <v>State Proclamations </v>
      </c>
      <c r="D300" s="1" t="str">
        <f>IFERROR(__xludf.DUMMYFUNCTION("""COMPUTED_VALUE"""),"Opening")</f>
        <v>Opening</v>
      </c>
      <c r="E300" s="1" t="str">
        <f>IFERROR(__xludf.DUMMYFUNCTION("""COMPUTED_VALUE"""),"All state government offices will return to in-person operations.")</f>
        <v>All state government offices will return to in-person operations.</v>
      </c>
      <c r="F300" s="1" t="str">
        <f>IFERROR(__xludf.DUMMYFUNCTION("""COMPUTED_VALUE"""),"National Academy for State Health Policy")</f>
        <v>National Academy for State Health Policy</v>
      </c>
      <c r="G300" s="3" t="str">
        <f>IFERROR(__xludf.DUMMYFUNCTION("""COMPUTED_VALUE"""),"https://www.nashp.org/2021-covid-19-state-restrictions-re-openings-and-mask-requirements/")</f>
        <v>https://www.nashp.org/2021-covid-19-state-restrictions-re-openings-and-mask-requirements/</v>
      </c>
      <c r="H300" s="1"/>
      <c r="I300" s="1"/>
    </row>
    <row r="301">
      <c r="A301" s="2">
        <f>IFERROR(__xludf.DUMMYFUNCTION("""COMPUTED_VALUE"""),44410.0)</f>
        <v>44410</v>
      </c>
      <c r="B301" s="1" t="str">
        <f>IFERROR(__xludf.DUMMYFUNCTION("""COMPUTED_VALUE"""),"Kansas")</f>
        <v>Kansas</v>
      </c>
      <c r="C301" s="1" t="str">
        <f>IFERROR(__xludf.DUMMYFUNCTION("""COMPUTED_VALUE"""),"Mask Mandate")</f>
        <v>Mask Mandate</v>
      </c>
      <c r="D301" s="1" t="str">
        <f>IFERROR(__xludf.DUMMYFUNCTION("""COMPUTED_VALUE"""),"Start")</f>
        <v>Start</v>
      </c>
      <c r="E301" s="1" t="str">
        <f>IFERROR(__xludf.DUMMYFUNCTION("""COMPUTED_VALUE"""),"On Aug. 2, state employees will be required to wear masks")</f>
        <v>On Aug. 2, state employees will be required to wear masks</v>
      </c>
      <c r="F301" s="1" t="str">
        <f>IFERROR(__xludf.DUMMYFUNCTION("""COMPUTED_VALUE"""),"National Academy for State Health Policy")</f>
        <v>National Academy for State Health Policy</v>
      </c>
      <c r="G301" s="3" t="str">
        <f>IFERROR(__xludf.DUMMYFUNCTION("""COMPUTED_VALUE"""),"https://www.nashp.org/2021-covid-19-state-restrictions-re-openings-and-mask-requirements/")</f>
        <v>https://www.nashp.org/2021-covid-19-state-restrictions-re-openings-and-mask-requirements/</v>
      </c>
      <c r="H301" s="1"/>
      <c r="I301" s="1"/>
    </row>
    <row r="302">
      <c r="A302" s="2">
        <f>IFERROR(__xludf.DUMMYFUNCTION("""COMPUTED_VALUE"""),44582.0)</f>
        <v>44582</v>
      </c>
      <c r="B302" s="1" t="str">
        <f>IFERROR(__xludf.DUMMYFUNCTION("""COMPUTED_VALUE"""),"Kansas")</f>
        <v>Kansas</v>
      </c>
      <c r="C302" s="1" t="str">
        <f>IFERROR(__xludf.DUMMYFUNCTION("""COMPUTED_VALUE"""),"State of Emergency")</f>
        <v>State of Emergency</v>
      </c>
      <c r="D302" s="1" t="str">
        <f>IFERROR(__xludf.DUMMYFUNCTION("""COMPUTED_VALUE"""),"End")</f>
        <v>End</v>
      </c>
      <c r="E302" s="1" t="str">
        <f>IFERROR(__xludf.DUMMYFUNCTION("""COMPUTED_VALUE"""),"The State of Disaster Emergency expired on January 21, 2022.")</f>
        <v>The State of Disaster Emergency expired on January 21, 2022.</v>
      </c>
      <c r="F302" s="1" t="str">
        <f>IFERROR(__xludf.DUMMYFUNCTION("""COMPUTED_VALUE"""),"National Academy for State Health Policy")</f>
        <v>National Academy for State Health Policy</v>
      </c>
      <c r="G302" s="3" t="str">
        <f>IFERROR(__xludf.DUMMYFUNCTION("""COMPUTED_VALUE"""),"https://www.nashp.org/governors-prioritize-health-for-all/")</f>
        <v>https://www.nashp.org/governors-prioritize-health-for-all/</v>
      </c>
      <c r="H302" s="1"/>
      <c r="I302" s="1"/>
    </row>
    <row r="303">
      <c r="A303" s="2">
        <f>IFERROR(__xludf.DUMMYFUNCTION("""COMPUTED_VALUE"""),43896.0)</f>
        <v>43896</v>
      </c>
      <c r="B303" s="1" t="str">
        <f>IFERROR(__xludf.DUMMYFUNCTION("""COMPUTED_VALUE"""),"Kentucky")</f>
        <v>Kentucky</v>
      </c>
      <c r="C303" s="1" t="str">
        <f>IFERROR(__xludf.DUMMYFUNCTION("""COMPUTED_VALUE"""),"State of Emergency")</f>
        <v>State of Emergency</v>
      </c>
      <c r="D303" s="1" t="str">
        <f>IFERROR(__xludf.DUMMYFUNCTION("""COMPUTED_VALUE"""),"Start")</f>
        <v>Start</v>
      </c>
      <c r="E303" s="1" t="str">
        <f>IFERROR(__xludf.DUMMYFUNCTION("""COMPUTED_VALUE"""),"On March 6, Gov. Andy Beshear announced Kentucky's first confirmed case of the virus and a state of emergency.")</f>
        <v>On March 6, Gov. Andy Beshear announced Kentucky's first confirmed case of the virus and a state of emergency.</v>
      </c>
      <c r="F303" s="1" t="str">
        <f>IFERROR(__xludf.DUMMYFUNCTION("""COMPUTED_VALUE"""),"Business Insider")</f>
        <v>Business Insider</v>
      </c>
      <c r="G303" s="3" t="str">
        <f>IFERROR(__xludf.DUMMYFUNCTION("""COMPUTED_VALUE"""),"https://www.businessinsider.com/california-washington-state-of-emergency-coronavirus-what-it-means-2020-3#kentucky-4")</f>
        <v>https://www.businessinsider.com/california-washington-state-of-emergency-coronavirus-what-it-means-2020-3#kentucky-4</v>
      </c>
      <c r="H303" s="1"/>
      <c r="I303" s="1"/>
    </row>
    <row r="304">
      <c r="A304" s="2">
        <f>IFERROR(__xludf.DUMMYFUNCTION("""COMPUTED_VALUE"""),43896.0)</f>
        <v>43896</v>
      </c>
      <c r="B304" s="1" t="str">
        <f>IFERROR(__xludf.DUMMYFUNCTION("""COMPUTED_VALUE"""),"Kentucky")</f>
        <v>Kentucky</v>
      </c>
      <c r="C304" s="1" t="str">
        <f>IFERROR(__xludf.DUMMYFUNCTION("""COMPUTED_VALUE"""),"Stay-at-Home Order")</f>
        <v>Stay-at-Home Order</v>
      </c>
      <c r="D304" s="1" t="str">
        <f>IFERROR(__xludf.DUMMYFUNCTION("""COMPUTED_VALUE"""),"Start")</f>
        <v>Start</v>
      </c>
      <c r="E304" s="1" t="str">
        <f>IFERROR(__xludf.DUMMYFUNCTION("""COMPUTED_VALUE"""),"Original stay-at-home order begins until the State of Emergency ends")</f>
        <v>Original stay-at-home order begins until the State of Emergency ends</v>
      </c>
      <c r="F304" s="1" t="str">
        <f>IFERROR(__xludf.DUMMYFUNCTION("""COMPUTED_VALUE"""),"National Academy for State Health Policy")</f>
        <v>National Academy for State Health Policy</v>
      </c>
      <c r="G304" s="3" t="str">
        <f>IFERROR(__xludf.DUMMYFUNCTION("""COMPUTED_VALUE"""),"https://www.nashp.org/2020-state-reopening-chart/")</f>
        <v>https://www.nashp.org/2020-state-reopening-chart/</v>
      </c>
      <c r="H304" s="1"/>
      <c r="I304" s="1"/>
    </row>
    <row r="305">
      <c r="A305" s="2">
        <f>IFERROR(__xludf.DUMMYFUNCTION("""COMPUTED_VALUE"""),43962.0)</f>
        <v>43962</v>
      </c>
      <c r="B305" s="1" t="str">
        <f>IFERROR(__xludf.DUMMYFUNCTION("""COMPUTED_VALUE"""),"Kentucky")</f>
        <v>Kentucky</v>
      </c>
      <c r="C305" s="1" t="str">
        <f>IFERROR(__xludf.DUMMYFUNCTION("""COMPUTED_VALUE"""),"Mask Mandate")</f>
        <v>Mask Mandate</v>
      </c>
      <c r="D305" s="1" t="str">
        <f>IFERROR(__xludf.DUMMYFUNCTION("""COMPUTED_VALUE"""),"Start")</f>
        <v>Start</v>
      </c>
      <c r="E305" s="1" t="str">
        <f>IFERROR(__xludf.DUMMYFUNCTION("""COMPUTED_VALUE"""),"Gov. Andy Beshear ordered all state residents to wear face masks in public.")</f>
        <v>Gov. Andy Beshear ordered all state residents to wear face masks in public.</v>
      </c>
      <c r="F305" s="1" t="str">
        <f>IFERROR(__xludf.DUMMYFUNCTION("""COMPUTED_VALUE"""),"CNN")</f>
        <v>CNN</v>
      </c>
      <c r="G305" s="3" t="str">
        <f>IFERROR(__xludf.DUMMYFUNCTION("""COMPUTED_VALUE"""),"https://www.cnn.com/2020/06/19/us/states-face-mask-coronavirus-trnd/index.html")</f>
        <v>https://www.cnn.com/2020/06/19/us/states-face-mask-coronavirus-trnd/index.html</v>
      </c>
      <c r="H305" s="1"/>
      <c r="I305" s="1"/>
    </row>
    <row r="306">
      <c r="A306" s="2">
        <f>IFERROR(__xludf.DUMMYFUNCTION("""COMPUTED_VALUE"""),43964.0)</f>
        <v>43964</v>
      </c>
      <c r="B306" s="1" t="str">
        <f>IFERROR(__xludf.DUMMYFUNCTION("""COMPUTED_VALUE"""),"Kentucky")</f>
        <v>Kentucky</v>
      </c>
      <c r="C306" s="1" t="str">
        <f>IFERROR(__xludf.DUMMYFUNCTION("""COMPUTED_VALUE"""),"State Proclamations ")</f>
        <v>State Proclamations </v>
      </c>
      <c r="D306" s="1" t="str">
        <f>IFERROR(__xludf.DUMMYFUNCTION("""COMPUTED_VALUE"""),"Opening")</f>
        <v>Opening</v>
      </c>
      <c r="E306" s="1" t="str">
        <f>IFERROR(__xludf.DUMMYFUNCTION("""COMPUTED_VALUE"""),"Kentucky has reopened retail stores, restaurant dining, distilleries, personal care services, houses of worship, movie theaters, bowling alleys, museums, libraries, gyms, construction, and offices. Nonessential medical procedures resumed in hospitals and "&amp;"care facilities at 50% patient volume on May 13.")</f>
        <v>Kentucky has reopened retail stores, restaurant dining, distilleries, personal care services, houses of worship, movie theaters, bowling alleys, museums, libraries, gyms, construction, and offices. Nonessential medical procedures resumed in hospitals and care facilities at 50% patient volume on May 13.</v>
      </c>
      <c r="F306" s="1" t="str">
        <f>IFERROR(__xludf.DUMMYFUNCTION("""COMPUTED_VALUE"""),"National Academy for State Health Policy")</f>
        <v>National Academy for State Health Policy</v>
      </c>
      <c r="G306" s="3" t="str">
        <f>IFERROR(__xludf.DUMMYFUNCTION("""COMPUTED_VALUE"""),"https://www.nashp.org/2020-state-reopening-chart/")</f>
        <v>https://www.nashp.org/2020-state-reopening-chart/</v>
      </c>
      <c r="H306" s="1"/>
      <c r="I306" s="1"/>
    </row>
    <row r="307">
      <c r="A307" s="2">
        <f>IFERROR(__xludf.DUMMYFUNCTION("""COMPUTED_VALUE"""),43983.0)</f>
        <v>43983</v>
      </c>
      <c r="B307" s="1" t="str">
        <f>IFERROR(__xludf.DUMMYFUNCTION("""COMPUTED_VALUE"""),"Kentucky")</f>
        <v>Kentucky</v>
      </c>
      <c r="C307" s="1" t="str">
        <f>IFERROR(__xludf.DUMMYFUNCTION("""COMPUTED_VALUE"""),"State Proclamations ")</f>
        <v>State Proclamations </v>
      </c>
      <c r="D307" s="1" t="str">
        <f>IFERROR(__xludf.DUMMYFUNCTION("""COMPUTED_VALUE"""),"Opening")</f>
        <v>Opening</v>
      </c>
      <c r="E307" s="1" t="str">
        <f>IFERROR(__xludf.DUMMYFUNCTION("""COMPUTED_VALUE"""),"Movie theaters and fitness centers reopened.")</f>
        <v>Movie theaters and fitness centers reopened.</v>
      </c>
      <c r="F307" s="1" t="str">
        <f>IFERROR(__xludf.DUMMYFUNCTION("""COMPUTED_VALUE"""),"National Academy for State Health Policy")</f>
        <v>National Academy for State Health Policy</v>
      </c>
      <c r="G307" s="3" t="str">
        <f>IFERROR(__xludf.DUMMYFUNCTION("""COMPUTED_VALUE"""),"https://www.nashp.org/2020-state-reopening-chart/")</f>
        <v>https://www.nashp.org/2020-state-reopening-chart/</v>
      </c>
      <c r="H307" s="1"/>
      <c r="I307" s="1"/>
    </row>
    <row r="308">
      <c r="A308" s="2">
        <f>IFERROR(__xludf.DUMMYFUNCTION("""COMPUTED_VALUE"""),43990.0)</f>
        <v>43990</v>
      </c>
      <c r="B308" s="1" t="str">
        <f>IFERROR(__xludf.DUMMYFUNCTION("""COMPUTED_VALUE"""),"Kentucky")</f>
        <v>Kentucky</v>
      </c>
      <c r="C308" s="1" t="str">
        <f>IFERROR(__xludf.DUMMYFUNCTION("""COMPUTED_VALUE"""),"State Proclamations ")</f>
        <v>State Proclamations </v>
      </c>
      <c r="D308" s="1" t="str">
        <f>IFERROR(__xludf.DUMMYFUNCTION("""COMPUTED_VALUE"""),"Opening")</f>
        <v>Opening</v>
      </c>
      <c r="E308" s="1" t="str">
        <f>IFERROR(__xludf.DUMMYFUNCTION("""COMPUTED_VALUE"""),"Museums, outdoor attractions, aquariums, libraries, and distilleries reopened.")</f>
        <v>Museums, outdoor attractions, aquariums, libraries, and distilleries reopened.</v>
      </c>
      <c r="F308" s="1" t="str">
        <f>IFERROR(__xludf.DUMMYFUNCTION("""COMPUTED_VALUE"""),"National Academy for State Health Policy")</f>
        <v>National Academy for State Health Policy</v>
      </c>
      <c r="G308" s="3" t="str">
        <f>IFERROR(__xludf.DUMMYFUNCTION("""COMPUTED_VALUE"""),"https://www.nashp.org/2020-state-reopening-chart/")</f>
        <v>https://www.nashp.org/2020-state-reopening-chart/</v>
      </c>
      <c r="H308" s="1"/>
      <c r="I308" s="1"/>
    </row>
    <row r="309">
      <c r="A309" s="2">
        <f>IFERROR(__xludf.DUMMYFUNCTION("""COMPUTED_VALUE"""),43993.0)</f>
        <v>43993</v>
      </c>
      <c r="B309" s="1" t="str">
        <f>IFERROR(__xludf.DUMMYFUNCTION("""COMPUTED_VALUE"""),"Kentucky")</f>
        <v>Kentucky</v>
      </c>
      <c r="C309" s="1" t="str">
        <f>IFERROR(__xludf.DUMMYFUNCTION("""COMPUTED_VALUE"""),"State Proclamations ")</f>
        <v>State Proclamations </v>
      </c>
      <c r="D309" s="1" t="str">
        <f>IFERROR(__xludf.DUMMYFUNCTION("""COMPUTED_VALUE"""),"Opening")</f>
        <v>Opening</v>
      </c>
      <c r="E309" s="1" t="str">
        <f>IFERROR(__xludf.DUMMYFUNCTION("""COMPUTED_VALUE"""),"Campgrounds reopened.")</f>
        <v>Campgrounds reopened.</v>
      </c>
      <c r="F309" s="1" t="str">
        <f>IFERROR(__xludf.DUMMYFUNCTION("""COMPUTED_VALUE"""),"National Academy for State Health Policy")</f>
        <v>National Academy for State Health Policy</v>
      </c>
      <c r="G309" s="3" t="str">
        <f>IFERROR(__xludf.DUMMYFUNCTION("""COMPUTED_VALUE"""),"https://www.nashp.org/2020-state-reopening-chart/")</f>
        <v>https://www.nashp.org/2020-state-reopening-chart/</v>
      </c>
      <c r="H309" s="1"/>
      <c r="I309" s="1"/>
    </row>
    <row r="310">
      <c r="A310" s="2">
        <f>IFERROR(__xludf.DUMMYFUNCTION("""COMPUTED_VALUE"""),43997.0)</f>
        <v>43997</v>
      </c>
      <c r="B310" s="1" t="str">
        <f>IFERROR(__xludf.DUMMYFUNCTION("""COMPUTED_VALUE"""),"Kentucky")</f>
        <v>Kentucky</v>
      </c>
      <c r="C310" s="1" t="str">
        <f>IFERROR(__xludf.DUMMYFUNCTION("""COMPUTED_VALUE"""),"State Proclamations ")</f>
        <v>State Proclamations </v>
      </c>
      <c r="D310" s="1" t="str">
        <f>IFERROR(__xludf.DUMMYFUNCTION("""COMPUTED_VALUE"""),"Opening")</f>
        <v>Opening</v>
      </c>
      <c r="E310" s="1" t="str">
        <f>IFERROR(__xludf.DUMMYFUNCTION("""COMPUTED_VALUE"""),"Childcare services reopened with reduced capacity.")</f>
        <v>Childcare services reopened with reduced capacity.</v>
      </c>
      <c r="F310" s="1" t="str">
        <f>IFERROR(__xludf.DUMMYFUNCTION("""COMPUTED_VALUE"""),"National Academy for State Health Policy")</f>
        <v>National Academy for State Health Policy</v>
      </c>
      <c r="G310" s="3" t="str">
        <f>IFERROR(__xludf.DUMMYFUNCTION("""COMPUTED_VALUE"""),"https://www.nashp.org/2020-state-reopening-chart/")</f>
        <v>https://www.nashp.org/2020-state-reopening-chart/</v>
      </c>
      <c r="H310" s="1"/>
      <c r="I310" s="1"/>
    </row>
    <row r="311">
      <c r="A311" s="2">
        <f>IFERROR(__xludf.DUMMYFUNCTION("""COMPUTED_VALUE"""),44007.0)</f>
        <v>44007</v>
      </c>
      <c r="B311" s="1" t="str">
        <f>IFERROR(__xludf.DUMMYFUNCTION("""COMPUTED_VALUE"""),"Kentucky")</f>
        <v>Kentucky</v>
      </c>
      <c r="C311" s="1" t="str">
        <f>IFERROR(__xludf.DUMMYFUNCTION("""COMPUTED_VALUE"""),"State Proclamations ")</f>
        <v>State Proclamations </v>
      </c>
      <c r="D311" s="1" t="str">
        <f>IFERROR(__xludf.DUMMYFUNCTION("""COMPUTED_VALUE"""),"Opening")</f>
        <v>Opening</v>
      </c>
      <c r="E311" s="1" t="str">
        <f>IFERROR(__xludf.DUMMYFUNCTION("""COMPUTED_VALUE"""),"Visitation at assisted living and personal care homes, group activities (10 or fewer) in facilities, communal dining and off-site appointments resumed.")</f>
        <v>Visitation at assisted living and personal care homes, group activities (10 or fewer) in facilities, communal dining and off-site appointments resumed.</v>
      </c>
      <c r="F311" s="1" t="str">
        <f>IFERROR(__xludf.DUMMYFUNCTION("""COMPUTED_VALUE"""),"National Academy for State Health Policy")</f>
        <v>National Academy for State Health Policy</v>
      </c>
      <c r="G311" s="3" t="str">
        <f>IFERROR(__xludf.DUMMYFUNCTION("""COMPUTED_VALUE"""),"https://www.nashp.org/2020-state-reopening-chart/")</f>
        <v>https://www.nashp.org/2020-state-reopening-chart/</v>
      </c>
      <c r="H311" s="1"/>
      <c r="I311" s="1"/>
    </row>
    <row r="312">
      <c r="A312" s="2">
        <f>IFERROR(__xludf.DUMMYFUNCTION("""COMPUTED_VALUE"""),44011.0)</f>
        <v>44011</v>
      </c>
      <c r="B312" s="1" t="str">
        <f>IFERROR(__xludf.DUMMYFUNCTION("""COMPUTED_VALUE"""),"Kentucky")</f>
        <v>Kentucky</v>
      </c>
      <c r="C312" s="1" t="str">
        <f>IFERROR(__xludf.DUMMYFUNCTION("""COMPUTED_VALUE"""),"State Proclamations ")</f>
        <v>State Proclamations </v>
      </c>
      <c r="D312" s="1" t="str">
        <f>IFERROR(__xludf.DUMMYFUNCTION("""COMPUTED_VALUE"""),"Opening")</f>
        <v>Opening</v>
      </c>
      <c r="E312" s="1" t="str">
        <f>IFERROR(__xludf.DUMMYFUNCTION("""COMPUTED_VALUE"""),"Bars reopened. Restrictions on gatherings of up to 50 people lifted.")</f>
        <v>Bars reopened. Restrictions on gatherings of up to 50 people lifted.</v>
      </c>
      <c r="F312" s="1" t="str">
        <f>IFERROR(__xludf.DUMMYFUNCTION("""COMPUTED_VALUE"""),"National Academy for State Health Policy")</f>
        <v>National Academy for State Health Policy</v>
      </c>
      <c r="G312" s="3" t="str">
        <f>IFERROR(__xludf.DUMMYFUNCTION("""COMPUTED_VALUE"""),"https://www.nashp.org/2020-state-reopening-chart/")</f>
        <v>https://www.nashp.org/2020-state-reopening-chart/</v>
      </c>
      <c r="H312" s="1"/>
      <c r="I312" s="1"/>
    </row>
    <row r="313">
      <c r="A313" s="2">
        <f>IFERROR(__xludf.DUMMYFUNCTION("""COMPUTED_VALUE"""),44022.0)</f>
        <v>44022</v>
      </c>
      <c r="B313" s="1" t="str">
        <f>IFERROR(__xludf.DUMMYFUNCTION("""COMPUTED_VALUE"""),"Kentucky")</f>
        <v>Kentucky</v>
      </c>
      <c r="C313" s="1" t="str">
        <f>IFERROR(__xludf.DUMMYFUNCTION("""COMPUTED_VALUE"""),"State Proclamations ")</f>
        <v>State Proclamations </v>
      </c>
      <c r="D313" s="1" t="str">
        <f>IFERROR(__xludf.DUMMYFUNCTION("""COMPUTED_VALUE"""),"Opening")</f>
        <v>Opening</v>
      </c>
      <c r="E313" s="1" t="str">
        <f>IFERROR(__xludf.DUMMYFUNCTION("""COMPUTED_VALUE"""),"Door-to-door solicitation allowed.")</f>
        <v>Door-to-door solicitation allowed.</v>
      </c>
      <c r="F313" s="1" t="str">
        <f>IFERROR(__xludf.DUMMYFUNCTION("""COMPUTED_VALUE"""),"National Academy for State Health Policy")</f>
        <v>National Academy for State Health Policy</v>
      </c>
      <c r="G313" s="3" t="str">
        <f>IFERROR(__xludf.DUMMYFUNCTION("""COMPUTED_VALUE"""),"https://www.nashp.org/2020-state-reopening-chart/")</f>
        <v>https://www.nashp.org/2020-state-reopening-chart/</v>
      </c>
      <c r="H313" s="1"/>
      <c r="I313" s="1"/>
    </row>
    <row r="314">
      <c r="A314" s="2">
        <f>IFERROR(__xludf.DUMMYFUNCTION("""COMPUTED_VALUE"""),44040.0)</f>
        <v>44040</v>
      </c>
      <c r="B314" s="1" t="str">
        <f>IFERROR(__xludf.DUMMYFUNCTION("""COMPUTED_VALUE"""),"Kentucky")</f>
        <v>Kentucky</v>
      </c>
      <c r="C314" s="1" t="str">
        <f>IFERROR(__xludf.DUMMYFUNCTION("""COMPUTED_VALUE"""),"State Proclamations ")</f>
        <v>State Proclamations </v>
      </c>
      <c r="D314" s="1" t="str">
        <f>IFERROR(__xludf.DUMMYFUNCTION("""COMPUTED_VALUE"""),"Closing")</f>
        <v>Closing</v>
      </c>
      <c r="E314" s="1" t="str">
        <f>IFERROR(__xludf.DUMMYFUNCTION("""COMPUTED_VALUE"""),"The governor ordered bars to close again and restaurants to reduce indoor dining capacity to 25% for two weeks.")</f>
        <v>The governor ordered bars to close again and restaurants to reduce indoor dining capacity to 25% for two weeks.</v>
      </c>
      <c r="F314" s="1" t="str">
        <f>IFERROR(__xludf.DUMMYFUNCTION("""COMPUTED_VALUE"""),"National Academy for State Health Policy")</f>
        <v>National Academy for State Health Policy</v>
      </c>
      <c r="G314" s="3" t="str">
        <f>IFERROR(__xludf.DUMMYFUNCTION("""COMPUTED_VALUE"""),"https://www.nashp.org/2020-state-reopening-chart/")</f>
        <v>https://www.nashp.org/2020-state-reopening-chart/</v>
      </c>
      <c r="H314" s="1"/>
      <c r="I314" s="1"/>
    </row>
    <row r="315">
      <c r="A315" s="2">
        <f>IFERROR(__xludf.DUMMYFUNCTION("""COMPUTED_VALUE"""),44089.0)</f>
        <v>44089</v>
      </c>
      <c r="B315" s="1" t="str">
        <f>IFERROR(__xludf.DUMMYFUNCTION("""COMPUTED_VALUE"""),"Kentucky")</f>
        <v>Kentucky</v>
      </c>
      <c r="C315" s="1" t="str">
        <f>IFERROR(__xludf.DUMMYFUNCTION("""COMPUTED_VALUE"""),"State Proclamations ")</f>
        <v>State Proclamations </v>
      </c>
      <c r="D315" s="1" t="str">
        <f>IFERROR(__xludf.DUMMYFUNCTION("""COMPUTED_VALUE"""),"Closing")</f>
        <v>Closing</v>
      </c>
      <c r="E315" s="1" t="str">
        <f>IFERROR(__xludf.DUMMYFUNCTION("""COMPUTED_VALUE"""),"Bars may serve alcohol until 11 p.m. and close at midnight.")</f>
        <v>Bars may serve alcohol until 11 p.m. and close at midnight.</v>
      </c>
      <c r="F315" s="1" t="str">
        <f>IFERROR(__xludf.DUMMYFUNCTION("""COMPUTED_VALUE"""),"National Academy for State Health Policy")</f>
        <v>National Academy for State Health Policy</v>
      </c>
      <c r="G315" s="3" t="str">
        <f>IFERROR(__xludf.DUMMYFUNCTION("""COMPUTED_VALUE"""),"https://www.nashp.org/2020-state-reopening-chart/")</f>
        <v>https://www.nashp.org/2020-state-reopening-chart/</v>
      </c>
      <c r="H315" s="1"/>
      <c r="I315" s="1"/>
    </row>
    <row r="316">
      <c r="A316" s="2">
        <f>IFERROR(__xludf.DUMMYFUNCTION("""COMPUTED_VALUE"""),44147.0)</f>
        <v>44147</v>
      </c>
      <c r="B316" s="1" t="str">
        <f>IFERROR(__xludf.DUMMYFUNCTION("""COMPUTED_VALUE"""),"Kentucky")</f>
        <v>Kentucky</v>
      </c>
      <c r="C316" s="1" t="str">
        <f>IFERROR(__xludf.DUMMYFUNCTION("""COMPUTED_VALUE"""),"State Proclamations ")</f>
        <v>State Proclamations </v>
      </c>
      <c r="D316" s="1" t="str">
        <f>IFERROR(__xludf.DUMMYFUNCTION("""COMPUTED_VALUE"""),"Closing")</f>
        <v>Closing</v>
      </c>
      <c r="E316" s="1" t="str">
        <f>IFERROR(__xludf.DUMMYFUNCTION("""COMPUTED_VALUE"""),"The state Supreme Court upheld the governor's authority to issue executive orders in an emergency following a challenge to those he has issued since the COVID-19 pandemic hit.")</f>
        <v>The state Supreme Court upheld the governor's authority to issue executive orders in an emergency following a challenge to those he has issued since the COVID-19 pandemic hit.</v>
      </c>
      <c r="F316" s="1" t="str">
        <f>IFERROR(__xludf.DUMMYFUNCTION("""COMPUTED_VALUE"""),"National Academy for State Health Policy")</f>
        <v>National Academy for State Health Policy</v>
      </c>
      <c r="G316" s="3" t="str">
        <f>IFERROR(__xludf.DUMMYFUNCTION("""COMPUTED_VALUE"""),"https://www.nashp.org/2020-state-reopening-chart/")</f>
        <v>https://www.nashp.org/2020-state-reopening-chart/</v>
      </c>
      <c r="H316" s="1"/>
      <c r="I316" s="1"/>
    </row>
    <row r="317">
      <c r="A317" s="2">
        <f>IFERROR(__xludf.DUMMYFUNCTION("""COMPUTED_VALUE"""),44155.0)</f>
        <v>44155</v>
      </c>
      <c r="B317" s="1" t="str">
        <f>IFERROR(__xludf.DUMMYFUNCTION("""COMPUTED_VALUE"""),"Kentucky")</f>
        <v>Kentucky</v>
      </c>
      <c r="C317" s="1" t="str">
        <f>IFERROR(__xludf.DUMMYFUNCTION("""COMPUTED_VALUE"""),"State Proclamations ")</f>
        <v>State Proclamations </v>
      </c>
      <c r="D317" s="1" t="str">
        <f>IFERROR(__xludf.DUMMYFUNCTION("""COMPUTED_VALUE"""),"Closing")</f>
        <v>Closing</v>
      </c>
      <c r="E317" s="1" t="str">
        <f>IFERROR(__xludf.DUMMYFUNCTION("""COMPUTED_VALUE"""),"The governor closed in-person instruction for public schools through the end of the year. The governor also closed in-person dining at restaurants and limited gym capacity to 33%. The governor also limited wedding attendance to 25 people and ordered profe"&amp;"ssional services to allow employees to work from home. Indoor social gatherings are limited to eight people from only two households.")</f>
        <v>The governor closed in-person instruction for public schools through the end of the year. The governor also closed in-person dining at restaurants and limited gym capacity to 33%. The governor also limited wedding attendance to 25 people and ordered professional services to allow employees to work from home. Indoor social gatherings are limited to eight people from only two households.</v>
      </c>
      <c r="F317" s="1" t="str">
        <f>IFERROR(__xludf.DUMMYFUNCTION("""COMPUTED_VALUE"""),"National Academy for State Health Policy")</f>
        <v>National Academy for State Health Policy</v>
      </c>
      <c r="G317" s="3" t="str">
        <f>IFERROR(__xludf.DUMMYFUNCTION("""COMPUTED_VALUE"""),"https://www.nashp.org/2020-state-reopening-chart/")</f>
        <v>https://www.nashp.org/2020-state-reopening-chart/</v>
      </c>
      <c r="H317" s="1"/>
      <c r="I317" s="1"/>
    </row>
    <row r="318">
      <c r="A318" s="2">
        <f>IFERROR(__xludf.DUMMYFUNCTION("""COMPUTED_VALUE"""),44179.0)</f>
        <v>44179</v>
      </c>
      <c r="B318" s="1" t="str">
        <f>IFERROR(__xludf.DUMMYFUNCTION("""COMPUTED_VALUE"""),"Kentucky")</f>
        <v>Kentucky</v>
      </c>
      <c r="C318" s="1" t="str">
        <f>IFERROR(__xludf.DUMMYFUNCTION("""COMPUTED_VALUE"""),"State Proclamations ")</f>
        <v>State Proclamations </v>
      </c>
      <c r="D318" s="1" t="str">
        <f>IFERROR(__xludf.DUMMYFUNCTION("""COMPUTED_VALUE"""),"Opening")</f>
        <v>Opening</v>
      </c>
      <c r="E318" s="1" t="str">
        <f>IFERROR(__xludf.DUMMYFUNCTION("""COMPUTED_VALUE"""),"Restaurants can resume indoor dining, and some businesses can return to 50% capacity.")</f>
        <v>Restaurants can resume indoor dining, and some businesses can return to 50% capacity.</v>
      </c>
      <c r="F318" s="1" t="str">
        <f>IFERROR(__xludf.DUMMYFUNCTION("""COMPUTED_VALUE"""),"National Academy for State Health Policy")</f>
        <v>National Academy for State Health Policy</v>
      </c>
      <c r="G318" s="3" t="str">
        <f>IFERROR(__xludf.DUMMYFUNCTION("""COMPUTED_VALUE"""),"https://www.nashp.org/2020-state-reopening-chart/")</f>
        <v>https://www.nashp.org/2020-state-reopening-chart/</v>
      </c>
      <c r="H318" s="1"/>
      <c r="I318" s="1"/>
    </row>
    <row r="319">
      <c r="A319" s="2">
        <f>IFERROR(__xludf.DUMMYFUNCTION("""COMPUTED_VALUE"""),44200.0)</f>
        <v>44200</v>
      </c>
      <c r="B319" s="1" t="str">
        <f>IFERROR(__xludf.DUMMYFUNCTION("""COMPUTED_VALUE"""),"Kentucky")</f>
        <v>Kentucky</v>
      </c>
      <c r="C319" s="1" t="str">
        <f>IFERROR(__xludf.DUMMYFUNCTION("""COMPUTED_VALUE"""),"State Proclamations ")</f>
        <v>State Proclamations </v>
      </c>
      <c r="D319" s="1" t="str">
        <f>IFERROR(__xludf.DUMMYFUNCTION("""COMPUTED_VALUE"""),"Opening")</f>
        <v>Opening</v>
      </c>
      <c r="E319" s="1" t="str">
        <f>IFERROR(__xludf.DUMMYFUNCTION("""COMPUTED_VALUE"""),"The state’s Healthy at School guidelines became mandatory and middle and high schools were allowed to reopen for in-person instruction. The guidelines include rules for social distancing, mask-wearing, sanitization, and other in-person activities.")</f>
        <v>The state’s Healthy at School guidelines became mandatory and middle and high schools were allowed to reopen for in-person instruction. The guidelines include rules for social distancing, mask-wearing, sanitization, and other in-person activities.</v>
      </c>
      <c r="F319" s="1" t="str">
        <f>IFERROR(__xludf.DUMMYFUNCTION("""COMPUTED_VALUE"""),"National Academy for State Health Policy")</f>
        <v>National Academy for State Health Policy</v>
      </c>
      <c r="G319" s="3" t="str">
        <f>IFERROR(__xludf.DUMMYFUNCTION("""COMPUTED_VALUE"""),"https://www.nashp.org/2021-covid-19-state-restrictions-re-openings-and-mask-requirements/")</f>
        <v>https://www.nashp.org/2021-covid-19-state-restrictions-re-openings-and-mask-requirements/</v>
      </c>
      <c r="H319" s="1"/>
      <c r="I319" s="1"/>
    </row>
    <row r="320">
      <c r="A320" s="2">
        <f>IFERROR(__xludf.DUMMYFUNCTION("""COMPUTED_VALUE"""),44256.0)</f>
        <v>44256</v>
      </c>
      <c r="B320" s="1" t="str">
        <f>IFERROR(__xludf.DUMMYFUNCTION("""COMPUTED_VALUE"""),"Kentucky")</f>
        <v>Kentucky</v>
      </c>
      <c r="C320" s="1" t="str">
        <f>IFERROR(__xludf.DUMMYFUNCTION("""COMPUTED_VALUE"""),"State Proclamations ")</f>
        <v>State Proclamations </v>
      </c>
      <c r="D320" s="1" t="str">
        <f>IFERROR(__xludf.DUMMYFUNCTION("""COMPUTED_VALUE"""),"Opening")</f>
        <v>Opening</v>
      </c>
      <c r="E320" s="1" t="str">
        <f>IFERROR(__xludf.DUMMYFUNCTION("""COMPUTED_VALUE"""),"School districts and private schools are recommended by the governor to start offering some form of in-person instruction.")</f>
        <v>School districts and private schools are recommended by the governor to start offering some form of in-person instruction.</v>
      </c>
      <c r="F320" s="1" t="str">
        <f>IFERROR(__xludf.DUMMYFUNCTION("""COMPUTED_VALUE"""),"National Academy for State Health Policy")</f>
        <v>National Academy for State Health Policy</v>
      </c>
      <c r="G320" s="3" t="str">
        <f>IFERROR(__xludf.DUMMYFUNCTION("""COMPUTED_VALUE"""),"https://www.nashp.org/2021-covid-19-state-restrictions-re-openings-and-mask-requirements/")</f>
        <v>https://www.nashp.org/2021-covid-19-state-restrictions-re-openings-and-mask-requirements/</v>
      </c>
      <c r="H320" s="1"/>
      <c r="I320" s="1"/>
    </row>
    <row r="321">
      <c r="A321" s="2">
        <f>IFERROR(__xludf.DUMMYFUNCTION("""COMPUTED_VALUE"""),44257.0)</f>
        <v>44257</v>
      </c>
      <c r="B321" s="1" t="str">
        <f>IFERROR(__xludf.DUMMYFUNCTION("""COMPUTED_VALUE"""),"Kentucky")</f>
        <v>Kentucky</v>
      </c>
      <c r="C321" s="1" t="str">
        <f>IFERROR(__xludf.DUMMYFUNCTION("""COMPUTED_VALUE"""),"State Proclamations ")</f>
        <v>State Proclamations </v>
      </c>
      <c r="D321" s="1" t="str">
        <f>IFERROR(__xludf.DUMMYFUNCTION("""COMPUTED_VALUE"""),"Opening")</f>
        <v>Opening</v>
      </c>
      <c r="E321" s="1" t="str">
        <f>IFERROR(__xludf.DUMMYFUNCTION("""COMPUTED_VALUE"""),"Sixteen different industries - including bars and restaurants, barbershops, bowling alleys, movie theaters, and fitness centers - can expand operations to 60% capacity.")</f>
        <v>Sixteen different industries - including bars and restaurants, barbershops, bowling alleys, movie theaters, and fitness centers - can expand operations to 60% capacity.</v>
      </c>
      <c r="F321" s="1" t="str">
        <f>IFERROR(__xludf.DUMMYFUNCTION("""COMPUTED_VALUE"""),"National Academy for State Health Policy")</f>
        <v>National Academy for State Health Policy</v>
      </c>
      <c r="G321" s="3" t="str">
        <f>IFERROR(__xludf.DUMMYFUNCTION("""COMPUTED_VALUE"""),"https://www.nashp.org/2021-covid-19-state-restrictions-re-openings-and-mask-requirements/")</f>
        <v>https://www.nashp.org/2021-covid-19-state-restrictions-re-openings-and-mask-requirements/</v>
      </c>
      <c r="H321" s="1"/>
      <c r="I321" s="1"/>
    </row>
    <row r="322">
      <c r="A322" s="2">
        <f>IFERROR(__xludf.DUMMYFUNCTION("""COMPUTED_VALUE"""),44284.0)</f>
        <v>44284</v>
      </c>
      <c r="B322" s="1" t="str">
        <f>IFERROR(__xludf.DUMMYFUNCTION("""COMPUTED_VALUE"""),"Kentucky")</f>
        <v>Kentucky</v>
      </c>
      <c r="C322" s="1" t="str">
        <f>IFERROR(__xludf.DUMMYFUNCTION("""COMPUTED_VALUE"""),"State Proclamations ")</f>
        <v>State Proclamations </v>
      </c>
      <c r="D322" s="1" t="str">
        <f>IFERROR(__xludf.DUMMYFUNCTION("""COMPUTED_VALUE"""),"Opening")</f>
        <v>Opening</v>
      </c>
      <c r="E322" s="1" t="str">
        <f>IFERROR(__xludf.DUMMYFUNCTION("""COMPUTED_VALUE"""),"Public schools are required to offer at least two days of in-person instruction each week. Parents can still keep their children in fully remote learning.")</f>
        <v>Public schools are required to offer at least two days of in-person instruction each week. Parents can still keep their children in fully remote learning.</v>
      </c>
      <c r="F322" s="1" t="str">
        <f>IFERROR(__xludf.DUMMYFUNCTION("""COMPUTED_VALUE"""),"National Academy for State Health Policy")</f>
        <v>National Academy for State Health Policy</v>
      </c>
      <c r="G322" s="3" t="str">
        <f>IFERROR(__xludf.DUMMYFUNCTION("""COMPUTED_VALUE"""),"https://www.nashp.org/2021-covid-19-state-restrictions-re-openings-and-mask-requirements/")</f>
        <v>https://www.nashp.org/2021-covid-19-state-restrictions-re-openings-and-mask-requirements/</v>
      </c>
      <c r="H322" s="1"/>
      <c r="I322" s="1"/>
    </row>
    <row r="323">
      <c r="A323" s="2">
        <f>IFERROR(__xludf.DUMMYFUNCTION("""COMPUTED_VALUE"""),44298.0)</f>
        <v>44298</v>
      </c>
      <c r="B323" s="1" t="str">
        <f>IFERROR(__xludf.DUMMYFUNCTION("""COMPUTED_VALUE"""),"Kentucky")</f>
        <v>Kentucky</v>
      </c>
      <c r="C323" s="1" t="str">
        <f>IFERROR(__xludf.DUMMYFUNCTION("""COMPUTED_VALUE"""),"State Proclamations ")</f>
        <v>State Proclamations </v>
      </c>
      <c r="D323" s="1" t="str">
        <f>IFERROR(__xludf.DUMMYFUNCTION("""COMPUTED_VALUE"""),"Opening")</f>
        <v>Opening</v>
      </c>
      <c r="E323" s="1" t="str">
        <f>IFERROR(__xludf.DUMMYFUNCTION("""COMPUTED_VALUE"""),"Gov. Andy Beshear announced that once 2.5 million residents are vaccinated, capacity restrictions will be lifted for businesses and venues where fewer than 1,000 people gather and the midnight curfew on restaurants and bars will end.")</f>
        <v>Gov. Andy Beshear announced that once 2.5 million residents are vaccinated, capacity restrictions will be lifted for businesses and venues where fewer than 1,000 people gather and the midnight curfew on restaurants and bars will end.</v>
      </c>
      <c r="F323" s="1" t="str">
        <f>IFERROR(__xludf.DUMMYFUNCTION("""COMPUTED_VALUE"""),"National Academy for State Health Policy")</f>
        <v>National Academy for State Health Policy</v>
      </c>
      <c r="G323" s="3" t="str">
        <f>IFERROR(__xludf.DUMMYFUNCTION("""COMPUTED_VALUE"""),"https://www.nashp.org/2021-covid-19-state-restrictions-re-openings-and-mask-requirements/")</f>
        <v>https://www.nashp.org/2021-covid-19-state-restrictions-re-openings-and-mask-requirements/</v>
      </c>
      <c r="H323" s="1"/>
      <c r="I323" s="1"/>
    </row>
    <row r="324">
      <c r="A324" s="2">
        <f>IFERROR(__xludf.DUMMYFUNCTION("""COMPUTED_VALUE"""),44344.0)</f>
        <v>44344</v>
      </c>
      <c r="B324" s="1" t="str">
        <f>IFERROR(__xludf.DUMMYFUNCTION("""COMPUTED_VALUE"""),"Kentucky")</f>
        <v>Kentucky</v>
      </c>
      <c r="C324" s="1" t="str">
        <f>IFERROR(__xludf.DUMMYFUNCTION("""COMPUTED_VALUE"""),"State Proclamations ")</f>
        <v>State Proclamations </v>
      </c>
      <c r="D324" s="1" t="str">
        <f>IFERROR(__xludf.DUMMYFUNCTION("""COMPUTED_VALUE"""),"Opening")</f>
        <v>Opening</v>
      </c>
      <c r="E324" s="1" t="str">
        <f>IFERROR(__xludf.DUMMYFUNCTION("""COMPUTED_VALUE"""),"All events and businesses serving fewer than 1,000 people at once can expand to 75% capacity, and indoor and outdoor venues with more than 1,000 people can expand to 60% capacity.")</f>
        <v>All events and businesses serving fewer than 1,000 people at once can expand to 75% capacity, and indoor and outdoor venues with more than 1,000 people can expand to 60% capacity.</v>
      </c>
      <c r="F324" s="1" t="str">
        <f>IFERROR(__xludf.DUMMYFUNCTION("""COMPUTED_VALUE"""),"National Academy for State Health Policy")</f>
        <v>National Academy for State Health Policy</v>
      </c>
      <c r="G324" s="3" t="str">
        <f>IFERROR(__xludf.DUMMYFUNCTION("""COMPUTED_VALUE"""),"https://www.nashp.org/2021-covid-19-state-restrictions-re-openings-and-mask-requirements/")</f>
        <v>https://www.nashp.org/2021-covid-19-state-restrictions-re-openings-and-mask-requirements/</v>
      </c>
      <c r="H324" s="1"/>
      <c r="I324" s="1"/>
    </row>
    <row r="325">
      <c r="A325" s="2">
        <f>IFERROR(__xludf.DUMMYFUNCTION("""COMPUTED_VALUE"""),44358.0)</f>
        <v>44358</v>
      </c>
      <c r="B325" s="1" t="str">
        <f>IFERROR(__xludf.DUMMYFUNCTION("""COMPUTED_VALUE"""),"Kentucky")</f>
        <v>Kentucky</v>
      </c>
      <c r="C325" s="1" t="str">
        <f>IFERROR(__xludf.DUMMYFUNCTION("""COMPUTED_VALUE"""),"Mask Mandate")</f>
        <v>Mask Mandate</v>
      </c>
      <c r="D325" s="1" t="str">
        <f>IFERROR(__xludf.DUMMYFUNCTION("""COMPUTED_VALUE"""),"End")</f>
        <v>End</v>
      </c>
      <c r="E325" s="1" t="str">
        <f>IFERROR(__xludf.DUMMYFUNCTION("""COMPUTED_VALUE"""),"On June 11, the governor lifted the mask mandate")</f>
        <v>On June 11, the governor lifted the mask mandate</v>
      </c>
      <c r="F325" s="1" t="str">
        <f>IFERROR(__xludf.DUMMYFUNCTION("""COMPUTED_VALUE"""),"National Academy for State Health Policy")</f>
        <v>National Academy for State Health Policy</v>
      </c>
      <c r="G325" s="3" t="str">
        <f>IFERROR(__xludf.DUMMYFUNCTION("""COMPUTED_VALUE"""),"https://www.nashp.org/2021-covid-19-state-restrictions-re-openings-and-mask-requirements/")</f>
        <v>https://www.nashp.org/2021-covid-19-state-restrictions-re-openings-and-mask-requirements/</v>
      </c>
      <c r="H325" s="1"/>
      <c r="I325" s="1"/>
    </row>
    <row r="326">
      <c r="A326" s="2">
        <f>IFERROR(__xludf.DUMMYFUNCTION("""COMPUTED_VALUE"""),44358.0)</f>
        <v>44358</v>
      </c>
      <c r="B326" s="1" t="str">
        <f>IFERROR(__xludf.DUMMYFUNCTION("""COMPUTED_VALUE"""),"Kentucky")</f>
        <v>Kentucky</v>
      </c>
      <c r="C326" s="1" t="str">
        <f>IFERROR(__xludf.DUMMYFUNCTION("""COMPUTED_VALUE"""),"State Proclamations ")</f>
        <v>State Proclamations </v>
      </c>
      <c r="D326" s="1" t="str">
        <f>IFERROR(__xludf.DUMMYFUNCTION("""COMPUTED_VALUE"""),"Opening")</f>
        <v>Opening</v>
      </c>
      <c r="E326" s="1" t="str">
        <f>IFERROR(__xludf.DUMMYFUNCTION("""COMPUTED_VALUE"""),"All social distancing requirements and business capacity restrictions ended.")</f>
        <v>All social distancing requirements and business capacity restrictions ended.</v>
      </c>
      <c r="F326" s="1" t="str">
        <f>IFERROR(__xludf.DUMMYFUNCTION("""COMPUTED_VALUE"""),"National Academy for State Health Policy")</f>
        <v>National Academy for State Health Policy</v>
      </c>
      <c r="G326" s="3" t="str">
        <f>IFERROR(__xludf.DUMMYFUNCTION("""COMPUTED_VALUE"""),"https://www.nashp.org/2021-covid-19-state-restrictions-re-openings-and-mask-requirements/")</f>
        <v>https://www.nashp.org/2021-covid-19-state-restrictions-re-openings-and-mask-requirements/</v>
      </c>
      <c r="H326" s="1"/>
      <c r="I326" s="1"/>
    </row>
    <row r="327">
      <c r="A327" s="2">
        <f>IFERROR(__xludf.DUMMYFUNCTION("""COMPUTED_VALUE"""),44406.0)</f>
        <v>44406</v>
      </c>
      <c r="B327" s="1" t="str">
        <f>IFERROR(__xludf.DUMMYFUNCTION("""COMPUTED_VALUE"""),"Kentucky")</f>
        <v>Kentucky</v>
      </c>
      <c r="C327" s="1" t="str">
        <f>IFERROR(__xludf.DUMMYFUNCTION("""COMPUTED_VALUE"""),"Mask Mandate")</f>
        <v>Mask Mandate</v>
      </c>
      <c r="D327" s="1" t="str">
        <f>IFERROR(__xludf.DUMMYFUNCTION("""COMPUTED_VALUE"""),"Start")</f>
        <v>Start</v>
      </c>
      <c r="E327" s="1" t="str">
        <f>IFERROR(__xludf.DUMMYFUNCTION("""COMPUTED_VALUE"""),"On July 29, the Governor adopted an indoor mask mandate in state buildings, including for employees and visitors")</f>
        <v>On July 29, the Governor adopted an indoor mask mandate in state buildings, including for employees and visitors</v>
      </c>
      <c r="F327" s="1" t="str">
        <f>IFERROR(__xludf.DUMMYFUNCTION("""COMPUTED_VALUE"""),"National Academy for State Health Policy")</f>
        <v>National Academy for State Health Policy</v>
      </c>
      <c r="G327" s="3" t="str">
        <f>IFERROR(__xludf.DUMMYFUNCTION("""COMPUTED_VALUE"""),"https://www.nashp.org/2021-covid-19-state-restrictions-re-openings-and-mask-requirements/")</f>
        <v>https://www.nashp.org/2021-covid-19-state-restrictions-re-openings-and-mask-requirements/</v>
      </c>
      <c r="H327" s="1"/>
      <c r="I327" s="1"/>
    </row>
    <row r="328">
      <c r="A328" s="2">
        <f>IFERROR(__xludf.DUMMYFUNCTION("""COMPUTED_VALUE"""),43901.0)</f>
        <v>43901</v>
      </c>
      <c r="B328" s="1" t="str">
        <f>IFERROR(__xludf.DUMMYFUNCTION("""COMPUTED_VALUE"""),"Louisiana")</f>
        <v>Louisiana</v>
      </c>
      <c r="C328" s="1" t="str">
        <f>IFERROR(__xludf.DUMMYFUNCTION("""COMPUTED_VALUE"""),"State of Emergency")</f>
        <v>State of Emergency</v>
      </c>
      <c r="D328" s="1" t="str">
        <f>IFERROR(__xludf.DUMMYFUNCTION("""COMPUTED_VALUE"""),"Start")</f>
        <v>Start</v>
      </c>
      <c r="E328" s="1" t="str">
        <f>IFERROR(__xludf.DUMMYFUNCTION("""COMPUTED_VALUE"""),"Gov. John Bel Edwards signed a state of emergency on March 11.")</f>
        <v>Gov. John Bel Edwards signed a state of emergency on March 11.</v>
      </c>
      <c r="F328" s="1" t="str">
        <f>IFERROR(__xludf.DUMMYFUNCTION("""COMPUTED_VALUE"""),"Business Insider")</f>
        <v>Business Insider</v>
      </c>
      <c r="G328" s="3" t="str">
        <f>IFERROR(__xludf.DUMMYFUNCTION("""COMPUTED_VALUE"""),"https://www.businessinsider.com/california-washington-state-of-emergency-coronavirus-what-it-means-2020-3#louisiana-21")</f>
        <v>https://www.businessinsider.com/california-washington-state-of-emergency-coronavirus-what-it-means-2020-3#louisiana-21</v>
      </c>
      <c r="H328" s="1"/>
      <c r="I328" s="1"/>
    </row>
    <row r="329">
      <c r="A329" s="2">
        <f>IFERROR(__xludf.DUMMYFUNCTION("""COMPUTED_VALUE"""),43912.0)</f>
        <v>43912</v>
      </c>
      <c r="B329" s="1" t="str">
        <f>IFERROR(__xludf.DUMMYFUNCTION("""COMPUTED_VALUE"""),"Louisiana")</f>
        <v>Louisiana</v>
      </c>
      <c r="C329" s="1" t="str">
        <f>IFERROR(__xludf.DUMMYFUNCTION("""COMPUTED_VALUE"""),"Stay-at-Home Order")</f>
        <v>Stay-at-Home Order</v>
      </c>
      <c r="D329" s="1" t="str">
        <f>IFERROR(__xludf.DUMMYFUNCTION("""COMPUTED_VALUE"""),"Start")</f>
        <v>Start</v>
      </c>
      <c r="E329" s="1" t="str">
        <f>IFERROR(__xludf.DUMMYFUNCTION("""COMPUTED_VALUE"""),"Original stay-at-home order begins")</f>
        <v>Original stay-at-home order begins</v>
      </c>
      <c r="F329" s="1" t="str">
        <f>IFERROR(__xludf.DUMMYFUNCTION("""COMPUTED_VALUE"""),"National Academy for State Health Policy")</f>
        <v>National Academy for State Health Policy</v>
      </c>
      <c r="G329" s="3" t="str">
        <f>IFERROR(__xludf.DUMMYFUNCTION("""COMPUTED_VALUE"""),"https://www.nashp.org/2020-state-reopening-chart/")</f>
        <v>https://www.nashp.org/2020-state-reopening-chart/</v>
      </c>
      <c r="H329" s="1"/>
      <c r="I329" s="1"/>
    </row>
    <row r="330">
      <c r="A330" s="2">
        <f>IFERROR(__xludf.DUMMYFUNCTION("""COMPUTED_VALUE"""),43966.0)</f>
        <v>43966</v>
      </c>
      <c r="B330" s="1" t="str">
        <f>IFERROR(__xludf.DUMMYFUNCTION("""COMPUTED_VALUE"""),"Louisiana")</f>
        <v>Louisiana</v>
      </c>
      <c r="C330" s="1" t="str">
        <f>IFERROR(__xludf.DUMMYFUNCTION("""COMPUTED_VALUE"""),"Stay-at-Home Order")</f>
        <v>Stay-at-Home Order</v>
      </c>
      <c r="D330" s="1" t="str">
        <f>IFERROR(__xludf.DUMMYFUNCTION("""COMPUTED_VALUE"""),"End")</f>
        <v>End</v>
      </c>
      <c r="E330" s="1" t="str">
        <f>IFERROR(__xludf.DUMMYFUNCTION("""COMPUTED_VALUE"""),"Original stay-at-home order ends")</f>
        <v>Original stay-at-home order ends</v>
      </c>
      <c r="F330" s="1" t="str">
        <f>IFERROR(__xludf.DUMMYFUNCTION("""COMPUTED_VALUE"""),"National Academy for State Health Policy")</f>
        <v>National Academy for State Health Policy</v>
      </c>
      <c r="G330" s="3" t="str">
        <f>IFERROR(__xludf.DUMMYFUNCTION("""COMPUTED_VALUE"""),"https://www.nashp.org/2020-state-reopening-chart/")</f>
        <v>https://www.nashp.org/2020-state-reopening-chart/</v>
      </c>
      <c r="H330" s="1"/>
      <c r="I330" s="1"/>
    </row>
    <row r="331">
      <c r="A331" s="2">
        <f>IFERROR(__xludf.DUMMYFUNCTION("""COMPUTED_VALUE"""),43966.0)</f>
        <v>43966</v>
      </c>
      <c r="B331" s="1" t="str">
        <f>IFERROR(__xludf.DUMMYFUNCTION("""COMPUTED_VALUE"""),"Louisiana")</f>
        <v>Louisiana</v>
      </c>
      <c r="C331" s="1" t="str">
        <f>IFERROR(__xludf.DUMMYFUNCTION("""COMPUTED_VALUE"""),"State Proclamations ")</f>
        <v>State Proclamations </v>
      </c>
      <c r="D331" s="1" t="str">
        <f>IFERROR(__xludf.DUMMYFUNCTION("""COMPUTED_VALUE"""),"Opening")</f>
        <v>Opening</v>
      </c>
      <c r="E331" s="1" t="str">
        <f>IFERROR(__xludf.DUMMYFUNCTION("""COMPUTED_VALUE"""),"Louisiana has opened retail stores, malls, personal care services, houses of worship, movie theaters, casinos, gyms, bowling alleys, and pools. Nonessential medical procedures resumed April 27, 2020.")</f>
        <v>Louisiana has opened retail stores, malls, personal care services, houses of worship, movie theaters, casinos, gyms, bowling alleys, and pools. Nonessential medical procedures resumed April 27, 2020.</v>
      </c>
      <c r="F331" s="1" t="str">
        <f>IFERROR(__xludf.DUMMYFUNCTION("""COMPUTED_VALUE"""),"National Academy for State Health Policy")</f>
        <v>National Academy for State Health Policy</v>
      </c>
      <c r="G331" s="3" t="str">
        <f>IFERROR(__xludf.DUMMYFUNCTION("""COMPUTED_VALUE"""),"https://www.nashp.org/2020-state-reopening-chart/")</f>
        <v>https://www.nashp.org/2020-state-reopening-chart/</v>
      </c>
      <c r="H331" s="1"/>
      <c r="I331" s="1"/>
    </row>
    <row r="332">
      <c r="A332" s="2">
        <f>IFERROR(__xludf.DUMMYFUNCTION("""COMPUTED_VALUE"""),43977.0)</f>
        <v>43977</v>
      </c>
      <c r="B332" s="1" t="str">
        <f>IFERROR(__xludf.DUMMYFUNCTION("""COMPUTED_VALUE"""),"Louisiana")</f>
        <v>Louisiana</v>
      </c>
      <c r="C332" s="1" t="str">
        <f>IFERROR(__xludf.DUMMYFUNCTION("""COMPUTED_VALUE"""),"State Proclamations ")</f>
        <v>State Proclamations </v>
      </c>
      <c r="D332" s="1" t="str">
        <f>IFERROR(__xludf.DUMMYFUNCTION("""COMPUTED_VALUE"""),"Opening")</f>
        <v>Opening</v>
      </c>
      <c r="E332" s="1" t="str">
        <f>IFERROR(__xludf.DUMMYFUNCTION("""COMPUTED_VALUE"""),"All limits on bars, live music venues, and other state-defined large events and gatherings ended")</f>
        <v>All limits on bars, live music venues, and other state-defined large events and gatherings ended</v>
      </c>
      <c r="F332" s="1" t="str">
        <f>IFERROR(__xludf.DUMMYFUNCTION("""COMPUTED_VALUE"""),"National Academy for State Health Policy")</f>
        <v>National Academy for State Health Policy</v>
      </c>
      <c r="G332" s="3" t="str">
        <f>IFERROR(__xludf.DUMMYFUNCTION("""COMPUTED_VALUE"""),"https://www.nashp.org/2021-covid-19-state-restrictions-re-openings-and-mask-requirements/")</f>
        <v>https://www.nashp.org/2021-covid-19-state-restrictions-re-openings-and-mask-requirements/</v>
      </c>
      <c r="H332" s="1"/>
      <c r="I332" s="1"/>
    </row>
    <row r="333">
      <c r="A333" s="2">
        <f>IFERROR(__xludf.DUMMYFUNCTION("""COMPUTED_VALUE"""),43987.0)</f>
        <v>43987</v>
      </c>
      <c r="B333" s="1" t="str">
        <f>IFERROR(__xludf.DUMMYFUNCTION("""COMPUTED_VALUE"""),"Louisiana")</f>
        <v>Louisiana</v>
      </c>
      <c r="C333" s="1" t="str">
        <f>IFERROR(__xludf.DUMMYFUNCTION("""COMPUTED_VALUE"""),"State Proclamations ")</f>
        <v>State Proclamations </v>
      </c>
      <c r="D333" s="1" t="str">
        <f>IFERROR(__xludf.DUMMYFUNCTION("""COMPUTED_VALUE"""),"Opening")</f>
        <v>Opening</v>
      </c>
      <c r="E333" s="1" t="str">
        <f>IFERROR(__xludf.DUMMYFUNCTION("""COMPUTED_VALUE"""),"Restaurants, bars that serve food, barber shops, salons, and gyms reopened. Churches could open at 50% capacity.")</f>
        <v>Restaurants, bars that serve food, barber shops, salons, and gyms reopened. Churches could open at 50% capacity.</v>
      </c>
      <c r="F333" s="1" t="str">
        <f>IFERROR(__xludf.DUMMYFUNCTION("""COMPUTED_VALUE"""),"National Academy for State Health Policy")</f>
        <v>National Academy for State Health Policy</v>
      </c>
      <c r="G333" s="3" t="str">
        <f>IFERROR(__xludf.DUMMYFUNCTION("""COMPUTED_VALUE"""),"https://www.nashp.org/2020-state-reopening-chart/")</f>
        <v>https://www.nashp.org/2020-state-reopening-chart/</v>
      </c>
      <c r="H333" s="1"/>
      <c r="I333" s="1"/>
    </row>
    <row r="334">
      <c r="A334" s="2">
        <f>IFERROR(__xludf.DUMMYFUNCTION("""COMPUTED_VALUE"""),44004.0)</f>
        <v>44004</v>
      </c>
      <c r="B334" s="1" t="str">
        <f>IFERROR(__xludf.DUMMYFUNCTION("""COMPUTED_VALUE"""),"Louisiana")</f>
        <v>Louisiana</v>
      </c>
      <c r="C334" s="1" t="str">
        <f>IFERROR(__xludf.DUMMYFUNCTION("""COMPUTED_VALUE"""),"State Proclamations ")</f>
        <v>State Proclamations </v>
      </c>
      <c r="D334" s="1" t="str">
        <f>IFERROR(__xludf.DUMMYFUNCTION("""COMPUTED_VALUE"""),"Closing")</f>
        <v>Closing</v>
      </c>
      <c r="E334" s="1" t="str">
        <f>IFERROR(__xludf.DUMMYFUNCTION("""COMPUTED_VALUE"""),"Due to an increase in new cases, the governor delayed the state’s next phase of reopening. The state will remain in Phase 2.")</f>
        <v>Due to an increase in new cases, the governor delayed the state’s next phase of reopening. The state will remain in Phase 2.</v>
      </c>
      <c r="F334" s="1" t="str">
        <f>IFERROR(__xludf.DUMMYFUNCTION("""COMPUTED_VALUE"""),"National Academy for State Health Policy")</f>
        <v>National Academy for State Health Policy</v>
      </c>
      <c r="G334" s="3" t="str">
        <f>IFERROR(__xludf.DUMMYFUNCTION("""COMPUTED_VALUE"""),"https://www.nashp.org/2020-state-reopening-chart/")</f>
        <v>https://www.nashp.org/2020-state-reopening-chart/</v>
      </c>
      <c r="H334" s="1"/>
      <c r="I334" s="1"/>
    </row>
    <row r="335">
      <c r="A335" s="2">
        <f>IFERROR(__xludf.DUMMYFUNCTION("""COMPUTED_VALUE"""),44023.0)</f>
        <v>44023</v>
      </c>
      <c r="B335" s="1" t="str">
        <f>IFERROR(__xludf.DUMMYFUNCTION("""COMPUTED_VALUE"""),"Louisiana")</f>
        <v>Louisiana</v>
      </c>
      <c r="C335" s="1" t="str">
        <f>IFERROR(__xludf.DUMMYFUNCTION("""COMPUTED_VALUE"""),"State Proclamations ")</f>
        <v>State Proclamations </v>
      </c>
      <c r="D335" s="1" t="str">
        <f>IFERROR(__xludf.DUMMYFUNCTION("""COMPUTED_VALUE"""),"Closing")</f>
        <v>Closing</v>
      </c>
      <c r="E335" s="1" t="str">
        <f>IFERROR(__xludf.DUMMYFUNCTION("""COMPUTED_VALUE"""),"Bars closed for in-person service. Gathering person-limit lowered from 250 to 50.")</f>
        <v>Bars closed for in-person service. Gathering person-limit lowered from 250 to 50.</v>
      </c>
      <c r="F335" s="1" t="str">
        <f>IFERROR(__xludf.DUMMYFUNCTION("""COMPUTED_VALUE"""),"National Academy for State Health Policy")</f>
        <v>National Academy for State Health Policy</v>
      </c>
      <c r="G335" s="3" t="str">
        <f>IFERROR(__xludf.DUMMYFUNCTION("""COMPUTED_VALUE"""),"https://www.nashp.org/2020-state-reopening-chart/")</f>
        <v>https://www.nashp.org/2020-state-reopening-chart/</v>
      </c>
      <c r="H335" s="1"/>
      <c r="I335" s="1"/>
    </row>
    <row r="336">
      <c r="A336" s="2">
        <f>IFERROR(__xludf.DUMMYFUNCTION("""COMPUTED_VALUE"""),44025.0)</f>
        <v>44025</v>
      </c>
      <c r="B336" s="1" t="str">
        <f>IFERROR(__xludf.DUMMYFUNCTION("""COMPUTED_VALUE"""),"Louisiana")</f>
        <v>Louisiana</v>
      </c>
      <c r="C336" s="1" t="str">
        <f>IFERROR(__xludf.DUMMYFUNCTION("""COMPUTED_VALUE"""),"Mask Mandate")</f>
        <v>Mask Mandate</v>
      </c>
      <c r="D336" s="1" t="str">
        <f>IFERROR(__xludf.DUMMYFUNCTION("""COMPUTED_VALUE"""),"Start")</f>
        <v>Start</v>
      </c>
      <c r="E336" s="1" t="str">
        <f>IFERROR(__xludf.DUMMYFUNCTION("""COMPUTED_VALUE"""),"Gov. John Bel Edwards announced a statewide mask order for everyone 8 years and older.")</f>
        <v>Gov. John Bel Edwards announced a statewide mask order for everyone 8 years and older.</v>
      </c>
      <c r="F336" s="1" t="str">
        <f>IFERROR(__xludf.DUMMYFUNCTION("""COMPUTED_VALUE"""),"CNN")</f>
        <v>CNN</v>
      </c>
      <c r="G336" s="3" t="str">
        <f>IFERROR(__xludf.DUMMYFUNCTION("""COMPUTED_VALUE"""),"https://www.cnn.com/2020/06/19/us/states-face-mask-coronavirus-trnd/index.html")</f>
        <v>https://www.cnn.com/2020/06/19/us/states-face-mask-coronavirus-trnd/index.html</v>
      </c>
      <c r="H336" s="1"/>
      <c r="I336" s="1"/>
    </row>
    <row r="337">
      <c r="A337" s="2">
        <f>IFERROR(__xludf.DUMMYFUNCTION("""COMPUTED_VALUE"""),44033.0)</f>
        <v>44033</v>
      </c>
      <c r="B337" s="1" t="str">
        <f>IFERROR(__xludf.DUMMYFUNCTION("""COMPUTED_VALUE"""),"Louisiana")</f>
        <v>Louisiana</v>
      </c>
      <c r="C337" s="1" t="str">
        <f>IFERROR(__xludf.DUMMYFUNCTION("""COMPUTED_VALUE"""),"State Proclamations ")</f>
        <v>State Proclamations </v>
      </c>
      <c r="D337" s="1" t="str">
        <f>IFERROR(__xludf.DUMMYFUNCTION("""COMPUTED_VALUE"""),"Closing")</f>
        <v>Closing</v>
      </c>
      <c r="E337" s="1" t="str">
        <f>IFERROR(__xludf.DUMMYFUNCTION("""COMPUTED_VALUE"""),"The governor announced that the state will remain in Phase 2 for at least two more weeks.")</f>
        <v>The governor announced that the state will remain in Phase 2 for at least two more weeks.</v>
      </c>
      <c r="F337" s="1" t="str">
        <f>IFERROR(__xludf.DUMMYFUNCTION("""COMPUTED_VALUE"""),"National Academy for State Health Policy")</f>
        <v>National Academy for State Health Policy</v>
      </c>
      <c r="G337" s="3" t="str">
        <f>IFERROR(__xludf.DUMMYFUNCTION("""COMPUTED_VALUE"""),"https://www.nashp.org/2020-state-reopening-chart/")</f>
        <v>https://www.nashp.org/2020-state-reopening-chart/</v>
      </c>
      <c r="H337" s="1"/>
      <c r="I337" s="1"/>
    </row>
    <row r="338">
      <c r="A338" s="2">
        <f>IFERROR(__xludf.DUMMYFUNCTION("""COMPUTED_VALUE"""),44047.0)</f>
        <v>44047</v>
      </c>
      <c r="B338" s="1" t="str">
        <f>IFERROR(__xludf.DUMMYFUNCTION("""COMPUTED_VALUE"""),"Louisiana")</f>
        <v>Louisiana</v>
      </c>
      <c r="C338" s="1" t="str">
        <f>IFERROR(__xludf.DUMMYFUNCTION("""COMPUTED_VALUE"""),"State Proclamations ")</f>
        <v>State Proclamations </v>
      </c>
      <c r="D338" s="1" t="str">
        <f>IFERROR(__xludf.DUMMYFUNCTION("""COMPUTED_VALUE"""),"Closing")</f>
        <v>Closing</v>
      </c>
      <c r="E338" s="1" t="str">
        <f>IFERROR(__xludf.DUMMYFUNCTION("""COMPUTED_VALUE"""),"The governor annouced that the state will remain in Phase 2 for an additional three weeks.")</f>
        <v>The governor annouced that the state will remain in Phase 2 for an additional three weeks.</v>
      </c>
      <c r="F338" s="1" t="str">
        <f>IFERROR(__xludf.DUMMYFUNCTION("""COMPUTED_VALUE"""),"National Academy for State Health Policy")</f>
        <v>National Academy for State Health Policy</v>
      </c>
      <c r="G338" s="3" t="str">
        <f>IFERROR(__xludf.DUMMYFUNCTION("""COMPUTED_VALUE"""),"https://www.nashp.org/2020-state-reopening-chart/")</f>
        <v>https://www.nashp.org/2020-state-reopening-chart/</v>
      </c>
      <c r="H338" s="1"/>
      <c r="I338" s="1"/>
    </row>
    <row r="339">
      <c r="A339" s="2">
        <f>IFERROR(__xludf.DUMMYFUNCTION("""COMPUTED_VALUE"""),44069.0)</f>
        <v>44069</v>
      </c>
      <c r="B339" s="1" t="str">
        <f>IFERROR(__xludf.DUMMYFUNCTION("""COMPUTED_VALUE"""),"Louisiana")</f>
        <v>Louisiana</v>
      </c>
      <c r="C339" s="1" t="str">
        <f>IFERROR(__xludf.DUMMYFUNCTION("""COMPUTED_VALUE"""),"State Proclamations ")</f>
        <v>State Proclamations </v>
      </c>
      <c r="D339" s="1" t="str">
        <f>IFERROR(__xludf.DUMMYFUNCTION("""COMPUTED_VALUE"""),"Closing")</f>
        <v>Closing</v>
      </c>
      <c r="E339" s="1" t="str">
        <f>IFERROR(__xludf.DUMMYFUNCTION("""COMPUTED_VALUE"""),"The governor announced that the state will remain in Phase 2 until at least Sept. 11, 2020.")</f>
        <v>The governor announced that the state will remain in Phase 2 until at least Sept. 11, 2020.</v>
      </c>
      <c r="F339" s="1" t="str">
        <f>IFERROR(__xludf.DUMMYFUNCTION("""COMPUTED_VALUE"""),"National Academy for State Health Policy")</f>
        <v>National Academy for State Health Policy</v>
      </c>
      <c r="G339" s="3" t="str">
        <f>IFERROR(__xludf.DUMMYFUNCTION("""COMPUTED_VALUE"""),"https://www.nashp.org/2020-state-reopening-chart/")</f>
        <v>https://www.nashp.org/2020-state-reopening-chart/</v>
      </c>
      <c r="H339" s="1"/>
      <c r="I339" s="1"/>
    </row>
    <row r="340">
      <c r="A340" s="2">
        <f>IFERROR(__xludf.DUMMYFUNCTION("""COMPUTED_VALUE"""),44084.0)</f>
        <v>44084</v>
      </c>
      <c r="B340" s="1" t="str">
        <f>IFERROR(__xludf.DUMMYFUNCTION("""COMPUTED_VALUE"""),"Louisiana")</f>
        <v>Louisiana</v>
      </c>
      <c r="C340" s="1" t="str">
        <f>IFERROR(__xludf.DUMMYFUNCTION("""COMPUTED_VALUE"""),"State Proclamations ")</f>
        <v>State Proclamations </v>
      </c>
      <c r="D340" s="1" t="str">
        <f>IFERROR(__xludf.DUMMYFUNCTION("""COMPUTED_VALUE"""),"Opening")</f>
        <v>Opening</v>
      </c>
      <c r="E340" s="1" t="str">
        <f>IFERROR(__xludf.DUMMYFUNCTION("""COMPUTED_VALUE"""),"The governor announced the state will move to a modified Phase 3, which will loosen restrictions on restaurants, retail stores, schools, churches, and gyms. New Orleans will remain in Phase 2.")</f>
        <v>The governor announced the state will move to a modified Phase 3, which will loosen restrictions on restaurants, retail stores, schools, churches, and gyms. New Orleans will remain in Phase 2.</v>
      </c>
      <c r="F340" s="1" t="str">
        <f>IFERROR(__xludf.DUMMYFUNCTION("""COMPUTED_VALUE"""),"National Academy for State Health Policy")</f>
        <v>National Academy for State Health Policy</v>
      </c>
      <c r="G340" s="3" t="str">
        <f>IFERROR(__xludf.DUMMYFUNCTION("""COMPUTED_VALUE"""),"https://www.nashp.org/2020-state-reopening-chart/")</f>
        <v>https://www.nashp.org/2020-state-reopening-chart/</v>
      </c>
      <c r="H340" s="1"/>
      <c r="I340" s="1"/>
    </row>
    <row r="341">
      <c r="A341" s="2">
        <f>IFERROR(__xludf.DUMMYFUNCTION("""COMPUTED_VALUE"""),44092.0)</f>
        <v>44092</v>
      </c>
      <c r="B341" s="1" t="str">
        <f>IFERROR(__xludf.DUMMYFUNCTION("""COMPUTED_VALUE"""),"Louisiana")</f>
        <v>Louisiana</v>
      </c>
      <c r="C341" s="1" t="str">
        <f>IFERROR(__xludf.DUMMYFUNCTION("""COMPUTED_VALUE"""),"State Proclamations ")</f>
        <v>State Proclamations </v>
      </c>
      <c r="D341" s="1" t="str">
        <f>IFERROR(__xludf.DUMMYFUNCTION("""COMPUTED_VALUE"""),"Opening")</f>
        <v>Opening</v>
      </c>
      <c r="E341" s="1" t="str">
        <f>IFERROR(__xludf.DUMMYFUNCTION("""COMPUTED_VALUE"""),"Bars, restaurants, and casinos can extend on-premise consumption of alcoholic beverages to 11 p.m. in parishes where bars are allowed to reopen.")</f>
        <v>Bars, restaurants, and casinos can extend on-premise consumption of alcoholic beverages to 11 p.m. in parishes where bars are allowed to reopen.</v>
      </c>
      <c r="F341" s="1" t="str">
        <f>IFERROR(__xludf.DUMMYFUNCTION("""COMPUTED_VALUE"""),"National Academy for State Health Policy")</f>
        <v>National Academy for State Health Policy</v>
      </c>
      <c r="G341" s="3" t="str">
        <f>IFERROR(__xludf.DUMMYFUNCTION("""COMPUTED_VALUE"""),"https://www.nashp.org/2020-state-reopening-chart/")</f>
        <v>https://www.nashp.org/2020-state-reopening-chart/</v>
      </c>
      <c r="H341" s="1"/>
      <c r="I341" s="1"/>
    </row>
    <row r="342">
      <c r="A342" s="2">
        <f>IFERROR(__xludf.DUMMYFUNCTION("""COMPUTED_VALUE"""),44105.0)</f>
        <v>44105</v>
      </c>
      <c r="B342" s="1" t="str">
        <f>IFERROR(__xludf.DUMMYFUNCTION("""COMPUTED_VALUE"""),"Louisiana")</f>
        <v>Louisiana</v>
      </c>
      <c r="C342" s="1" t="str">
        <f>IFERROR(__xludf.DUMMYFUNCTION("""COMPUTED_VALUE"""),"State Proclamations ")</f>
        <v>State Proclamations </v>
      </c>
      <c r="D342" s="1" t="str">
        <f>IFERROR(__xludf.DUMMYFUNCTION("""COMPUTED_VALUE"""),"Opening")</f>
        <v>Opening</v>
      </c>
      <c r="E342" s="1" t="str">
        <f>IFERROR(__xludf.DUMMYFUNCTION("""COMPUTED_VALUE"""),"The governor announced that certain parishes qualifiy as eligible to reopen bars under state restrictions.")</f>
        <v>The governor announced that certain parishes qualifiy as eligible to reopen bars under state restrictions.</v>
      </c>
      <c r="F342" s="1" t="str">
        <f>IFERROR(__xludf.DUMMYFUNCTION("""COMPUTED_VALUE"""),"National Academy for State Health Policy")</f>
        <v>National Academy for State Health Policy</v>
      </c>
      <c r="G342" s="3" t="str">
        <f>IFERROR(__xludf.DUMMYFUNCTION("""COMPUTED_VALUE"""),"https://www.nashp.org/2020-state-reopening-chart/")</f>
        <v>https://www.nashp.org/2020-state-reopening-chart/</v>
      </c>
      <c r="H342" s="1"/>
      <c r="I342" s="1"/>
    </row>
    <row r="343">
      <c r="A343" s="2">
        <f>IFERROR(__xludf.DUMMYFUNCTION("""COMPUTED_VALUE"""),44140.0)</f>
        <v>44140</v>
      </c>
      <c r="B343" s="1" t="str">
        <f>IFERROR(__xludf.DUMMYFUNCTION("""COMPUTED_VALUE"""),"Louisiana")</f>
        <v>Louisiana</v>
      </c>
      <c r="C343" s="1" t="str">
        <f>IFERROR(__xludf.DUMMYFUNCTION("""COMPUTED_VALUE"""),"State Proclamations ")</f>
        <v>State Proclamations </v>
      </c>
      <c r="D343" s="1" t="str">
        <f>IFERROR(__xludf.DUMMYFUNCTION("""COMPUTED_VALUE"""),"Closing")</f>
        <v>Closing</v>
      </c>
      <c r="E343" s="1" t="str">
        <f>IFERROR(__xludf.DUMMYFUNCTION("""COMPUTED_VALUE"""),"The governor extended Phase 3 until Dec. 4.")</f>
        <v>The governor extended Phase 3 until Dec. 4.</v>
      </c>
      <c r="F343" s="1" t="str">
        <f>IFERROR(__xludf.DUMMYFUNCTION("""COMPUTED_VALUE"""),"National Academy for State Health Policy")</f>
        <v>National Academy for State Health Policy</v>
      </c>
      <c r="G343" s="3" t="str">
        <f>IFERROR(__xludf.DUMMYFUNCTION("""COMPUTED_VALUE"""),"https://www.nashp.org/2020-state-reopening-chart/")</f>
        <v>https://www.nashp.org/2020-state-reopening-chart/</v>
      </c>
      <c r="H343" s="1"/>
      <c r="I343" s="1"/>
    </row>
    <row r="344">
      <c r="A344" s="2">
        <f>IFERROR(__xludf.DUMMYFUNCTION("""COMPUTED_VALUE"""),44147.0)</f>
        <v>44147</v>
      </c>
      <c r="B344" s="1" t="str">
        <f>IFERROR(__xludf.DUMMYFUNCTION("""COMPUTED_VALUE"""),"Louisiana")</f>
        <v>Louisiana</v>
      </c>
      <c r="C344" s="1" t="str">
        <f>IFERROR(__xludf.DUMMYFUNCTION("""COMPUTED_VALUE"""),"State Proclamations ")</f>
        <v>State Proclamations </v>
      </c>
      <c r="D344" s="1" t="str">
        <f>IFERROR(__xludf.DUMMYFUNCTION("""COMPUTED_VALUE"""),"Closing")</f>
        <v>Closing</v>
      </c>
      <c r="E344" s="1" t="str">
        <f>IFERROR(__xludf.DUMMYFUNCTION("""COMPUTED_VALUE"""),"The governors announced that the state would stay in Phase 3 and keep its current COVID-19 mitigation measures in place for another 28 days. As well, a court decision defeated a petition brought by lawmakers that challenged the order requiring a mask mand"&amp;"ate as part of Stage 3.")</f>
        <v>The governors announced that the state would stay in Phase 3 and keep its current COVID-19 mitigation measures in place for another 28 days. As well, a court decision defeated a petition brought by lawmakers that challenged the order requiring a mask mandate as part of Stage 3.</v>
      </c>
      <c r="F344" s="1" t="str">
        <f>IFERROR(__xludf.DUMMYFUNCTION("""COMPUTED_VALUE"""),"National Academy for State Health Policy")</f>
        <v>National Academy for State Health Policy</v>
      </c>
      <c r="G344" s="3" t="str">
        <f>IFERROR(__xludf.DUMMYFUNCTION("""COMPUTED_VALUE"""),"https://www.nashp.org/2020-state-reopening-chart/")</f>
        <v>https://www.nashp.org/2020-state-reopening-chart/</v>
      </c>
      <c r="H344" s="1"/>
      <c r="I344" s="1"/>
    </row>
    <row r="345">
      <c r="A345" s="2">
        <f>IFERROR(__xludf.DUMMYFUNCTION("""COMPUTED_VALUE"""),44187.0)</f>
        <v>44187</v>
      </c>
      <c r="B345" s="1" t="str">
        <f>IFERROR(__xludf.DUMMYFUNCTION("""COMPUTED_VALUE"""),"Louisiana")</f>
        <v>Louisiana</v>
      </c>
      <c r="C345" s="1" t="str">
        <f>IFERROR(__xludf.DUMMYFUNCTION("""COMPUTED_VALUE"""),"State Proclamations ")</f>
        <v>State Proclamations </v>
      </c>
      <c r="D345" s="1" t="str">
        <f>IFERROR(__xludf.DUMMYFUNCTION("""COMPUTED_VALUE"""),"Closing")</f>
        <v>Closing</v>
      </c>
      <c r="E345" s="1" t="str">
        <f>IFERROR(__xludf.DUMMYFUNCTION("""COMPUTED_VALUE"""),"The governor extended the state’s modified Phase 2 reopening through Jan. 13, 2021. The modified phase limits restaurants, retailers, gyms, personal care businesses, and movie theaters to 50% capacity. Bars must close indoor service if their parish has a "&amp;"positivity rate greater than 5%. Bars that are permitted to open are limited to 25% capacity. All indoor and outdoor gatherings are limited to the lesser of 25% capacity or a maximum of 75 people indoors or 150 people outdoors.")</f>
        <v>The governor extended the state’s modified Phase 2 reopening through Jan. 13, 2021. The modified phase limits restaurants, retailers, gyms, personal care businesses, and movie theaters to 50% capacity. Bars must close indoor service if their parish has a positivity rate greater than 5%. Bars that are permitted to open are limited to 25% capacity. All indoor and outdoor gatherings are limited to the lesser of 25% capacity or a maximum of 75 people indoors or 150 people outdoors.</v>
      </c>
      <c r="F345" s="1" t="str">
        <f>IFERROR(__xludf.DUMMYFUNCTION("""COMPUTED_VALUE"""),"National Academy for State Health Policy")</f>
        <v>National Academy for State Health Policy</v>
      </c>
      <c r="G345" s="3" t="str">
        <f>IFERROR(__xludf.DUMMYFUNCTION("""COMPUTED_VALUE"""),"https://www.nashp.org/2020-state-reopening-chart/")</f>
        <v>https://www.nashp.org/2020-state-reopening-chart/</v>
      </c>
      <c r="H345" s="1"/>
      <c r="I345" s="1"/>
    </row>
    <row r="346">
      <c r="A346" s="2">
        <f>IFERROR(__xludf.DUMMYFUNCTION("""COMPUTED_VALUE"""),44208.0)</f>
        <v>44208</v>
      </c>
      <c r="B346" s="1" t="str">
        <f>IFERROR(__xludf.DUMMYFUNCTION("""COMPUTED_VALUE"""),"Louisiana")</f>
        <v>Louisiana</v>
      </c>
      <c r="C346" s="1" t="str">
        <f>IFERROR(__xludf.DUMMYFUNCTION("""COMPUTED_VALUE"""),"State Proclamations ")</f>
        <v>State Proclamations </v>
      </c>
      <c r="D346" s="1" t="str">
        <f>IFERROR(__xludf.DUMMYFUNCTION("""COMPUTED_VALUE"""),"Closing")</f>
        <v>Closing</v>
      </c>
      <c r="E346" s="1" t="str">
        <f>IFERROR(__xludf.DUMMYFUNCTION("""COMPUTED_VALUE"""),"Gov. John Bel Edwards extended the state’s modified Phase 2 reopening until Feb. 10. The modified phase limited restaurants, retailers, gyms, personal care businesses, and movie theaters to 50% capacity. Bars had to close indoor service if their parish ha"&amp;"d a positivity rate greater than 5%. Bars that were permitted to open were limited to 25% capacity. All indoor and outdoor gatherings were limited to the lesser of 25% capacity or a maximum of 75 people indoors or 150 people outdoors.")</f>
        <v>Gov. John Bel Edwards extended the state’s modified Phase 2 reopening until Feb. 10. The modified phase limited restaurants, retailers, gyms, personal care businesses, and movie theaters to 50% capacity. Bars had to close indoor service if their parish had a positivity rate greater than 5%. Bars that were permitted to open were limited to 25% capacity. All indoor and outdoor gatherings were limited to the lesser of 25% capacity or a maximum of 75 people indoors or 150 people outdoors.</v>
      </c>
      <c r="F346" s="1" t="str">
        <f>IFERROR(__xludf.DUMMYFUNCTION("""COMPUTED_VALUE"""),"National Academy for State Health Policy")</f>
        <v>National Academy for State Health Policy</v>
      </c>
      <c r="G346" s="3" t="str">
        <f>IFERROR(__xludf.DUMMYFUNCTION("""COMPUTED_VALUE"""),"https://www.nashp.org/2021-covid-19-state-restrictions-re-openings-and-mask-requirements/")</f>
        <v>https://www.nashp.org/2021-covid-19-state-restrictions-re-openings-and-mask-requirements/</v>
      </c>
      <c r="H346" s="1"/>
      <c r="I346" s="1"/>
    </row>
    <row r="347">
      <c r="A347" s="2">
        <f>IFERROR(__xludf.DUMMYFUNCTION("""COMPUTED_VALUE"""),44236.0)</f>
        <v>44236</v>
      </c>
      <c r="B347" s="1" t="str">
        <f>IFERROR(__xludf.DUMMYFUNCTION("""COMPUTED_VALUE"""),"Louisiana")</f>
        <v>Louisiana</v>
      </c>
      <c r="C347" s="1" t="str">
        <f>IFERROR(__xludf.DUMMYFUNCTION("""COMPUTED_VALUE"""),"State Proclamations ")</f>
        <v>State Proclamations </v>
      </c>
      <c r="D347" s="1" t="str">
        <f>IFERROR(__xludf.DUMMYFUNCTION("""COMPUTED_VALUE"""),"Closing")</f>
        <v>Closing</v>
      </c>
      <c r="E347" s="1" t="str">
        <f>IFERROR(__xludf.DUMMYFUNCTION("""COMPUTED_VALUE"""),"The governor extended the state’s modified Phase 2 reopening through March 3.")</f>
        <v>The governor extended the state’s modified Phase 2 reopening through March 3.</v>
      </c>
      <c r="F347" s="1" t="str">
        <f>IFERROR(__xludf.DUMMYFUNCTION("""COMPUTED_VALUE"""),"National Academy for State Health Policy")</f>
        <v>National Academy for State Health Policy</v>
      </c>
      <c r="G347" s="3" t="str">
        <f>IFERROR(__xludf.DUMMYFUNCTION("""COMPUTED_VALUE"""),"https://www.nashp.org/2021-covid-19-state-restrictions-re-openings-and-mask-requirements/")</f>
        <v>https://www.nashp.org/2021-covid-19-state-restrictions-re-openings-and-mask-requirements/</v>
      </c>
      <c r="H347" s="1"/>
      <c r="I347" s="1"/>
    </row>
    <row r="348">
      <c r="A348" s="2">
        <f>IFERROR(__xludf.DUMMYFUNCTION("""COMPUTED_VALUE"""),44257.0)</f>
        <v>44257</v>
      </c>
      <c r="B348" s="1" t="str">
        <f>IFERROR(__xludf.DUMMYFUNCTION("""COMPUTED_VALUE"""),"Louisiana")</f>
        <v>Louisiana</v>
      </c>
      <c r="C348" s="1" t="str">
        <f>IFERROR(__xludf.DUMMYFUNCTION("""COMPUTED_VALUE"""),"State Proclamations ")</f>
        <v>State Proclamations </v>
      </c>
      <c r="D348" s="1" t="str">
        <f>IFERROR(__xludf.DUMMYFUNCTION("""COMPUTED_VALUE"""),"Opening")</f>
        <v>Opening</v>
      </c>
      <c r="E348" s="1" t="str">
        <f>IFERROR(__xludf.DUMMYFUNCTION("""COMPUTED_VALUE"""),"The state moved to Phase 3 of reopening. Phase 3 allows bars in all parishes to reopen at 25% capacity with a maximum of 250 people. If a parish maintains 5% positivity or lower for two consecutive weeks, bars in the parish can expand to 50% capacity. Alc"&amp;"ohol sales still have to end at 11pm Places of worship no longer have capacity limits. Most other businesses (including restaurants and salons) can expand their capacity to 75%. Indoor and outdoor event gatherings are allowed at 50% capacity. Indoor event"&amp;"s are limited to a maximum of 250 people, and there is no maximum for outdoor events as long as social distancing is possible.")</f>
        <v>The state moved to Phase 3 of reopening. Phase 3 allows bars in all parishes to reopen at 25% capacity with a maximum of 250 people. If a parish maintains 5% positivity or lower for two consecutive weeks, bars in the parish can expand to 50% capacity. Alcohol sales still have to end at 11pm Places of worship no longer have capacity limits. Most other businesses (including restaurants and salons) can expand their capacity to 75%. Indoor and outdoor event gatherings are allowed at 50% capacity. Indoor events are limited to a maximum of 250 people, and there is no maximum for outdoor events as long as social distancing is possible.</v>
      </c>
      <c r="F348" s="1" t="str">
        <f>IFERROR(__xludf.DUMMYFUNCTION("""COMPUTED_VALUE"""),"National Academy for State Health Policy")</f>
        <v>National Academy for State Health Policy</v>
      </c>
      <c r="G348" s="3" t="str">
        <f>IFERROR(__xludf.DUMMYFUNCTION("""COMPUTED_VALUE"""),"https://www.nashp.org/2021-covid-19-state-restrictions-re-openings-and-mask-requirements/")</f>
        <v>https://www.nashp.org/2021-covid-19-state-restrictions-re-openings-and-mask-requirements/</v>
      </c>
      <c r="H348" s="1"/>
      <c r="I348" s="1"/>
    </row>
    <row r="349">
      <c r="A349" s="2">
        <f>IFERROR(__xludf.DUMMYFUNCTION("""COMPUTED_VALUE"""),44314.0)</f>
        <v>44314</v>
      </c>
      <c r="B349" s="1" t="str">
        <f>IFERROR(__xludf.DUMMYFUNCTION("""COMPUTED_VALUE"""),"Louisiana")</f>
        <v>Louisiana</v>
      </c>
      <c r="C349" s="1" t="str">
        <f>IFERROR(__xludf.DUMMYFUNCTION("""COMPUTED_VALUE"""),"Mask Mandate")</f>
        <v>Mask Mandate</v>
      </c>
      <c r="D349" s="1" t="str">
        <f>IFERROR(__xludf.DUMMYFUNCTION("""COMPUTED_VALUE"""),"End")</f>
        <v>End</v>
      </c>
      <c r="E349" s="1" t="str">
        <f>IFERROR(__xludf.DUMMYFUNCTION("""COMPUTED_VALUE"""),"On April 28, the governor lifted the statewide mask mandate")</f>
        <v>On April 28, the governor lifted the statewide mask mandate</v>
      </c>
      <c r="F349" s="1" t="str">
        <f>IFERROR(__xludf.DUMMYFUNCTION("""COMPUTED_VALUE"""),"National Academy for State Health Policy")</f>
        <v>National Academy for State Health Policy</v>
      </c>
      <c r="G349" s="3" t="str">
        <f>IFERROR(__xludf.DUMMYFUNCTION("""COMPUTED_VALUE"""),"https://www.nashp.org/2021-covid-19-state-restrictions-re-openings-and-mask-requirements/")</f>
        <v>https://www.nashp.org/2021-covid-19-state-restrictions-re-openings-and-mask-requirements/</v>
      </c>
      <c r="H349" s="1"/>
      <c r="I349" s="1"/>
    </row>
    <row r="350">
      <c r="A350" s="2">
        <f>IFERROR(__xludf.DUMMYFUNCTION("""COMPUTED_VALUE"""),44314.0)</f>
        <v>44314</v>
      </c>
      <c r="B350" s="1" t="str">
        <f>IFERROR(__xludf.DUMMYFUNCTION("""COMPUTED_VALUE"""),"Louisiana")</f>
        <v>Louisiana</v>
      </c>
      <c r="C350" s="1" t="str">
        <f>IFERROR(__xludf.DUMMYFUNCTION("""COMPUTED_VALUE"""),"State Proclamations ")</f>
        <v>State Proclamations </v>
      </c>
      <c r="D350" s="1" t="str">
        <f>IFERROR(__xludf.DUMMYFUNCTION("""COMPUTED_VALUE"""),"Opening")</f>
        <v>Opening</v>
      </c>
      <c r="E350" s="1" t="str">
        <f>IFERROR(__xludf.DUMMYFUNCTION("""COMPUTED_VALUE"""),"Outdoor theaters, event spaces, and events can expand to full capacity, and indoor theaters, event spaces, and events can expand to 75% capacity with social distancing or full capacity with masks. Live music events require 10 feet of space between the sta"&amp;"ge and the audience, and attendees have to be seated.")</f>
        <v>Outdoor theaters, event spaces, and events can expand to full capacity, and indoor theaters, event spaces, and events can expand to 75% capacity with social distancing or full capacity with masks. Live music events require 10 feet of space between the stage and the audience, and attendees have to be seated.</v>
      </c>
      <c r="F350" s="1" t="str">
        <f>IFERROR(__xludf.DUMMYFUNCTION("""COMPUTED_VALUE"""),"National Academy for State Health Policy")</f>
        <v>National Academy for State Health Policy</v>
      </c>
      <c r="G350" s="3" t="str">
        <f>IFERROR(__xludf.DUMMYFUNCTION("""COMPUTED_VALUE"""),"https://www.nashp.org/2021-covid-19-state-restrictions-re-openings-and-mask-requirements/")</f>
        <v>https://www.nashp.org/2021-covid-19-state-restrictions-re-openings-and-mask-requirements/</v>
      </c>
      <c r="H350" s="1"/>
      <c r="I350" s="1"/>
    </row>
    <row r="351">
      <c r="A351" s="2">
        <f>IFERROR(__xludf.DUMMYFUNCTION("""COMPUTED_VALUE"""),44410.0)</f>
        <v>44410</v>
      </c>
      <c r="B351" s="1" t="str">
        <f>IFERROR(__xludf.DUMMYFUNCTION("""COMPUTED_VALUE"""),"Louisiana")</f>
        <v>Louisiana</v>
      </c>
      <c r="C351" s="1" t="str">
        <f>IFERROR(__xludf.DUMMYFUNCTION("""COMPUTED_VALUE"""),"Mask Mandate")</f>
        <v>Mask Mandate</v>
      </c>
      <c r="D351" s="1" t="str">
        <f>IFERROR(__xludf.DUMMYFUNCTION("""COMPUTED_VALUE"""),"Start")</f>
        <v>Start</v>
      </c>
      <c r="E351" s="1" t="str">
        <f>IFERROR(__xludf.DUMMYFUNCTION("""COMPUTED_VALUE"""),"On Aug. 2, the Governor reinstated the indoor mask mandate for all individuals regardless of vaccination status")</f>
        <v>On Aug. 2, the Governor reinstated the indoor mask mandate for all individuals regardless of vaccination status</v>
      </c>
      <c r="F351" s="1" t="str">
        <f>IFERROR(__xludf.DUMMYFUNCTION("""COMPUTED_VALUE"""),"National Academy for State Health Policy")</f>
        <v>National Academy for State Health Policy</v>
      </c>
      <c r="G351" s="3" t="str">
        <f>IFERROR(__xludf.DUMMYFUNCTION("""COMPUTED_VALUE"""),"https://www.nashp.org/2021-covid-19-state-restrictions-re-openings-and-mask-requirements/")</f>
        <v>https://www.nashp.org/2021-covid-19-state-restrictions-re-openings-and-mask-requirements/</v>
      </c>
      <c r="H351" s="1"/>
      <c r="I351" s="1"/>
    </row>
    <row r="352">
      <c r="A352" s="2">
        <f>IFERROR(__xludf.DUMMYFUNCTION("""COMPUTED_VALUE"""),44495.0)</f>
        <v>44495</v>
      </c>
      <c r="B352" s="1" t="str">
        <f>IFERROR(__xludf.DUMMYFUNCTION("""COMPUTED_VALUE"""),"Louisiana")</f>
        <v>Louisiana</v>
      </c>
      <c r="C352" s="1" t="str">
        <f>IFERROR(__xludf.DUMMYFUNCTION("""COMPUTED_VALUE"""),"Mask Mandate")</f>
        <v>Mask Mandate</v>
      </c>
      <c r="D352" s="1" t="str">
        <f>IFERROR(__xludf.DUMMYFUNCTION("""COMPUTED_VALUE"""),"End")</f>
        <v>End</v>
      </c>
      <c r="E352" s="1" t="str">
        <f>IFERROR(__xludf.DUMMYFUNCTION("""COMPUTED_VALUE"""),"On Oct. 26, 2021, Gov. John Bel Edwards lifted the statewide indoor mask requirement for vaccinated and unvaccinated individuals in all settings except for K-12 schools.")</f>
        <v>On Oct. 26, 2021, Gov. John Bel Edwards lifted the statewide indoor mask requirement for vaccinated and unvaccinated individuals in all settings except for K-12 schools.</v>
      </c>
      <c r="F352" s="1"/>
      <c r="G352" s="1"/>
      <c r="H352" s="1"/>
      <c r="I352" s="1"/>
    </row>
    <row r="353">
      <c r="A353" s="2">
        <f>IFERROR(__xludf.DUMMYFUNCTION("""COMPUTED_VALUE"""),43905.0)</f>
        <v>43905</v>
      </c>
      <c r="B353" s="1" t="str">
        <f>IFERROR(__xludf.DUMMYFUNCTION("""COMPUTED_VALUE"""),"Maine")</f>
        <v>Maine</v>
      </c>
      <c r="C353" s="1" t="str">
        <f>IFERROR(__xludf.DUMMYFUNCTION("""COMPUTED_VALUE"""),"State of Emergency")</f>
        <v>State of Emergency</v>
      </c>
      <c r="D353" s="1" t="str">
        <f>IFERROR(__xludf.DUMMYFUNCTION("""COMPUTED_VALUE"""),"Start")</f>
        <v>Start</v>
      </c>
      <c r="E353" s="1" t="str">
        <f>IFERROR(__xludf.DUMMYFUNCTION("""COMPUTED_VALUE"""),"Gov. Janet Mills signed an emergency proclamation on March 15.")</f>
        <v>Gov. Janet Mills signed an emergency proclamation on March 15.</v>
      </c>
      <c r="F353" s="1" t="str">
        <f>IFERROR(__xludf.DUMMYFUNCTION("""COMPUTED_VALUE"""),"Business Insider")</f>
        <v>Business Insider</v>
      </c>
      <c r="G353" s="3" t="str">
        <f>IFERROR(__xludf.DUMMYFUNCTION("""COMPUTED_VALUE"""),"https://www.businessinsider.com/california-washington-state-of-emergency-coronavirus-what-it-means-2020-3#maine-46")</f>
        <v>https://www.businessinsider.com/california-washington-state-of-emergency-coronavirus-what-it-means-2020-3#maine-46</v>
      </c>
      <c r="H353" s="1"/>
      <c r="I353" s="1"/>
    </row>
    <row r="354">
      <c r="A354" s="2">
        <f>IFERROR(__xludf.DUMMYFUNCTION("""COMPUTED_VALUE"""),43923.0)</f>
        <v>43923</v>
      </c>
      <c r="B354" s="1" t="str">
        <f>IFERROR(__xludf.DUMMYFUNCTION("""COMPUTED_VALUE"""),"Maine")</f>
        <v>Maine</v>
      </c>
      <c r="C354" s="1" t="str">
        <f>IFERROR(__xludf.DUMMYFUNCTION("""COMPUTED_VALUE"""),"Stay-at-Home Order")</f>
        <v>Stay-at-Home Order</v>
      </c>
      <c r="D354" s="1" t="str">
        <f>IFERROR(__xludf.DUMMYFUNCTION("""COMPUTED_VALUE"""),"Start")</f>
        <v>Start</v>
      </c>
      <c r="E354" s="1" t="str">
        <f>IFERROR(__xludf.DUMMYFUNCTION("""COMPUTED_VALUE"""),"Original stay-at-home order begins")</f>
        <v>Original stay-at-home order begins</v>
      </c>
      <c r="F354" s="1" t="str">
        <f>IFERROR(__xludf.DUMMYFUNCTION("""COMPUTED_VALUE"""),"National Academy for State Health Policy")</f>
        <v>National Academy for State Health Policy</v>
      </c>
      <c r="G354" s="3" t="str">
        <f>IFERROR(__xludf.DUMMYFUNCTION("""COMPUTED_VALUE"""),"https://www.nashp.org/2020-state-reopening-chart/")</f>
        <v>https://www.nashp.org/2020-state-reopening-chart/</v>
      </c>
      <c r="H354" s="1"/>
      <c r="I354" s="1"/>
    </row>
    <row r="355">
      <c r="A355" s="2">
        <f>IFERROR(__xludf.DUMMYFUNCTION("""COMPUTED_VALUE"""),43952.0)</f>
        <v>43952</v>
      </c>
      <c r="B355" s="1" t="str">
        <f>IFERROR(__xludf.DUMMYFUNCTION("""COMPUTED_VALUE"""),"Maine")</f>
        <v>Maine</v>
      </c>
      <c r="C355" s="1" t="str">
        <f>IFERROR(__xludf.DUMMYFUNCTION("""COMPUTED_VALUE"""),"Mask Mandate")</f>
        <v>Mask Mandate</v>
      </c>
      <c r="D355" s="1" t="str">
        <f>IFERROR(__xludf.DUMMYFUNCTION("""COMPUTED_VALUE"""),"Start")</f>
        <v>Start</v>
      </c>
      <c r="E355" s="1" t="str">
        <f>IFERROR(__xludf.DUMMYFUNCTION("""COMPUTED_VALUE"""),"Gov. Janet Mills issued an order requiring face coverings or masks for anyone over the age of 2 in indoor public spaces such as supermarkets, retail stores, pharmacies and doctor's offices.")</f>
        <v>Gov. Janet Mills issued an order requiring face coverings or masks for anyone over the age of 2 in indoor public spaces such as supermarkets, retail stores, pharmacies and doctor's offices.</v>
      </c>
      <c r="F355" s="1" t="str">
        <f>IFERROR(__xludf.DUMMYFUNCTION("""COMPUTED_VALUE"""),"CNN")</f>
        <v>CNN</v>
      </c>
      <c r="G355" s="3" t="str">
        <f>IFERROR(__xludf.DUMMYFUNCTION("""COMPUTED_VALUE"""),"https://www.cnn.com/2020/06/19/us/states-face-mask-coronavirus-trnd/index.html")</f>
        <v>https://www.cnn.com/2020/06/19/us/states-face-mask-coronavirus-trnd/index.html</v>
      </c>
      <c r="H355" s="1"/>
      <c r="I355" s="1"/>
    </row>
    <row r="356">
      <c r="A356" s="2">
        <f>IFERROR(__xludf.DUMMYFUNCTION("""COMPUTED_VALUE"""),43982.0)</f>
        <v>43982</v>
      </c>
      <c r="B356" s="1" t="str">
        <f>IFERROR(__xludf.DUMMYFUNCTION("""COMPUTED_VALUE"""),"Maine")</f>
        <v>Maine</v>
      </c>
      <c r="C356" s="1" t="str">
        <f>IFERROR(__xludf.DUMMYFUNCTION("""COMPUTED_VALUE"""),"Stay-at-Home Order")</f>
        <v>Stay-at-Home Order</v>
      </c>
      <c r="D356" s="1" t="str">
        <f>IFERROR(__xludf.DUMMYFUNCTION("""COMPUTED_VALUE"""),"End")</f>
        <v>End</v>
      </c>
      <c r="E356" s="1" t="str">
        <f>IFERROR(__xludf.DUMMYFUNCTION("""COMPUTED_VALUE"""),"Original stay-at-home order ends")</f>
        <v>Original stay-at-home order ends</v>
      </c>
      <c r="F356" s="1" t="str">
        <f>IFERROR(__xludf.DUMMYFUNCTION("""COMPUTED_VALUE"""),"National Academy for State Health Policy")</f>
        <v>National Academy for State Health Policy</v>
      </c>
      <c r="G356" s="3" t="str">
        <f>IFERROR(__xludf.DUMMYFUNCTION("""COMPUTED_VALUE"""),"https://www.nashp.org/2020-state-reopening-chart/")</f>
        <v>https://www.nashp.org/2020-state-reopening-chart/</v>
      </c>
      <c r="H356" s="1"/>
      <c r="I356" s="1"/>
    </row>
    <row r="357">
      <c r="A357" s="2">
        <f>IFERROR(__xludf.DUMMYFUNCTION("""COMPUTED_VALUE"""),43982.0)</f>
        <v>43982</v>
      </c>
      <c r="B357" s="1" t="str">
        <f>IFERROR(__xludf.DUMMYFUNCTION("""COMPUTED_VALUE"""),"Maine")</f>
        <v>Maine</v>
      </c>
      <c r="C357" s="1" t="str">
        <f>IFERROR(__xludf.DUMMYFUNCTION("""COMPUTED_VALUE"""),"State Proclamations ")</f>
        <v>State Proclamations </v>
      </c>
      <c r="D357" s="1" t="str">
        <f>IFERROR(__xludf.DUMMYFUNCTION("""COMPUTED_VALUE"""),"Opening")</f>
        <v>Opening</v>
      </c>
      <c r="E357" s="1" t="str">
        <f>IFERROR(__xludf.DUMMYFUNCTION("""COMPUTED_VALUE"""),"Maine has reopened retail stores, restaurants, bars (with outdoor service only), personal care services, houses or worship, and gyms.")</f>
        <v>Maine has reopened retail stores, restaurants, bars (with outdoor service only), personal care services, houses or worship, and gyms.</v>
      </c>
      <c r="F357" s="1" t="str">
        <f>IFERROR(__xludf.DUMMYFUNCTION("""COMPUTED_VALUE"""),"National Academy for State Health Policy")</f>
        <v>National Academy for State Health Policy</v>
      </c>
      <c r="G357" s="3" t="str">
        <f>IFERROR(__xludf.DUMMYFUNCTION("""COMPUTED_VALUE"""),"https://www.nashp.org/2020-state-reopening-chart/")</f>
        <v>https://www.nashp.org/2020-state-reopening-chart/</v>
      </c>
      <c r="H357" s="1"/>
      <c r="I357" s="1"/>
    </row>
    <row r="358">
      <c r="A358" s="2">
        <f>IFERROR(__xludf.DUMMYFUNCTION("""COMPUTED_VALUE"""),43983.0)</f>
        <v>43983</v>
      </c>
      <c r="B358" s="1" t="str">
        <f>IFERROR(__xludf.DUMMYFUNCTION("""COMPUTED_VALUE"""),"Maine")</f>
        <v>Maine</v>
      </c>
      <c r="C358" s="1" t="str">
        <f>IFERROR(__xludf.DUMMYFUNCTION("""COMPUTED_VALUE"""),"State Proclamations ")</f>
        <v>State Proclamations </v>
      </c>
      <c r="D358" s="1" t="str">
        <f>IFERROR(__xludf.DUMMYFUNCTION("""COMPUTED_VALUE"""),"Opening")</f>
        <v>Opening</v>
      </c>
      <c r="E358" s="1" t="str">
        <f>IFERROR(__xludf.DUMMYFUNCTION("""COMPUTED_VALUE"""),"Retail stores and restaurants reopened. Gatherings of up to 50 people are permitted.")</f>
        <v>Retail stores and restaurants reopened. Gatherings of up to 50 people are permitted.</v>
      </c>
      <c r="F358" s="1" t="str">
        <f>IFERROR(__xludf.DUMMYFUNCTION("""COMPUTED_VALUE"""),"National Academy for State Health Policy")</f>
        <v>National Academy for State Health Policy</v>
      </c>
      <c r="G358" s="3" t="str">
        <f>IFERROR(__xludf.DUMMYFUNCTION("""COMPUTED_VALUE"""),"https://www.nashp.org/2020-state-reopening-chart/")</f>
        <v>https://www.nashp.org/2020-state-reopening-chart/</v>
      </c>
      <c r="H358" s="1"/>
      <c r="I358" s="1"/>
    </row>
    <row r="359">
      <c r="A359" s="2">
        <f>IFERROR(__xludf.DUMMYFUNCTION("""COMPUTED_VALUE"""),43994.0)</f>
        <v>43994</v>
      </c>
      <c r="B359" s="1" t="str">
        <f>IFERROR(__xludf.DUMMYFUNCTION("""COMPUTED_VALUE"""),"Maine")</f>
        <v>Maine</v>
      </c>
      <c r="C359" s="1" t="str">
        <f>IFERROR(__xludf.DUMMYFUNCTION("""COMPUTED_VALUE"""),"State Proclamations ")</f>
        <v>State Proclamations </v>
      </c>
      <c r="D359" s="1" t="str">
        <f>IFERROR(__xludf.DUMMYFUNCTION("""COMPUTED_VALUE"""),"Opening")</f>
        <v>Opening</v>
      </c>
      <c r="E359" s="1" t="str">
        <f>IFERROR(__xludf.DUMMYFUNCTION("""COMPUTED_VALUE"""),"Tasting rooms, bars with outdoor service, gyms, fitness centers, nail salons, and tattoo and piercing parlors could reopen.")</f>
        <v>Tasting rooms, bars with outdoor service, gyms, fitness centers, nail salons, and tattoo and piercing parlors could reopen.</v>
      </c>
      <c r="F359" s="1" t="str">
        <f>IFERROR(__xludf.DUMMYFUNCTION("""COMPUTED_VALUE"""),"National Academy for State Health Policy")</f>
        <v>National Academy for State Health Policy</v>
      </c>
      <c r="G359" s="3" t="str">
        <f>IFERROR(__xludf.DUMMYFUNCTION("""COMPUTED_VALUE"""),"https://www.nashp.org/2020-state-reopening-chart/")</f>
        <v>https://www.nashp.org/2020-state-reopening-chart/</v>
      </c>
      <c r="H359" s="1"/>
      <c r="I359" s="1"/>
    </row>
    <row r="360">
      <c r="A360" s="2">
        <f>IFERROR(__xludf.DUMMYFUNCTION("""COMPUTED_VALUE"""),44007.0)</f>
        <v>44007</v>
      </c>
      <c r="B360" s="1" t="str">
        <f>IFERROR(__xludf.DUMMYFUNCTION("""COMPUTED_VALUE"""),"Maine")</f>
        <v>Maine</v>
      </c>
      <c r="C360" s="1" t="str">
        <f>IFERROR(__xludf.DUMMYFUNCTION("""COMPUTED_VALUE"""),"State Proclamations ")</f>
        <v>State Proclamations </v>
      </c>
      <c r="D360" s="1" t="str">
        <f>IFERROR(__xludf.DUMMYFUNCTION("""COMPUTED_VALUE"""),"Closing")</f>
        <v>Closing</v>
      </c>
      <c r="E360" s="1" t="str">
        <f>IFERROR(__xludf.DUMMYFUNCTION("""COMPUTED_VALUE"""),"Due to a resurgence in infections in states that allowed bars to open, the Department of Health and Human Services delayed Maine’s reopening of indoor bars (originally scheduled for July 1).")</f>
        <v>Due to a resurgence in infections in states that allowed bars to open, the Department of Health and Human Services delayed Maine’s reopening of indoor bars (originally scheduled for July 1).</v>
      </c>
      <c r="F360" s="1" t="str">
        <f>IFERROR(__xludf.DUMMYFUNCTION("""COMPUTED_VALUE"""),"National Academy for State Health Policy")</f>
        <v>National Academy for State Health Policy</v>
      </c>
      <c r="G360" s="3" t="str">
        <f>IFERROR(__xludf.DUMMYFUNCTION("""COMPUTED_VALUE"""),"https://www.nashp.org/2020-state-reopening-chart/")</f>
        <v>https://www.nashp.org/2020-state-reopening-chart/</v>
      </c>
      <c r="H360" s="1"/>
      <c r="I360" s="1"/>
    </row>
    <row r="361">
      <c r="A361" s="2">
        <f>IFERROR(__xludf.DUMMYFUNCTION("""COMPUTED_VALUE"""),44117.0)</f>
        <v>44117</v>
      </c>
      <c r="B361" s="1" t="str">
        <f>IFERROR(__xludf.DUMMYFUNCTION("""COMPUTED_VALUE"""),"Maine")</f>
        <v>Maine</v>
      </c>
      <c r="C361" s="1" t="str">
        <f>IFERROR(__xludf.DUMMYFUNCTION("""COMPUTED_VALUE"""),"State Proclamations ")</f>
        <v>State Proclamations </v>
      </c>
      <c r="D361" s="1" t="str">
        <f>IFERROR(__xludf.DUMMYFUNCTION("""COMPUTED_VALUE"""),"Opening")</f>
        <v>Opening</v>
      </c>
      <c r="E361" s="1" t="str">
        <f>IFERROR(__xludf.DUMMYFUNCTION("""COMPUTED_VALUE"""),"The state will enter Stage 4 of reopening. Stage 4 allows indoor activities and businesses to expand operations to 50% capacity or up to 100 people.")</f>
        <v>The state will enter Stage 4 of reopening. Stage 4 allows indoor activities and businesses to expand operations to 50% capacity or up to 100 people.</v>
      </c>
      <c r="F361" s="1" t="str">
        <f>IFERROR(__xludf.DUMMYFUNCTION("""COMPUTED_VALUE"""),"National Academy for State Health Policy")</f>
        <v>National Academy for State Health Policy</v>
      </c>
      <c r="G361" s="3" t="str">
        <f>IFERROR(__xludf.DUMMYFUNCTION("""COMPUTED_VALUE"""),"https://www.nashp.org/2020-state-reopening-chart/")</f>
        <v>https://www.nashp.org/2020-state-reopening-chart/</v>
      </c>
      <c r="H361" s="1"/>
      <c r="I361" s="1"/>
    </row>
    <row r="362">
      <c r="A362" s="2">
        <f>IFERROR(__xludf.DUMMYFUNCTION("""COMPUTED_VALUE"""),44131.0)</f>
        <v>44131</v>
      </c>
      <c r="B362" s="1" t="str">
        <f>IFERROR(__xludf.DUMMYFUNCTION("""COMPUTED_VALUE"""),"Maine")</f>
        <v>Maine</v>
      </c>
      <c r="C362" s="1" t="str">
        <f>IFERROR(__xludf.DUMMYFUNCTION("""COMPUTED_VALUE"""),"State Proclamations ")</f>
        <v>State Proclamations </v>
      </c>
      <c r="D362" s="1" t="str">
        <f>IFERROR(__xludf.DUMMYFUNCTION("""COMPUTED_VALUE"""),"Closing")</f>
        <v>Closing</v>
      </c>
      <c r="E362" s="1" t="str">
        <f>IFERROR(__xludf.DUMMYFUNCTION("""COMPUTED_VALUE"""),"The governor extended the emergency order through Nov. 27.")</f>
        <v>The governor extended the emergency order through Nov. 27.</v>
      </c>
      <c r="F362" s="1" t="str">
        <f>IFERROR(__xludf.DUMMYFUNCTION("""COMPUTED_VALUE"""),"National Academy for State Health Policy")</f>
        <v>National Academy for State Health Policy</v>
      </c>
      <c r="G362" s="3" t="str">
        <f>IFERROR(__xludf.DUMMYFUNCTION("""COMPUTED_VALUE"""),"https://www.nashp.org/2020-state-reopening-chart/")</f>
        <v>https://www.nashp.org/2020-state-reopening-chart/</v>
      </c>
      <c r="H362" s="1"/>
      <c r="I362" s="1"/>
    </row>
    <row r="363">
      <c r="A363" s="2">
        <f>IFERROR(__xludf.DUMMYFUNCTION("""COMPUTED_VALUE"""),44136.0)</f>
        <v>44136</v>
      </c>
      <c r="B363" s="1" t="str">
        <f>IFERROR(__xludf.DUMMYFUNCTION("""COMPUTED_VALUE"""),"Maine")</f>
        <v>Maine</v>
      </c>
      <c r="C363" s="1" t="str">
        <f>IFERROR(__xludf.DUMMYFUNCTION("""COMPUTED_VALUE"""),"State Proclamations ")</f>
        <v>State Proclamations </v>
      </c>
      <c r="D363" s="1" t="str">
        <f>IFERROR(__xludf.DUMMYFUNCTION("""COMPUTED_VALUE"""),"Closing")</f>
        <v>Closing</v>
      </c>
      <c r="E363" s="1" t="str">
        <f>IFERROR(__xludf.DUMMYFUNCTION("""COMPUTED_VALUE"""),"The governor reduced the size of indoor gatherings from 100 people to 50 people and postponed plans to reopen bars and tasting rooms amid a surge in cases.")</f>
        <v>The governor reduced the size of indoor gatherings from 100 people to 50 people and postponed plans to reopen bars and tasting rooms amid a surge in cases.</v>
      </c>
      <c r="F363" s="1" t="str">
        <f>IFERROR(__xludf.DUMMYFUNCTION("""COMPUTED_VALUE"""),"National Academy for State Health Policy")</f>
        <v>National Academy for State Health Policy</v>
      </c>
      <c r="G363" s="3" t="str">
        <f>IFERROR(__xludf.DUMMYFUNCTION("""COMPUTED_VALUE"""),"https://www.nashp.org/2020-state-reopening-chart/")</f>
        <v>https://www.nashp.org/2020-state-reopening-chart/</v>
      </c>
      <c r="H363" s="1"/>
      <c r="I363" s="1"/>
    </row>
    <row r="364">
      <c r="A364" s="2">
        <f>IFERROR(__xludf.DUMMYFUNCTION("""COMPUTED_VALUE"""),44154.0)</f>
        <v>44154</v>
      </c>
      <c r="B364" s="1" t="str">
        <f>IFERROR(__xludf.DUMMYFUNCTION("""COMPUTED_VALUE"""),"Maine")</f>
        <v>Maine</v>
      </c>
      <c r="C364" s="1" t="str">
        <f>IFERROR(__xludf.DUMMYFUNCTION("""COMPUTED_VALUE"""),"State Proclamations ")</f>
        <v>State Proclamations </v>
      </c>
      <c r="D364" s="1" t="str">
        <f>IFERROR(__xludf.DUMMYFUNCTION("""COMPUTED_VALUE"""),"Closing")</f>
        <v>Closing</v>
      </c>
      <c r="E364" s="1" t="str">
        <f>IFERROR(__xludf.DUMMYFUNCTION("""COMPUTED_VALUE"""),"Gov. Janet Mills implemented a curfew for recreational businesses, including restaurants, from Nov. 20 to Dec. 6, 2020.")</f>
        <v>Gov. Janet Mills implemented a curfew for recreational businesses, including restaurants, from Nov. 20 to Dec. 6, 2020.</v>
      </c>
      <c r="F364" s="1" t="str">
        <f>IFERROR(__xludf.DUMMYFUNCTION("""COMPUTED_VALUE"""),"National Academy for State Health Policy")</f>
        <v>National Academy for State Health Policy</v>
      </c>
      <c r="G364" s="3" t="str">
        <f>IFERROR(__xludf.DUMMYFUNCTION("""COMPUTED_VALUE"""),"https://www.nashp.org/2020-state-reopening-chart/")</f>
        <v>https://www.nashp.org/2020-state-reopening-chart/</v>
      </c>
      <c r="H364" s="1"/>
      <c r="I364" s="1"/>
    </row>
    <row r="365">
      <c r="A365" s="2">
        <f>IFERROR(__xludf.DUMMYFUNCTION("""COMPUTED_VALUE"""),44165.0)</f>
        <v>44165</v>
      </c>
      <c r="B365" s="1" t="str">
        <f>IFERROR(__xludf.DUMMYFUNCTION("""COMPUTED_VALUE"""),"Maine")</f>
        <v>Maine</v>
      </c>
      <c r="C365" s="1" t="str">
        <f>IFERROR(__xludf.DUMMYFUNCTION("""COMPUTED_VALUE"""),"State Proclamations ")</f>
        <v>State Proclamations </v>
      </c>
      <c r="D365" s="1" t="str">
        <f>IFERROR(__xludf.DUMMYFUNCTION("""COMPUTED_VALUE"""),"Closing")</f>
        <v>Closing</v>
      </c>
      <c r="E365" s="1" t="str">
        <f>IFERROR(__xludf.DUMMYFUNCTION("""COMPUTED_VALUE"""),"The governor extended the emergency order through Dec. 23.")</f>
        <v>The governor extended the emergency order through Dec. 23.</v>
      </c>
      <c r="F365" s="1" t="str">
        <f>IFERROR(__xludf.DUMMYFUNCTION("""COMPUTED_VALUE"""),"National Academy for State Health Policy")</f>
        <v>National Academy for State Health Policy</v>
      </c>
      <c r="G365" s="3" t="str">
        <f>IFERROR(__xludf.DUMMYFUNCTION("""COMPUTED_VALUE"""),"https://www.nashp.org/2020-state-reopening-chart/")</f>
        <v>https://www.nashp.org/2020-state-reopening-chart/</v>
      </c>
      <c r="H365" s="1"/>
      <c r="I365" s="1"/>
    </row>
    <row r="366">
      <c r="A366" s="2">
        <f>IFERROR(__xludf.DUMMYFUNCTION("""COMPUTED_VALUE"""),44176.0)</f>
        <v>44176</v>
      </c>
      <c r="B366" s="1" t="str">
        <f>IFERROR(__xludf.DUMMYFUNCTION("""COMPUTED_VALUE"""),"Maine")</f>
        <v>Maine</v>
      </c>
      <c r="C366" s="1" t="str">
        <f>IFERROR(__xludf.DUMMYFUNCTION("""COMPUTED_VALUE"""),"State Proclamations ")</f>
        <v>State Proclamations </v>
      </c>
      <c r="D366" s="1" t="str">
        <f>IFERROR(__xludf.DUMMYFUNCTION("""COMPUTED_VALUE"""),"Closing")</f>
        <v>Closing</v>
      </c>
      <c r="E366" s="1" t="str">
        <f>IFERROR(__xludf.DUMMYFUNCTION("""COMPUTED_VALUE"""),"The governor further strengthened mask requirements. Anyone who insists on entering an establishment without a mask can be removed and charged with trespassing.")</f>
        <v>The governor further strengthened mask requirements. Anyone who insists on entering an establishment without a mask can be removed and charged with trespassing.</v>
      </c>
      <c r="F366" s="1" t="str">
        <f>IFERROR(__xludf.DUMMYFUNCTION("""COMPUTED_VALUE"""),"National Academy for State Health Policy")</f>
        <v>National Academy for State Health Policy</v>
      </c>
      <c r="G366" s="3" t="str">
        <f>IFERROR(__xludf.DUMMYFUNCTION("""COMPUTED_VALUE"""),"https://www.nashp.org/2020-state-reopening-chart/")</f>
        <v>https://www.nashp.org/2020-state-reopening-chart/</v>
      </c>
      <c r="H366" s="1"/>
      <c r="I366" s="1"/>
    </row>
    <row r="367">
      <c r="A367" s="2">
        <f>IFERROR(__xludf.DUMMYFUNCTION("""COMPUTED_VALUE"""),44187.0)</f>
        <v>44187</v>
      </c>
      <c r="B367" s="1" t="str">
        <f>IFERROR(__xludf.DUMMYFUNCTION("""COMPUTED_VALUE"""),"Maine")</f>
        <v>Maine</v>
      </c>
      <c r="C367" s="1" t="str">
        <f>IFERROR(__xludf.DUMMYFUNCTION("""COMPUTED_VALUE"""),"State Proclamations ")</f>
        <v>State Proclamations </v>
      </c>
      <c r="D367" s="1" t="str">
        <f>IFERROR(__xludf.DUMMYFUNCTION("""COMPUTED_VALUE"""),"Closing")</f>
        <v>Closing</v>
      </c>
      <c r="E367" s="1" t="str">
        <f>IFERROR(__xludf.DUMMYFUNCTION("""COMPUTED_VALUE"""),"The governor extended the emergency order through Jan. 20, 2021.")</f>
        <v>The governor extended the emergency order through Jan. 20, 2021.</v>
      </c>
      <c r="F367" s="1" t="str">
        <f>IFERROR(__xludf.DUMMYFUNCTION("""COMPUTED_VALUE"""),"National Academy for State Health Policy")</f>
        <v>National Academy for State Health Policy</v>
      </c>
      <c r="G367" s="3" t="str">
        <f>IFERROR(__xludf.DUMMYFUNCTION("""COMPUTED_VALUE"""),"https://www.nashp.org/2020-state-reopening-chart/")</f>
        <v>https://www.nashp.org/2020-state-reopening-chart/</v>
      </c>
      <c r="H367" s="1"/>
      <c r="I367" s="1"/>
    </row>
    <row r="368">
      <c r="A368" s="2">
        <f>IFERROR(__xludf.DUMMYFUNCTION("""COMPUTED_VALUE"""),44195.0)</f>
        <v>44195</v>
      </c>
      <c r="B368" s="1" t="str">
        <f>IFERROR(__xludf.DUMMYFUNCTION("""COMPUTED_VALUE"""),"Maine")</f>
        <v>Maine</v>
      </c>
      <c r="C368" s="1" t="str">
        <f>IFERROR(__xludf.DUMMYFUNCTION("""COMPUTED_VALUE"""),"State Proclamations ")</f>
        <v>State Proclamations </v>
      </c>
      <c r="D368" s="1" t="str">
        <f>IFERROR(__xludf.DUMMYFUNCTION("""COMPUTED_VALUE"""),"Closing")</f>
        <v>Closing</v>
      </c>
      <c r="E368" s="1" t="str">
        <f>IFERROR(__xludf.DUMMYFUNCTION("""COMPUTED_VALUE"""),"The governor indefinitely extended an order requiring businesses like restaurants, bars, and indoor and outdoor amusement venues to close nightly by 9 p.m.")</f>
        <v>The governor indefinitely extended an order requiring businesses like restaurants, bars, and indoor and outdoor amusement venues to close nightly by 9 p.m.</v>
      </c>
      <c r="F368" s="1" t="str">
        <f>IFERROR(__xludf.DUMMYFUNCTION("""COMPUTED_VALUE"""),"National Academy for State Health Policy")</f>
        <v>National Academy for State Health Policy</v>
      </c>
      <c r="G368" s="3" t="str">
        <f>IFERROR(__xludf.DUMMYFUNCTION("""COMPUTED_VALUE"""),"https://www.nashp.org/2020-state-reopening-chart/")</f>
        <v>https://www.nashp.org/2020-state-reopening-chart/</v>
      </c>
      <c r="H368" s="1"/>
      <c r="I368" s="1"/>
    </row>
    <row r="369">
      <c r="A369" s="2">
        <f>IFERROR(__xludf.DUMMYFUNCTION("""COMPUTED_VALUE"""),44228.0)</f>
        <v>44228</v>
      </c>
      <c r="B369" s="1" t="str">
        <f>IFERROR(__xludf.DUMMYFUNCTION("""COMPUTED_VALUE"""),"Maine")</f>
        <v>Maine</v>
      </c>
      <c r="C369" s="1" t="str">
        <f>IFERROR(__xludf.DUMMYFUNCTION("""COMPUTED_VALUE"""),"State Proclamations ")</f>
        <v>State Proclamations </v>
      </c>
      <c r="D369" s="1" t="str">
        <f>IFERROR(__xludf.DUMMYFUNCTION("""COMPUTED_VALUE"""),"Opening")</f>
        <v>Opening</v>
      </c>
      <c r="E369" s="1" t="str">
        <f>IFERROR(__xludf.DUMMYFUNCTION("""COMPUTED_VALUE"""),"Gov. Janet Mills ended a Nov. 20, 2020 order, which required businesses such as restaurants, bars, and indoor and outdoor amusement venues to close nightly by 9 pm.")</f>
        <v>Gov. Janet Mills ended a Nov. 20, 2020 order, which required businesses such as restaurants, bars, and indoor and outdoor amusement venues to close nightly by 9 pm.</v>
      </c>
      <c r="F369" s="1" t="str">
        <f>IFERROR(__xludf.DUMMYFUNCTION("""COMPUTED_VALUE"""),"National Academy for State Health Policy")</f>
        <v>National Academy for State Health Policy</v>
      </c>
      <c r="G369" s="3" t="str">
        <f>IFERROR(__xludf.DUMMYFUNCTION("""COMPUTED_VALUE"""),"https://www.nashp.org/2021-covid-19-state-restrictions-re-openings-and-mask-requirements/")</f>
        <v>https://www.nashp.org/2021-covid-19-state-restrictions-re-openings-and-mask-requirements/</v>
      </c>
      <c r="H369" s="1"/>
      <c r="I369" s="1"/>
    </row>
    <row r="370">
      <c r="A370" s="2">
        <f>IFERROR(__xludf.DUMMYFUNCTION("""COMPUTED_VALUE"""),44239.0)</f>
        <v>44239</v>
      </c>
      <c r="B370" s="1" t="str">
        <f>IFERROR(__xludf.DUMMYFUNCTION("""COMPUTED_VALUE"""),"Maine")</f>
        <v>Maine</v>
      </c>
      <c r="C370" s="1" t="str">
        <f>IFERROR(__xludf.DUMMYFUNCTION("""COMPUTED_VALUE"""),"State Proclamations ")</f>
        <v>State Proclamations </v>
      </c>
      <c r="D370" s="1" t="str">
        <f>IFERROR(__xludf.DUMMYFUNCTION("""COMPUTED_VALUE"""),"Opening")</f>
        <v>Opening</v>
      </c>
      <c r="E370" s="1" t="str">
        <f>IFERROR(__xludf.DUMMYFUNCTION("""COMPUTED_VALUE"""),"The governor expanded gathering limits for large houses of worship. Gatherings of five people per 1,000 square feet are now permitted with no attendance cap. Previously, the state only allowed religious gatherings of up to 50 people, regardless of square "&amp;"footage. Smaller houses of worship are still only allowed to have gatherings of up to 50 people.")</f>
        <v>The governor expanded gathering limits for large houses of worship. Gatherings of five people per 1,000 square feet are now permitted with no attendance cap. Previously, the state only allowed religious gatherings of up to 50 people, regardless of square footage. Smaller houses of worship are still only allowed to have gatherings of up to 50 people.</v>
      </c>
      <c r="F370" s="1" t="str">
        <f>IFERROR(__xludf.DUMMYFUNCTION("""COMPUTED_VALUE"""),"National Academy for State Health Policy")</f>
        <v>National Academy for State Health Policy</v>
      </c>
      <c r="G370" s="3" t="str">
        <f>IFERROR(__xludf.DUMMYFUNCTION("""COMPUTED_VALUE"""),"https://www.nashp.org/2021-covid-19-state-restrictions-re-openings-and-mask-requirements/")</f>
        <v>https://www.nashp.org/2021-covid-19-state-restrictions-re-openings-and-mask-requirements/</v>
      </c>
      <c r="H370" s="1"/>
      <c r="I370" s="1"/>
    </row>
    <row r="371">
      <c r="A371" s="2">
        <f>IFERROR(__xludf.DUMMYFUNCTION("""COMPUTED_VALUE"""),44281.0)</f>
        <v>44281</v>
      </c>
      <c r="B371" s="1" t="str">
        <f>IFERROR(__xludf.DUMMYFUNCTION("""COMPUTED_VALUE"""),"Maine")</f>
        <v>Maine</v>
      </c>
      <c r="C371" s="1" t="str">
        <f>IFERROR(__xludf.DUMMYFUNCTION("""COMPUTED_VALUE"""),"State Proclamations ")</f>
        <v>State Proclamations </v>
      </c>
      <c r="D371" s="1" t="str">
        <f>IFERROR(__xludf.DUMMYFUNCTION("""COMPUTED_VALUE"""),"Opening")</f>
        <v>Opening</v>
      </c>
      <c r="E371" s="1" t="str">
        <f>IFERROR(__xludf.DUMMYFUNCTION("""COMPUTED_VALUE"""),"Bars can resume indoor service, and indoor entertainment venues will be allowed to operate at 50% capacity. Outdoor entertainment venues will be allowed to operate at 75% capacity.")</f>
        <v>Bars can resume indoor service, and indoor entertainment venues will be allowed to operate at 50% capacity. Outdoor entertainment venues will be allowed to operate at 75% capacity.</v>
      </c>
      <c r="F371" s="1" t="str">
        <f>IFERROR(__xludf.DUMMYFUNCTION("""COMPUTED_VALUE"""),"National Academy for State Health Policy")</f>
        <v>National Academy for State Health Policy</v>
      </c>
      <c r="G371" s="3" t="str">
        <f>IFERROR(__xludf.DUMMYFUNCTION("""COMPUTED_VALUE"""),"https://www.nashp.org/2021-covid-19-state-restrictions-re-openings-and-mask-requirements/")</f>
        <v>https://www.nashp.org/2021-covid-19-state-restrictions-re-openings-and-mask-requirements/</v>
      </c>
      <c r="H371" s="1"/>
      <c r="I371" s="1"/>
    </row>
    <row r="372">
      <c r="A372" s="2">
        <f>IFERROR(__xludf.DUMMYFUNCTION("""COMPUTED_VALUE"""),44313.0)</f>
        <v>44313</v>
      </c>
      <c r="B372" s="1" t="str">
        <f>IFERROR(__xludf.DUMMYFUNCTION("""COMPUTED_VALUE"""),"Maine")</f>
        <v>Maine</v>
      </c>
      <c r="C372" s="1" t="str">
        <f>IFERROR(__xludf.DUMMYFUNCTION("""COMPUTED_VALUE"""),"Mask Mandate")</f>
        <v>Mask Mandate</v>
      </c>
      <c r="D372" s="1" t="str">
        <f>IFERROR(__xludf.DUMMYFUNCTION("""COMPUTED_VALUE"""),"End")</f>
        <v>End</v>
      </c>
      <c r="E372" s="1" t="str">
        <f>IFERROR(__xludf.DUMMYFUNCTION("""COMPUTED_VALUE"""),"On April 27, the governor lifted the mandate on wearing masks in public outdoor spaces")</f>
        <v>On April 27, the governor lifted the mandate on wearing masks in public outdoor spaces</v>
      </c>
      <c r="F372" s="1" t="str">
        <f>IFERROR(__xludf.DUMMYFUNCTION("""COMPUTED_VALUE"""),"National Academy for State Health Policy")</f>
        <v>National Academy for State Health Policy</v>
      </c>
      <c r="G372" s="3" t="str">
        <f>IFERROR(__xludf.DUMMYFUNCTION("""COMPUTED_VALUE"""),"https://www.nashp.org/2021-covid-19-state-restrictions-re-openings-and-mask-requirements/")</f>
        <v>https://www.nashp.org/2021-covid-19-state-restrictions-re-openings-and-mask-requirements/</v>
      </c>
      <c r="H372" s="1"/>
      <c r="I372" s="1"/>
    </row>
    <row r="373">
      <c r="A373" s="2">
        <f>IFERROR(__xludf.DUMMYFUNCTION("""COMPUTED_VALUE"""),44340.0)</f>
        <v>44340</v>
      </c>
      <c r="B373" s="1" t="str">
        <f>IFERROR(__xludf.DUMMYFUNCTION("""COMPUTED_VALUE"""),"Maine")</f>
        <v>Maine</v>
      </c>
      <c r="C373" s="1" t="str">
        <f>IFERROR(__xludf.DUMMYFUNCTION("""COMPUTED_VALUE"""),"Mask Mandate")</f>
        <v>Mask Mandate</v>
      </c>
      <c r="D373" s="1" t="str">
        <f>IFERROR(__xludf.DUMMYFUNCTION("""COMPUTED_VALUE"""),"End")</f>
        <v>End</v>
      </c>
      <c r="E373" s="1" t="str">
        <f>IFERROR(__xludf.DUMMYFUNCTION("""COMPUTED_VALUE"""),"On May 24, the governor lifted the indoor mask mandate")</f>
        <v>On May 24, the governor lifted the indoor mask mandate</v>
      </c>
      <c r="F373" s="1" t="str">
        <f>IFERROR(__xludf.DUMMYFUNCTION("""COMPUTED_VALUE"""),"National Academy for State Health Policy")</f>
        <v>National Academy for State Health Policy</v>
      </c>
      <c r="G373" s="3" t="str">
        <f>IFERROR(__xludf.DUMMYFUNCTION("""COMPUTED_VALUE"""),"https://www.nashp.org/2021-covid-19-state-restrictions-re-openings-and-mask-requirements/")</f>
        <v>https://www.nashp.org/2021-covid-19-state-restrictions-re-openings-and-mask-requirements/</v>
      </c>
      <c r="H373" s="1"/>
      <c r="I373" s="1"/>
    </row>
    <row r="374">
      <c r="A374" s="2">
        <f>IFERROR(__xludf.DUMMYFUNCTION("""COMPUTED_VALUE"""),44340.0)</f>
        <v>44340</v>
      </c>
      <c r="B374" s="1" t="str">
        <f>IFERROR(__xludf.DUMMYFUNCTION("""COMPUTED_VALUE"""),"Maine")</f>
        <v>Maine</v>
      </c>
      <c r="C374" s="1" t="str">
        <f>IFERROR(__xludf.DUMMYFUNCTION("""COMPUTED_VALUE"""),"State Proclamations ")</f>
        <v>State Proclamations </v>
      </c>
      <c r="D374" s="1" t="str">
        <f>IFERROR(__xludf.DUMMYFUNCTION("""COMPUTED_VALUE"""),"Opening")</f>
        <v>Opening</v>
      </c>
      <c r="E374" s="1" t="str">
        <f>IFERROR(__xludf.DUMMYFUNCTION("""COMPUTED_VALUE"""),"Indoor entertainment venues can operate at 75% capacity, and outdoor entertainment venues are allowed to fully reopen. The governor also ended capacity and social distancing requirements for most businesses.")</f>
        <v>Indoor entertainment venues can operate at 75% capacity, and outdoor entertainment venues are allowed to fully reopen. The governor also ended capacity and social distancing requirements for most businesses.</v>
      </c>
      <c r="F374" s="1" t="str">
        <f>IFERROR(__xludf.DUMMYFUNCTION("""COMPUTED_VALUE"""),"National Academy for State Health Policy")</f>
        <v>National Academy for State Health Policy</v>
      </c>
      <c r="G374" s="3" t="str">
        <f>IFERROR(__xludf.DUMMYFUNCTION("""COMPUTED_VALUE"""),"https://www.nashp.org/2021-covid-19-state-restrictions-re-openings-and-mask-requirements/")</f>
        <v>https://www.nashp.org/2021-covid-19-state-restrictions-re-openings-and-mask-requirements/</v>
      </c>
      <c r="H374" s="1"/>
      <c r="I374" s="1"/>
    </row>
    <row r="375">
      <c r="A375" s="2">
        <f>IFERROR(__xludf.DUMMYFUNCTION("""COMPUTED_VALUE"""),44356.0)</f>
        <v>44356</v>
      </c>
      <c r="B375" s="1" t="str">
        <f>IFERROR(__xludf.DUMMYFUNCTION("""COMPUTED_VALUE"""),"Maine")</f>
        <v>Maine</v>
      </c>
      <c r="C375" s="1" t="str">
        <f>IFERROR(__xludf.DUMMYFUNCTION("""COMPUTED_VALUE"""),"State Proclamations ")</f>
        <v>State Proclamations </v>
      </c>
      <c r="D375" s="1" t="str">
        <f>IFERROR(__xludf.DUMMYFUNCTION("""COMPUTED_VALUE"""),"Opening")</f>
        <v>Opening</v>
      </c>
      <c r="E375" s="1" t="str">
        <f>IFERROR(__xludf.DUMMYFUNCTION("""COMPUTED_VALUE"""),"The governor announced that all social distancing requirements in schools will be lifted for the 2021-2022 school year.")</f>
        <v>The governor announced that all social distancing requirements in schools will be lifted for the 2021-2022 school year.</v>
      </c>
      <c r="F375" s="1" t="str">
        <f>IFERROR(__xludf.DUMMYFUNCTION("""COMPUTED_VALUE"""),"National Academy for State Health Policy")</f>
        <v>National Academy for State Health Policy</v>
      </c>
      <c r="G375" s="3" t="str">
        <f>IFERROR(__xludf.DUMMYFUNCTION("""COMPUTED_VALUE"""),"https://www.nashp.org/2021-covid-19-state-restrictions-re-openings-and-mask-requirements/")</f>
        <v>https://www.nashp.org/2021-covid-19-state-restrictions-re-openings-and-mask-requirements/</v>
      </c>
      <c r="H375" s="1"/>
      <c r="I375" s="1"/>
    </row>
    <row r="376">
      <c r="A376" s="2">
        <f>IFERROR(__xludf.DUMMYFUNCTION("""COMPUTED_VALUE"""),44377.0)</f>
        <v>44377</v>
      </c>
      <c r="B376" s="1" t="str">
        <f>IFERROR(__xludf.DUMMYFUNCTION("""COMPUTED_VALUE"""),"Maine")</f>
        <v>Maine</v>
      </c>
      <c r="C376" s="1" t="str">
        <f>IFERROR(__xludf.DUMMYFUNCTION("""COMPUTED_VALUE"""),"State of Emergency")</f>
        <v>State of Emergency</v>
      </c>
      <c r="D376" s="1" t="str">
        <f>IFERROR(__xludf.DUMMYFUNCTION("""COMPUTED_VALUE"""),"End")</f>
        <v>End</v>
      </c>
      <c r="E376" s="1" t="str">
        <f>IFERROR(__xludf.DUMMYFUNCTION("""COMPUTED_VALUE"""),"State of Emergency ended on June 30, 2021")</f>
        <v>State of Emergency ended on June 30, 2021</v>
      </c>
      <c r="F376" s="1" t="str">
        <f>IFERROR(__xludf.DUMMYFUNCTION("""COMPUTED_VALUE"""),"National Academy for State Health Policy")</f>
        <v>National Academy for State Health Policy</v>
      </c>
      <c r="G376" s="3" t="str">
        <f>IFERROR(__xludf.DUMMYFUNCTION("""COMPUTED_VALUE"""),"https://www.nashp.org/2021-covid-19-state-restrictions-re-openings-and-mask-requirements/")</f>
        <v>https://www.nashp.org/2021-covid-19-state-restrictions-re-openings-and-mask-requirements/</v>
      </c>
      <c r="H376" s="1"/>
      <c r="I376" s="1"/>
    </row>
    <row r="377">
      <c r="A377" s="2">
        <f>IFERROR(__xludf.DUMMYFUNCTION("""COMPUTED_VALUE"""),44538.0)</f>
        <v>44538</v>
      </c>
      <c r="B377" s="1" t="str">
        <f>IFERROR(__xludf.DUMMYFUNCTION("""COMPUTED_VALUE"""),"Maine")</f>
        <v>Maine</v>
      </c>
      <c r="C377" s="1" t="str">
        <f>IFERROR(__xludf.DUMMYFUNCTION("""COMPUTED_VALUE"""),"State Proclamations ")</f>
        <v>State Proclamations </v>
      </c>
      <c r="D377" s="1" t="str">
        <f>IFERROR(__xludf.DUMMYFUNCTION("""COMPUTED_VALUE"""),"Closing")</f>
        <v>Closing</v>
      </c>
      <c r="E377" s="1" t="str">
        <f>IFERROR(__xludf.DUMMYFUNCTION("""COMPUTED_VALUE"""),"The governor announced she is activating members of the Maine National guard to help address capacity constraints at hospitals and inpatient care facilities.")</f>
        <v>The governor announced she is activating members of the Maine National guard to help address capacity constraints at hospitals and inpatient care facilities.</v>
      </c>
      <c r="F377" s="1" t="str">
        <f>IFERROR(__xludf.DUMMYFUNCTION("""COMPUTED_VALUE"""),"National Academy for State Health Policy")</f>
        <v>National Academy for State Health Policy</v>
      </c>
      <c r="G377" s="3" t="str">
        <f>IFERROR(__xludf.DUMMYFUNCTION("""COMPUTED_VALUE"""),"https://www.nashp.org/2021-covid-19-state-restrictions-re-openings-and-mask-requirements/")</f>
        <v>https://www.nashp.org/2021-covid-19-state-restrictions-re-openings-and-mask-requirements/</v>
      </c>
      <c r="H377" s="1"/>
      <c r="I377" s="1"/>
    </row>
    <row r="378">
      <c r="A378" s="2">
        <f>IFERROR(__xludf.DUMMYFUNCTION("""COMPUTED_VALUE"""),43895.0)</f>
        <v>43895</v>
      </c>
      <c r="B378" s="1" t="str">
        <f>IFERROR(__xludf.DUMMYFUNCTION("""COMPUTED_VALUE"""),"Maryland")</f>
        <v>Maryland</v>
      </c>
      <c r="C378" s="1" t="str">
        <f>IFERROR(__xludf.DUMMYFUNCTION("""COMPUTED_VALUE"""),"State of Emergency")</f>
        <v>State of Emergency</v>
      </c>
      <c r="D378" s="1" t="str">
        <f>IFERROR(__xludf.DUMMYFUNCTION("""COMPUTED_VALUE"""),"Start")</f>
        <v>Start</v>
      </c>
      <c r="E378" s="1" t="str">
        <f>IFERROR(__xludf.DUMMYFUNCTION("""COMPUTED_VALUE"""),"On March 5, Gov. Larry Hogan declared a state of emergency in Maryland after announcing the state's first three positive coronavirus tests.")</f>
        <v>On March 5, Gov. Larry Hogan declared a state of emergency in Maryland after announcing the state's first three positive coronavirus tests.</v>
      </c>
      <c r="F378" s="1" t="str">
        <f>IFERROR(__xludf.DUMMYFUNCTION("""COMPUTED_VALUE"""),"Business Insider")</f>
        <v>Business Insider</v>
      </c>
      <c r="G378" s="3" t="str">
        <f>IFERROR(__xludf.DUMMYFUNCTION("""COMPUTED_VALUE"""),"https://www.businessinsider.com/california-washington-state-of-emergency-coronavirus-what-it-means-2020-3#maryland-3")</f>
        <v>https://www.businessinsider.com/california-washington-state-of-emergency-coronavirus-what-it-means-2020-3#maryland-3</v>
      </c>
      <c r="H378" s="1"/>
      <c r="I378" s="1"/>
    </row>
    <row r="379">
      <c r="A379" s="2">
        <f>IFERROR(__xludf.DUMMYFUNCTION("""COMPUTED_VALUE"""),43920.0)</f>
        <v>43920</v>
      </c>
      <c r="B379" s="1" t="str">
        <f>IFERROR(__xludf.DUMMYFUNCTION("""COMPUTED_VALUE"""),"Maryland")</f>
        <v>Maryland</v>
      </c>
      <c r="C379" s="1" t="str">
        <f>IFERROR(__xludf.DUMMYFUNCTION("""COMPUTED_VALUE"""),"Stay-at-Home Order")</f>
        <v>Stay-at-Home Order</v>
      </c>
      <c r="D379" s="1" t="str">
        <f>IFERROR(__xludf.DUMMYFUNCTION("""COMPUTED_VALUE"""),"Start")</f>
        <v>Start</v>
      </c>
      <c r="E379" s="1" t="str">
        <f>IFERROR(__xludf.DUMMYFUNCTION("""COMPUTED_VALUE"""),"The order, which went into effect March 30 at 8 p.m., restricts residents from leaving their homes except to visit grocery stores and pharmacies, to seek medical attention or to exercise.")</f>
        <v>The order, which went into effect March 30 at 8 p.m., restricts residents from leaving their homes except to visit grocery stores and pharmacies, to seek medical attention or to exercise.</v>
      </c>
      <c r="F379" s="1" t="str">
        <f>IFERROR(__xludf.DUMMYFUNCTION("""COMPUTED_VALUE"""),"CNN")</f>
        <v>CNN</v>
      </c>
      <c r="G379" s="3" t="str">
        <f>IFERROR(__xludf.DUMMYFUNCTION("""COMPUTED_VALUE"""),"https://www.cnn.com/2020/03/23/us/coronavirus-which-states-stay-at-home-order-trnd/index.html")</f>
        <v>https://www.cnn.com/2020/03/23/us/coronavirus-which-states-stay-at-home-order-trnd/index.html</v>
      </c>
      <c r="H379" s="1"/>
      <c r="I379" s="1"/>
    </row>
    <row r="380">
      <c r="A380" s="2">
        <f>IFERROR(__xludf.DUMMYFUNCTION("""COMPUTED_VALUE"""),43939.0)</f>
        <v>43939</v>
      </c>
      <c r="B380" s="1" t="str">
        <f>IFERROR(__xludf.DUMMYFUNCTION("""COMPUTED_VALUE"""),"Maryland")</f>
        <v>Maryland</v>
      </c>
      <c r="C380" s="1" t="str">
        <f>IFERROR(__xludf.DUMMYFUNCTION("""COMPUTED_VALUE"""),"Mask Mandate")</f>
        <v>Mask Mandate</v>
      </c>
      <c r="D380" s="1" t="str">
        <f>IFERROR(__xludf.DUMMYFUNCTION("""COMPUTED_VALUE"""),"Start")</f>
        <v>Start</v>
      </c>
      <c r="E380" s="1" t="str">
        <f>IFERROR(__xludf.DUMMYFUNCTION("""COMPUTED_VALUE"""),"Commuters must wear face coverings while using Maryland's public transit, according to Gov. Larry Hogan's order.")</f>
        <v>Commuters must wear face coverings while using Maryland's public transit, according to Gov. Larry Hogan's order.</v>
      </c>
      <c r="F380" s="1" t="str">
        <f>IFERROR(__xludf.DUMMYFUNCTION("""COMPUTED_VALUE"""),"CNN")</f>
        <v>CNN</v>
      </c>
      <c r="G380" s="3" t="str">
        <f>IFERROR(__xludf.DUMMYFUNCTION("""COMPUTED_VALUE"""),"https://www.cnn.com/2020/06/19/us/states-face-mask-coronavirus-trnd/index.html")</f>
        <v>https://www.cnn.com/2020/06/19/us/states-face-mask-coronavirus-trnd/index.html</v>
      </c>
      <c r="H380" s="1"/>
      <c r="I380" s="1"/>
    </row>
    <row r="381">
      <c r="A381" s="2">
        <f>IFERROR(__xludf.DUMMYFUNCTION("""COMPUTED_VALUE"""),43966.0)</f>
        <v>43966</v>
      </c>
      <c r="B381" s="1" t="str">
        <f>IFERROR(__xludf.DUMMYFUNCTION("""COMPUTED_VALUE"""),"Maryland")</f>
        <v>Maryland</v>
      </c>
      <c r="C381" s="1" t="str">
        <f>IFERROR(__xludf.DUMMYFUNCTION("""COMPUTED_VALUE"""),"State Proclamations ")</f>
        <v>State Proclamations </v>
      </c>
      <c r="D381" s="1" t="str">
        <f>IFERROR(__xludf.DUMMYFUNCTION("""COMPUTED_VALUE"""),"Opening")</f>
        <v>Opening</v>
      </c>
      <c r="E381" s="1" t="str">
        <f>IFERROR(__xludf.DUMMYFUNCTION("""COMPUTED_VALUE"""),"Maryland has reopened retail stores, malls, outdoor service at breweries, wineries, and distilleries, restaurants, personal care services, houses or worship, casinos, beaches, outdoor pools, gyms, and day camps. Elective medical and dental procedures at a"&amp;"mbulatory, outpatient and medical offices can resume at the discretion of providers.")</f>
        <v>Maryland has reopened retail stores, malls, outdoor service at breweries, wineries, and distilleries, restaurants, personal care services, houses or worship, casinos, beaches, outdoor pools, gyms, and day camps. Elective medical and dental procedures at ambulatory, outpatient and medical offices can resume at the discretion of providers.</v>
      </c>
      <c r="F381" s="1" t="str">
        <f>IFERROR(__xludf.DUMMYFUNCTION("""COMPUTED_VALUE"""),"National Academy for State Health Policy")</f>
        <v>National Academy for State Health Policy</v>
      </c>
      <c r="G381" s="3" t="str">
        <f>IFERROR(__xludf.DUMMYFUNCTION("""COMPUTED_VALUE"""),"https://www.nashp.org/2020-state-reopening-chart/")</f>
        <v>https://www.nashp.org/2020-state-reopening-chart/</v>
      </c>
      <c r="H381" s="1"/>
      <c r="I381" s="1"/>
    </row>
    <row r="382">
      <c r="A382" s="2">
        <f>IFERROR(__xludf.DUMMYFUNCTION("""COMPUTED_VALUE"""),43994.0)</f>
        <v>43994</v>
      </c>
      <c r="B382" s="1" t="str">
        <f>IFERROR(__xludf.DUMMYFUNCTION("""COMPUTED_VALUE"""),"Maryland")</f>
        <v>Maryland</v>
      </c>
      <c r="C382" s="1" t="str">
        <f>IFERROR(__xludf.DUMMYFUNCTION("""COMPUTED_VALUE"""),"State Proclamations ")</f>
        <v>State Proclamations </v>
      </c>
      <c r="D382" s="1" t="str">
        <f>IFERROR(__xludf.DUMMYFUNCTION("""COMPUTED_VALUE"""),"Opening")</f>
        <v>Opening</v>
      </c>
      <c r="E382" s="1" t="str">
        <f>IFERROR(__xludf.DUMMYFUNCTION("""COMPUTED_VALUE"""),"Indoor dining reopened at 50% capacity, and amusement parks reopened.")</f>
        <v>Indoor dining reopened at 50% capacity, and amusement parks reopened.</v>
      </c>
      <c r="F382" s="1" t="str">
        <f>IFERROR(__xludf.DUMMYFUNCTION("""COMPUTED_VALUE"""),"National Academy for State Health Policy")</f>
        <v>National Academy for State Health Policy</v>
      </c>
      <c r="G382" s="3" t="str">
        <f>IFERROR(__xludf.DUMMYFUNCTION("""COMPUTED_VALUE"""),"https://www.nashp.org/2020-state-reopening-chart/")</f>
        <v>https://www.nashp.org/2020-state-reopening-chart/</v>
      </c>
      <c r="H382" s="1"/>
      <c r="I382" s="1"/>
    </row>
    <row r="383">
      <c r="A383" s="2">
        <f>IFERROR(__xludf.DUMMYFUNCTION("""COMPUTED_VALUE"""),44001.0)</f>
        <v>44001</v>
      </c>
      <c r="B383" s="1" t="str">
        <f>IFERROR(__xludf.DUMMYFUNCTION("""COMPUTED_VALUE"""),"Maryland")</f>
        <v>Maryland</v>
      </c>
      <c r="C383" s="1" t="str">
        <f>IFERROR(__xludf.DUMMYFUNCTION("""COMPUTED_VALUE"""),"State Proclamations ")</f>
        <v>State Proclamations </v>
      </c>
      <c r="D383" s="1" t="str">
        <f>IFERROR(__xludf.DUMMYFUNCTION("""COMPUTED_VALUE"""),"Opening")</f>
        <v>Opening</v>
      </c>
      <c r="E383" s="1" t="str">
        <f>IFERROR(__xludf.DUMMYFUNCTION("""COMPUTED_VALUE"""),"With local approval, indoor fitness centers, gyms, martial arts, dance, and other studio-type activities can reopen, all limited at 50% capacity. Casinos, arcades, and malls can also open.")</f>
        <v>With local approval, indoor fitness centers, gyms, martial arts, dance, and other studio-type activities can reopen, all limited at 50% capacity. Casinos, arcades, and malls can also open.</v>
      </c>
      <c r="F383" s="1" t="str">
        <f>IFERROR(__xludf.DUMMYFUNCTION("""COMPUTED_VALUE"""),"National Academy for State Health Policy")</f>
        <v>National Academy for State Health Policy</v>
      </c>
      <c r="G383" s="3" t="str">
        <f>IFERROR(__xludf.DUMMYFUNCTION("""COMPUTED_VALUE"""),"https://www.nashp.org/2020-state-reopening-chart/")</f>
        <v>https://www.nashp.org/2020-state-reopening-chart/</v>
      </c>
      <c r="H383" s="1"/>
      <c r="I383" s="1"/>
    </row>
    <row r="384">
      <c r="A384" s="2">
        <f>IFERROR(__xludf.DUMMYFUNCTION("""COMPUTED_VALUE"""),44036.0)</f>
        <v>44036</v>
      </c>
      <c r="B384" s="1" t="str">
        <f>IFERROR(__xludf.DUMMYFUNCTION("""COMPUTED_VALUE"""),"Maryland")</f>
        <v>Maryland</v>
      </c>
      <c r="C384" s="1" t="str">
        <f>IFERROR(__xludf.DUMMYFUNCTION("""COMPUTED_VALUE"""),"State Proclamations ")</f>
        <v>State Proclamations </v>
      </c>
      <c r="D384" s="1" t="str">
        <f>IFERROR(__xludf.DUMMYFUNCTION("""COMPUTED_VALUE"""),"Opening")</f>
        <v>Opening</v>
      </c>
      <c r="E384" s="1" t="str">
        <f>IFERROR(__xludf.DUMMYFUNCTION("""COMPUTED_VALUE"""),"Baltimore suspended indoor dining at bars and restaurants.")</f>
        <v>Baltimore suspended indoor dining at bars and restaurants.</v>
      </c>
      <c r="F384" s="1" t="str">
        <f>IFERROR(__xludf.DUMMYFUNCTION("""COMPUTED_VALUE"""),"National Academy for State Health Policy")</f>
        <v>National Academy for State Health Policy</v>
      </c>
      <c r="G384" s="3" t="str">
        <f>IFERROR(__xludf.DUMMYFUNCTION("""COMPUTED_VALUE"""),"https://www.nashp.org/2020-state-reopening-chart/")</f>
        <v>https://www.nashp.org/2020-state-reopening-chart/</v>
      </c>
      <c r="H384" s="1"/>
      <c r="I384" s="1"/>
    </row>
    <row r="385">
      <c r="A385" s="2">
        <f>IFERROR(__xludf.DUMMYFUNCTION("""COMPUTED_VALUE"""),44041.0)</f>
        <v>44041</v>
      </c>
      <c r="B385" s="1" t="str">
        <f>IFERROR(__xludf.DUMMYFUNCTION("""COMPUTED_VALUE"""),"Maryland")</f>
        <v>Maryland</v>
      </c>
      <c r="C385" s="1" t="str">
        <f>IFERROR(__xludf.DUMMYFUNCTION("""COMPUTED_VALUE"""),"State Proclamations ")</f>
        <v>State Proclamations </v>
      </c>
      <c r="D385" s="1" t="str">
        <f>IFERROR(__xludf.DUMMYFUNCTION("""COMPUTED_VALUE"""),"Closing")</f>
        <v>Closing</v>
      </c>
      <c r="E385" s="1" t="str">
        <f>IFERROR(__xludf.DUMMYFUNCTION("""COMPUTED_VALUE"""),"The governor announced the state will not more into Phase 3 of reopening.")</f>
        <v>The governor announced the state will not more into Phase 3 of reopening.</v>
      </c>
      <c r="F385" s="1" t="str">
        <f>IFERROR(__xludf.DUMMYFUNCTION("""COMPUTED_VALUE"""),"National Academy for State Health Policy")</f>
        <v>National Academy for State Health Policy</v>
      </c>
      <c r="G385" s="3" t="str">
        <f>IFERROR(__xludf.DUMMYFUNCTION("""COMPUTED_VALUE"""),"https://www.nashp.org/2020-state-reopening-chart/")</f>
        <v>https://www.nashp.org/2020-state-reopening-chart/</v>
      </c>
      <c r="H385" s="1"/>
      <c r="I385" s="1"/>
    </row>
    <row r="386">
      <c r="A386" s="2">
        <f>IFERROR(__xludf.DUMMYFUNCTION("""COMPUTED_VALUE"""),44046.0)</f>
        <v>44046</v>
      </c>
      <c r="B386" s="1" t="str">
        <f>IFERROR(__xludf.DUMMYFUNCTION("""COMPUTED_VALUE"""),"Maryland")</f>
        <v>Maryland</v>
      </c>
      <c r="C386" s="1" t="str">
        <f>IFERROR(__xludf.DUMMYFUNCTION("""COMPUTED_VALUE"""),"State Proclamations ")</f>
        <v>State Proclamations </v>
      </c>
      <c r="D386" s="1" t="str">
        <f>IFERROR(__xludf.DUMMYFUNCTION("""COMPUTED_VALUE"""),"Opening")</f>
        <v>Opening</v>
      </c>
      <c r="E386" s="1" t="str">
        <f>IFERROR(__xludf.DUMMYFUNCTION("""COMPUTED_VALUE"""),"The governor said school systems and private schools should have sole authority to determine when and how to safely reopen; local health officials may shut down schools only on a case-by-case basis for health reasons.")</f>
        <v>The governor said school systems and private schools should have sole authority to determine when and how to safely reopen; local health officials may shut down schools only on a case-by-case basis for health reasons.</v>
      </c>
      <c r="F386" s="1" t="str">
        <f>IFERROR(__xludf.DUMMYFUNCTION("""COMPUTED_VALUE"""),"National Academy for State Health Policy")</f>
        <v>National Academy for State Health Policy</v>
      </c>
      <c r="G386" s="3" t="str">
        <f>IFERROR(__xludf.DUMMYFUNCTION("""COMPUTED_VALUE"""),"https://www.nashp.org/2020-state-reopening-chart/")</f>
        <v>https://www.nashp.org/2020-state-reopening-chart/</v>
      </c>
      <c r="H386" s="1"/>
      <c r="I386" s="1"/>
    </row>
    <row r="387">
      <c r="A387" s="2">
        <f>IFERROR(__xludf.DUMMYFUNCTION("""COMPUTED_VALUE"""),44075.0)</f>
        <v>44075</v>
      </c>
      <c r="B387" s="1" t="str">
        <f>IFERROR(__xludf.DUMMYFUNCTION("""COMPUTED_VALUE"""),"Maryland")</f>
        <v>Maryland</v>
      </c>
      <c r="C387" s="1" t="str">
        <f>IFERROR(__xludf.DUMMYFUNCTION("""COMPUTED_VALUE"""),"State Proclamations ")</f>
        <v>State Proclamations </v>
      </c>
      <c r="D387" s="1" t="str">
        <f>IFERROR(__xludf.DUMMYFUNCTION("""COMPUTED_VALUE"""),"Opening")</f>
        <v>Opening</v>
      </c>
      <c r="E387" s="1" t="str">
        <f>IFERROR(__xludf.DUMMYFUNCTION("""COMPUTED_VALUE"""),"The governor announced the state will move into Stage 3 of reopening, which means all businesses will be able to open, including movie theaters and live venues. Entertainment facilities can operate at 50% capacity or up to 100 people in indoor venues, or "&amp;"250 people at outdoor venues. Retail stores and places of worship can increase capacity to 75%.")</f>
        <v>The governor announced the state will move into Stage 3 of reopening, which means all businesses will be able to open, including movie theaters and live venues. Entertainment facilities can operate at 50% capacity or up to 100 people in indoor venues, or 250 people at outdoor venues. Retail stores and places of worship can increase capacity to 75%.</v>
      </c>
      <c r="F387" s="1" t="str">
        <f>IFERROR(__xludf.DUMMYFUNCTION("""COMPUTED_VALUE"""),"National Academy for State Health Policy")</f>
        <v>National Academy for State Health Policy</v>
      </c>
      <c r="G387" s="3" t="str">
        <f>IFERROR(__xludf.DUMMYFUNCTION("""COMPUTED_VALUE"""),"https://www.nashp.org/2020-state-reopening-chart/")</f>
        <v>https://www.nashp.org/2020-state-reopening-chart/</v>
      </c>
      <c r="H387" s="1"/>
      <c r="I387" s="1"/>
    </row>
    <row r="388">
      <c r="A388" s="2">
        <f>IFERROR(__xludf.DUMMYFUNCTION("""COMPUTED_VALUE"""),44134.0)</f>
        <v>44134</v>
      </c>
      <c r="B388" s="1" t="str">
        <f>IFERROR(__xludf.DUMMYFUNCTION("""COMPUTED_VALUE"""),"Maryland")</f>
        <v>Maryland</v>
      </c>
      <c r="C388" s="1" t="str">
        <f>IFERROR(__xludf.DUMMYFUNCTION("""COMPUTED_VALUE"""),"State Proclamations ")</f>
        <v>State Proclamations </v>
      </c>
      <c r="D388" s="1" t="str">
        <f>IFERROR(__xludf.DUMMYFUNCTION("""COMPUTED_VALUE"""),"Closing")</f>
        <v>Closing</v>
      </c>
      <c r="E388" s="1" t="str">
        <f>IFERROR(__xludf.DUMMYFUNCTION("""COMPUTED_VALUE"""),"The governor extended the state of emergency.")</f>
        <v>The governor extended the state of emergency.</v>
      </c>
      <c r="F388" s="1" t="str">
        <f>IFERROR(__xludf.DUMMYFUNCTION("""COMPUTED_VALUE"""),"National Academy for State Health Policy")</f>
        <v>National Academy for State Health Policy</v>
      </c>
      <c r="G388" s="3" t="str">
        <f>IFERROR(__xludf.DUMMYFUNCTION("""COMPUTED_VALUE"""),"https://www.nashp.org/2020-state-reopening-chart/")</f>
        <v>https://www.nashp.org/2020-state-reopening-chart/</v>
      </c>
      <c r="H388" s="1"/>
      <c r="I388" s="1"/>
    </row>
    <row r="389">
      <c r="A389" s="2">
        <f>IFERROR(__xludf.DUMMYFUNCTION("""COMPUTED_VALUE"""),44145.0)</f>
        <v>44145</v>
      </c>
      <c r="B389" s="1" t="str">
        <f>IFERROR(__xludf.DUMMYFUNCTION("""COMPUTED_VALUE"""),"Maryland")</f>
        <v>Maryland</v>
      </c>
      <c r="C389" s="1" t="str">
        <f>IFERROR(__xludf.DUMMYFUNCTION("""COMPUTED_VALUE"""),"State Proclamations ")</f>
        <v>State Proclamations </v>
      </c>
      <c r="D389" s="1" t="str">
        <f>IFERROR(__xludf.DUMMYFUNCTION("""COMPUTED_VALUE"""),"Closing")</f>
        <v>Closing</v>
      </c>
      <c r="E389" s="1" t="str">
        <f>IFERROR(__xludf.DUMMYFUNCTION("""COMPUTED_VALUE"""),"The governor announced additional restrictions reducing indoor dining from 75% to 50% capacity and limiting indoor gatherings to 25 people.")</f>
        <v>The governor announced additional restrictions reducing indoor dining from 75% to 50% capacity and limiting indoor gatherings to 25 people.</v>
      </c>
      <c r="F389" s="1" t="str">
        <f>IFERROR(__xludf.DUMMYFUNCTION("""COMPUTED_VALUE"""),"National Academy for State Health Policy")</f>
        <v>National Academy for State Health Policy</v>
      </c>
      <c r="G389" s="3" t="str">
        <f>IFERROR(__xludf.DUMMYFUNCTION("""COMPUTED_VALUE"""),"https://www.nashp.org/2020-state-reopening-chart/")</f>
        <v>https://www.nashp.org/2020-state-reopening-chart/</v>
      </c>
      <c r="H389" s="1"/>
      <c r="I389" s="1"/>
    </row>
    <row r="390">
      <c r="A390" s="2">
        <f>IFERROR(__xludf.DUMMYFUNCTION("""COMPUTED_VALUE"""),44153.0)</f>
        <v>44153</v>
      </c>
      <c r="B390" s="1" t="str">
        <f>IFERROR(__xludf.DUMMYFUNCTION("""COMPUTED_VALUE"""),"Maryland")</f>
        <v>Maryland</v>
      </c>
      <c r="C390" s="1" t="str">
        <f>IFERROR(__xludf.DUMMYFUNCTION("""COMPUTED_VALUE"""),"State Proclamations ")</f>
        <v>State Proclamations </v>
      </c>
      <c r="D390" s="1" t="str">
        <f>IFERROR(__xludf.DUMMYFUNCTION("""COMPUTED_VALUE"""),"Closing")</f>
        <v>Closing</v>
      </c>
      <c r="E390" s="1" t="str">
        <f>IFERROR(__xludf.DUMMYFUNCTION("""COMPUTED_VALUE"""),"The governor banned spectators from stadiums and announced new restrictions on nursing homes and hospitals.")</f>
        <v>The governor banned spectators from stadiums and announced new restrictions on nursing homes and hospitals.</v>
      </c>
      <c r="F390" s="1" t="str">
        <f>IFERROR(__xludf.DUMMYFUNCTION("""COMPUTED_VALUE"""),"National Academy for State Health Policy")</f>
        <v>National Academy for State Health Policy</v>
      </c>
      <c r="G390" s="3" t="str">
        <f>IFERROR(__xludf.DUMMYFUNCTION("""COMPUTED_VALUE"""),"https://www.nashp.org/2020-state-reopening-chart/")</f>
        <v>https://www.nashp.org/2020-state-reopening-chart/</v>
      </c>
      <c r="H390" s="1"/>
      <c r="I390" s="1"/>
    </row>
    <row r="391">
      <c r="A391" s="2">
        <f>IFERROR(__xludf.DUMMYFUNCTION("""COMPUTED_VALUE"""),44165.0)</f>
        <v>44165</v>
      </c>
      <c r="B391" s="1" t="str">
        <f>IFERROR(__xludf.DUMMYFUNCTION("""COMPUTED_VALUE"""),"Maryland")</f>
        <v>Maryland</v>
      </c>
      <c r="C391" s="1" t="str">
        <f>IFERROR(__xludf.DUMMYFUNCTION("""COMPUTED_VALUE"""),"State Proclamations ")</f>
        <v>State Proclamations </v>
      </c>
      <c r="D391" s="1" t="str">
        <f>IFERROR(__xludf.DUMMYFUNCTION("""COMPUTED_VALUE"""),"Closing")</f>
        <v>Closing</v>
      </c>
      <c r="E391" s="1" t="str">
        <f>IFERROR(__xludf.DUMMYFUNCTION("""COMPUTED_VALUE"""),"The governor announced he would be sending compliance units to downtown areas in certain cities to enforce restrictions in bars, restaurants, and other venues.")</f>
        <v>The governor announced he would be sending compliance units to downtown areas in certain cities to enforce restrictions in bars, restaurants, and other venues.</v>
      </c>
      <c r="F391" s="1" t="str">
        <f>IFERROR(__xludf.DUMMYFUNCTION("""COMPUTED_VALUE"""),"National Academy for State Health Policy")</f>
        <v>National Academy for State Health Policy</v>
      </c>
      <c r="G391" s="3" t="str">
        <f>IFERROR(__xludf.DUMMYFUNCTION("""COMPUTED_VALUE"""),"https://www.nashp.org/2020-state-reopening-chart/")</f>
        <v>https://www.nashp.org/2020-state-reopening-chart/</v>
      </c>
      <c r="H391" s="1"/>
      <c r="I391" s="1"/>
    </row>
    <row r="392">
      <c r="A392" s="2">
        <f>IFERROR(__xludf.DUMMYFUNCTION("""COMPUTED_VALUE"""),44182.0)</f>
        <v>44182</v>
      </c>
      <c r="B392" s="1" t="str">
        <f>IFERROR(__xludf.DUMMYFUNCTION("""COMPUTED_VALUE"""),"Maryland")</f>
        <v>Maryland</v>
      </c>
      <c r="C392" s="1" t="str">
        <f>IFERROR(__xludf.DUMMYFUNCTION("""COMPUTED_VALUE"""),"State Proclamations ")</f>
        <v>State Proclamations </v>
      </c>
      <c r="D392" s="1" t="str">
        <f>IFERROR(__xludf.DUMMYFUNCTION("""COMPUTED_VALUE"""),"Closing")</f>
        <v>Closing</v>
      </c>
      <c r="E392" s="1" t="str">
        <f>IFERROR(__xludf.DUMMYFUNCTION("""COMPUTED_VALUE"""),"The Maryland Department of Health issued an advisory against gatherings of more than 10 people")</f>
        <v>The Maryland Department of Health issued an advisory against gatherings of more than 10 people</v>
      </c>
      <c r="F392" s="1" t="str">
        <f>IFERROR(__xludf.DUMMYFUNCTION("""COMPUTED_VALUE"""),"National Academy for State Health Policy")</f>
        <v>National Academy for State Health Policy</v>
      </c>
      <c r="G392" s="3" t="str">
        <f>IFERROR(__xludf.DUMMYFUNCTION("""COMPUTED_VALUE"""),"https://www.nashp.org/2020-state-reopening-chart/")</f>
        <v>https://www.nashp.org/2020-state-reopening-chart/</v>
      </c>
      <c r="H392" s="1"/>
      <c r="I392" s="1"/>
    </row>
    <row r="393">
      <c r="A393" s="2">
        <f>IFERROR(__xludf.DUMMYFUNCTION("""COMPUTED_VALUE"""),44217.0)</f>
        <v>44217</v>
      </c>
      <c r="B393" s="1" t="str">
        <f>IFERROR(__xludf.DUMMYFUNCTION("""COMPUTED_VALUE"""),"Maryland")</f>
        <v>Maryland</v>
      </c>
      <c r="C393" s="1" t="str">
        <f>IFERROR(__xludf.DUMMYFUNCTION("""COMPUTED_VALUE"""),"State Proclamations ")</f>
        <v>State Proclamations </v>
      </c>
      <c r="D393" s="1" t="str">
        <f>IFERROR(__xludf.DUMMYFUNCTION("""COMPUTED_VALUE"""),"Opening")</f>
        <v>Opening</v>
      </c>
      <c r="E393" s="1" t="str">
        <f>IFERROR(__xludf.DUMMYFUNCTION("""COMPUTED_VALUE"""),"Gov. Larry Hogan said school districts that do not reopen to in-person instruction by March 1 could face legal action.")</f>
        <v>Gov. Larry Hogan said school districts that do not reopen to in-person instruction by March 1 could face legal action.</v>
      </c>
      <c r="F393" s="1" t="str">
        <f>IFERROR(__xludf.DUMMYFUNCTION("""COMPUTED_VALUE"""),"National Academy for State Health Policy")</f>
        <v>National Academy for State Health Policy</v>
      </c>
      <c r="G393" s="3" t="str">
        <f>IFERROR(__xludf.DUMMYFUNCTION("""COMPUTED_VALUE"""),"https://www.nashp.org/2021-covid-19-state-restrictions-re-openings-and-mask-requirements/")</f>
        <v>https://www.nashp.org/2021-covid-19-state-restrictions-re-openings-and-mask-requirements/</v>
      </c>
      <c r="H393" s="1"/>
      <c r="I393" s="1"/>
    </row>
    <row r="394">
      <c r="A394" s="2">
        <f>IFERROR(__xludf.DUMMYFUNCTION("""COMPUTED_VALUE"""),44228.0)</f>
        <v>44228</v>
      </c>
      <c r="B394" s="1" t="str">
        <f>IFERROR(__xludf.DUMMYFUNCTION("""COMPUTED_VALUE"""),"Maryland")</f>
        <v>Maryland</v>
      </c>
      <c r="C394" s="1" t="str">
        <f>IFERROR(__xludf.DUMMYFUNCTION("""COMPUTED_VALUE"""),"State Proclamations ")</f>
        <v>State Proclamations </v>
      </c>
      <c r="D394" s="1" t="str">
        <f>IFERROR(__xludf.DUMMYFUNCTION("""COMPUTED_VALUE"""),"Closing")</f>
        <v>Closing</v>
      </c>
      <c r="E394" s="1" t="str">
        <f>IFERROR(__xludf.DUMMYFUNCTION("""COMPUTED_VALUE"""),"The governor ended a Nov. 17, 2020 order, which required bars and restaurants to close nightly by 10 pm.")</f>
        <v>The governor ended a Nov. 17, 2020 order, which required bars and restaurants to close nightly by 10 pm.</v>
      </c>
      <c r="F394" s="1" t="str">
        <f>IFERROR(__xludf.DUMMYFUNCTION("""COMPUTED_VALUE"""),"National Academy for State Health Policy")</f>
        <v>National Academy for State Health Policy</v>
      </c>
      <c r="G394" s="3" t="str">
        <f>IFERROR(__xludf.DUMMYFUNCTION("""COMPUTED_VALUE"""),"https://www.nashp.org/2021-covid-19-state-restrictions-re-openings-and-mask-requirements/")</f>
        <v>https://www.nashp.org/2021-covid-19-state-restrictions-re-openings-and-mask-requirements/</v>
      </c>
      <c r="H394" s="1"/>
      <c r="I394" s="1"/>
    </row>
    <row r="395">
      <c r="A395" s="2">
        <f>IFERROR(__xludf.DUMMYFUNCTION("""COMPUTED_VALUE"""),44256.0)</f>
        <v>44256</v>
      </c>
      <c r="B395" s="1" t="str">
        <f>IFERROR(__xludf.DUMMYFUNCTION("""COMPUTED_VALUE"""),"Maryland")</f>
        <v>Maryland</v>
      </c>
      <c r="C395" s="1" t="str">
        <f>IFERROR(__xludf.DUMMYFUNCTION("""COMPUTED_VALUE"""),"State Proclamations ")</f>
        <v>State Proclamations </v>
      </c>
      <c r="D395" s="1" t="str">
        <f>IFERROR(__xludf.DUMMYFUNCTION("""COMPUTED_VALUE"""),"Opening")</f>
        <v>Opening</v>
      </c>
      <c r="E395" s="1" t="str">
        <f>IFERROR(__xludf.DUMMYFUNCTION("""COMPUTED_VALUE"""),"Schools can return students to the classroom, and school districts that do not offer some in-person instruction could face legal action. Districts can decide how many days a week to offer in-person instruction, and students can still opt for virtual schoo"&amp;"ling.")</f>
        <v>Schools can return students to the classroom, and school districts that do not offer some in-person instruction could face legal action. Districts can decide how many days a week to offer in-person instruction, and students can still opt for virtual schooling.</v>
      </c>
      <c r="F395" s="1" t="str">
        <f>IFERROR(__xludf.DUMMYFUNCTION("""COMPUTED_VALUE"""),"National Academy for State Health Policy")</f>
        <v>National Academy for State Health Policy</v>
      </c>
      <c r="G395" s="3" t="str">
        <f>IFERROR(__xludf.DUMMYFUNCTION("""COMPUTED_VALUE"""),"https://www.nashp.org/2021-covid-19-state-restrictions-re-openings-and-mask-requirements/")</f>
        <v>https://www.nashp.org/2021-covid-19-state-restrictions-re-openings-and-mask-requirements/</v>
      </c>
      <c r="H395" s="1"/>
      <c r="I395" s="1"/>
    </row>
    <row r="396">
      <c r="A396" s="2">
        <f>IFERROR(__xludf.DUMMYFUNCTION("""COMPUTED_VALUE"""),44267.0)</f>
        <v>44267</v>
      </c>
      <c r="B396" s="1" t="str">
        <f>IFERROR(__xludf.DUMMYFUNCTION("""COMPUTED_VALUE"""),"Maryland")</f>
        <v>Maryland</v>
      </c>
      <c r="C396" s="1" t="str">
        <f>IFERROR(__xludf.DUMMYFUNCTION("""COMPUTED_VALUE"""),"State Proclamations ")</f>
        <v>State Proclamations </v>
      </c>
      <c r="D396" s="1" t="str">
        <f>IFERROR(__xludf.DUMMYFUNCTION("""COMPUTED_VALUE"""),"Opening")</f>
        <v>Opening</v>
      </c>
      <c r="E396" s="1" t="str">
        <f>IFERROR(__xludf.DUMMYFUNCTION("""COMPUTED_VALUE"""),"The governor ended capacity limits on most types of businesses, including restaurants, bars, and fitness centers. Large outdoor and indoor venues, including theaters, wedding venues, and sporting venues, will be allowed to operate at 50% capacity.")</f>
        <v>The governor ended capacity limits on most types of businesses, including restaurants, bars, and fitness centers. Large outdoor and indoor venues, including theaters, wedding venues, and sporting venues, will be allowed to operate at 50% capacity.</v>
      </c>
      <c r="F396" s="1" t="str">
        <f>IFERROR(__xludf.DUMMYFUNCTION("""COMPUTED_VALUE"""),"National Academy for State Health Policy")</f>
        <v>National Academy for State Health Policy</v>
      </c>
      <c r="G396" s="3" t="str">
        <f>IFERROR(__xludf.DUMMYFUNCTION("""COMPUTED_VALUE"""),"https://www.nashp.org/2021-covid-19-state-restrictions-re-openings-and-mask-requirements/")</f>
        <v>https://www.nashp.org/2021-covid-19-state-restrictions-re-openings-and-mask-requirements/</v>
      </c>
      <c r="H396" s="1"/>
      <c r="I396" s="1"/>
    </row>
    <row r="397">
      <c r="A397" s="2">
        <f>IFERROR(__xludf.DUMMYFUNCTION("""COMPUTED_VALUE"""),44317.0)</f>
        <v>44317</v>
      </c>
      <c r="B397" s="1" t="str">
        <f>IFERROR(__xludf.DUMMYFUNCTION("""COMPUTED_VALUE"""),"Maryland")</f>
        <v>Maryland</v>
      </c>
      <c r="C397" s="1" t="str">
        <f>IFERROR(__xludf.DUMMYFUNCTION("""COMPUTED_VALUE"""),"State Proclamations ")</f>
        <v>State Proclamations </v>
      </c>
      <c r="D397" s="1" t="str">
        <f>IFERROR(__xludf.DUMMYFUNCTION("""COMPUTED_VALUE"""),"Opening")</f>
        <v>Opening</v>
      </c>
      <c r="E397" s="1" t="str">
        <f>IFERROR(__xludf.DUMMYFUNCTION("""COMPUTED_VALUE"""),"The governor lifted all restrictions on outdoor dining.")</f>
        <v>The governor lifted all restrictions on outdoor dining.</v>
      </c>
      <c r="F397" s="1" t="str">
        <f>IFERROR(__xludf.DUMMYFUNCTION("""COMPUTED_VALUE"""),"National Academy for State Health Policy")</f>
        <v>National Academy for State Health Policy</v>
      </c>
      <c r="G397" s="3" t="str">
        <f>IFERROR(__xludf.DUMMYFUNCTION("""COMPUTED_VALUE"""),"https://www.nashp.org/2021-covid-19-state-restrictions-re-openings-and-mask-requirements/")</f>
        <v>https://www.nashp.org/2021-covid-19-state-restrictions-re-openings-and-mask-requirements/</v>
      </c>
      <c r="H397" s="1"/>
      <c r="I397" s="1"/>
    </row>
    <row r="398">
      <c r="A398" s="2">
        <f>IFERROR(__xludf.DUMMYFUNCTION("""COMPUTED_VALUE"""),44331.0)</f>
        <v>44331</v>
      </c>
      <c r="B398" s="1" t="str">
        <f>IFERROR(__xludf.DUMMYFUNCTION("""COMPUTED_VALUE"""),"Maryland")</f>
        <v>Maryland</v>
      </c>
      <c r="C398" s="1" t="str">
        <f>IFERROR(__xludf.DUMMYFUNCTION("""COMPUTED_VALUE"""),"Mask Mandate")</f>
        <v>Mask Mandate</v>
      </c>
      <c r="D398" s="1" t="str">
        <f>IFERROR(__xludf.DUMMYFUNCTION("""COMPUTED_VALUE"""),"End")</f>
        <v>End</v>
      </c>
      <c r="E398" s="1" t="str">
        <f>IFERROR(__xludf.DUMMYFUNCTION("""COMPUTED_VALUE"""),"On May 15, the governor lifted the mask mandate")</f>
        <v>On May 15, the governor lifted the mask mandate</v>
      </c>
      <c r="F398" s="1" t="str">
        <f>IFERROR(__xludf.DUMMYFUNCTION("""COMPUTED_VALUE"""),"National Academy for State Health Policy")</f>
        <v>National Academy for State Health Policy</v>
      </c>
      <c r="G398" s="3" t="str">
        <f>IFERROR(__xludf.DUMMYFUNCTION("""COMPUTED_VALUE"""),"https://www.nashp.org/2021-covid-19-state-restrictions-re-openings-and-mask-requirements/")</f>
        <v>https://www.nashp.org/2021-covid-19-state-restrictions-re-openings-and-mask-requirements/</v>
      </c>
      <c r="H398" s="1"/>
      <c r="I398" s="1"/>
    </row>
    <row r="399">
      <c r="A399" s="2">
        <f>IFERROR(__xludf.DUMMYFUNCTION("""COMPUTED_VALUE"""),44331.0)</f>
        <v>44331</v>
      </c>
      <c r="B399" s="1" t="str">
        <f>IFERROR(__xludf.DUMMYFUNCTION("""COMPUTED_VALUE"""),"Maryland")</f>
        <v>Maryland</v>
      </c>
      <c r="C399" s="1" t="str">
        <f>IFERROR(__xludf.DUMMYFUNCTION("""COMPUTED_VALUE"""),"State Proclamations ")</f>
        <v>State Proclamations </v>
      </c>
      <c r="D399" s="1" t="str">
        <f>IFERROR(__xludf.DUMMYFUNCTION("""COMPUTED_VALUE"""),"Opening")</f>
        <v>Opening</v>
      </c>
      <c r="E399" s="1" t="str">
        <f>IFERROR(__xludf.DUMMYFUNCTION("""COMPUTED_VALUE"""),"The governor lifted all statewide restrictions on businesses.")</f>
        <v>The governor lifted all statewide restrictions on businesses.</v>
      </c>
      <c r="F399" s="1" t="str">
        <f>IFERROR(__xludf.DUMMYFUNCTION("""COMPUTED_VALUE"""),"National Academy for State Health Policy")</f>
        <v>National Academy for State Health Policy</v>
      </c>
      <c r="G399" s="3" t="str">
        <f>IFERROR(__xludf.DUMMYFUNCTION("""COMPUTED_VALUE"""),"https://www.nashp.org/2021-covid-19-state-restrictions-re-openings-and-mask-requirements/")</f>
        <v>https://www.nashp.org/2021-covid-19-state-restrictions-re-openings-and-mask-requirements/</v>
      </c>
      <c r="H399" s="1"/>
      <c r="I399" s="1"/>
    </row>
    <row r="400">
      <c r="A400" s="2">
        <f>IFERROR(__xludf.DUMMYFUNCTION("""COMPUTED_VALUE"""),44378.0)</f>
        <v>44378</v>
      </c>
      <c r="B400" s="1" t="str">
        <f>IFERROR(__xludf.DUMMYFUNCTION("""COMPUTED_VALUE"""),"Maryland")</f>
        <v>Maryland</v>
      </c>
      <c r="C400" s="1" t="str">
        <f>IFERROR(__xludf.DUMMYFUNCTION("""COMPUTED_VALUE"""),"Stay-at-Home Order")</f>
        <v>Stay-at-Home Order</v>
      </c>
      <c r="D400" s="1" t="str">
        <f>IFERROR(__xludf.DUMMYFUNCTION("""COMPUTED_VALUE"""),"End")</f>
        <v>End</v>
      </c>
      <c r="E400" s="1" t="str">
        <f>IFERROR(__xludf.DUMMYFUNCTION("""COMPUTED_VALUE"""),"Stay-at-home order lifted with the end of the State of Emergency")</f>
        <v>Stay-at-home order lifted with the end of the State of Emergency</v>
      </c>
      <c r="F400" s="1" t="str">
        <f>IFERROR(__xludf.DUMMYFUNCTION("""COMPUTED_VALUE"""),"National Academy for State Health Policy")</f>
        <v>National Academy for State Health Policy</v>
      </c>
      <c r="G400" s="3" t="str">
        <f>IFERROR(__xludf.DUMMYFUNCTION("""COMPUTED_VALUE"""),"https://www.nashp.org/2020-state-reopening-chart/")</f>
        <v>https://www.nashp.org/2020-state-reopening-chart/</v>
      </c>
      <c r="H400" s="1"/>
      <c r="I400" s="1"/>
    </row>
    <row r="401">
      <c r="A401" s="2">
        <f>IFERROR(__xludf.DUMMYFUNCTION("""COMPUTED_VALUE"""),44378.0)</f>
        <v>44378</v>
      </c>
      <c r="B401" s="1" t="str">
        <f>IFERROR(__xludf.DUMMYFUNCTION("""COMPUTED_VALUE"""),"Maryland")</f>
        <v>Maryland</v>
      </c>
      <c r="C401" s="1" t="str">
        <f>IFERROR(__xludf.DUMMYFUNCTION("""COMPUTED_VALUE"""),"State of Emergency")</f>
        <v>State of Emergency</v>
      </c>
      <c r="D401" s="1" t="str">
        <f>IFERROR(__xludf.DUMMYFUNCTION("""COMPUTED_VALUE"""),"End")</f>
        <v>End</v>
      </c>
      <c r="E401" s="1" t="str">
        <f>IFERROR(__xludf.DUMMYFUNCTION("""COMPUTED_VALUE"""),"State of Emergency lifted on July 1, 2021")</f>
        <v>State of Emergency lifted on July 1, 2021</v>
      </c>
      <c r="F401" s="1" t="str">
        <f>IFERROR(__xludf.DUMMYFUNCTION("""COMPUTED_VALUE"""),"National Academy for State Health Policy")</f>
        <v>National Academy for State Health Policy</v>
      </c>
      <c r="G401" s="3" t="str">
        <f>IFERROR(__xludf.DUMMYFUNCTION("""COMPUTED_VALUE"""),"https://www.nashp.org/2021-covid-19-state-restrictions-re-openings-and-mask-requirements/")</f>
        <v>https://www.nashp.org/2021-covid-19-state-restrictions-re-openings-and-mask-requirements/</v>
      </c>
      <c r="H401" s="1"/>
      <c r="I401" s="1"/>
    </row>
    <row r="402">
      <c r="A402" s="2">
        <f>IFERROR(__xludf.DUMMYFUNCTION("""COMPUTED_VALUE"""),44586.0)</f>
        <v>44586</v>
      </c>
      <c r="B402" s="1" t="str">
        <f>IFERROR(__xludf.DUMMYFUNCTION("""COMPUTED_VALUE"""),"Maryland")</f>
        <v>Maryland</v>
      </c>
      <c r="C402" s="1" t="str">
        <f>IFERROR(__xludf.DUMMYFUNCTION("""COMPUTED_VALUE"""),"State of Emergency")</f>
        <v>State of Emergency</v>
      </c>
      <c r="D402" s="1" t="str">
        <f>IFERROR(__xludf.DUMMYFUNCTION("""COMPUTED_VALUE"""),"End")</f>
        <v>End</v>
      </c>
      <c r="E402" s="1" t="str">
        <f>IFERROR(__xludf.DUMMYFUNCTION("""COMPUTED_VALUE"""),"The Public Health Emergency was ended on January 25, 2022.")</f>
        <v>The Public Health Emergency was ended on January 25, 2022.</v>
      </c>
      <c r="F402" s="1" t="str">
        <f>IFERROR(__xludf.DUMMYFUNCTION("""COMPUTED_VALUE"""),"National Academy for State Health Policy")</f>
        <v>National Academy for State Health Policy</v>
      </c>
      <c r="G402" s="3" t="str">
        <f>IFERROR(__xludf.DUMMYFUNCTION("""COMPUTED_VALUE"""),"https://www.nashp.org/governors-prioritize-health-for-all/")</f>
        <v>https://www.nashp.org/governors-prioritize-health-for-all/</v>
      </c>
      <c r="H402" s="1"/>
      <c r="I402" s="1"/>
    </row>
    <row r="403">
      <c r="A403" s="2">
        <f>IFERROR(__xludf.DUMMYFUNCTION("""COMPUTED_VALUE"""),43900.0)</f>
        <v>43900</v>
      </c>
      <c r="B403" s="1" t="str">
        <f>IFERROR(__xludf.DUMMYFUNCTION("""COMPUTED_VALUE"""),"Massachusetts")</f>
        <v>Massachusetts</v>
      </c>
      <c r="C403" s="1" t="str">
        <f>IFERROR(__xludf.DUMMYFUNCTION("""COMPUTED_VALUE"""),"State of Emergency")</f>
        <v>State of Emergency</v>
      </c>
      <c r="D403" s="1" t="str">
        <f>IFERROR(__xludf.DUMMYFUNCTION("""COMPUTED_VALUE"""),"Start")</f>
        <v>Start</v>
      </c>
      <c r="E403" s="1" t="str">
        <f>IFERROR(__xludf.DUMMYFUNCTION("""COMPUTED_VALUE"""),"Gov. Charlie Baker declared a state of emergency on March 10 amid a ""significant uptick"" of cases.")</f>
        <v>Gov. Charlie Baker declared a state of emergency on March 10 amid a "significant uptick" of cases.</v>
      </c>
      <c r="F403" s="1" t="str">
        <f>IFERROR(__xludf.DUMMYFUNCTION("""COMPUTED_VALUE"""),"Business Insider")</f>
        <v>Business Insider</v>
      </c>
      <c r="G403" s="3" t="str">
        <f>IFERROR(__xludf.DUMMYFUNCTION("""COMPUTED_VALUE"""),"https://www.businessinsider.com/california-washington-state-of-emergency-coronavirus-what-it-means-2020-3#massachusetts-16")</f>
        <v>https://www.businessinsider.com/california-washington-state-of-emergency-coronavirus-what-it-means-2020-3#massachusetts-16</v>
      </c>
      <c r="H403" s="1"/>
      <c r="I403" s="1"/>
    </row>
    <row r="404">
      <c r="A404" s="2">
        <f>IFERROR(__xludf.DUMMYFUNCTION("""COMPUTED_VALUE"""),43914.0)</f>
        <v>43914</v>
      </c>
      <c r="B404" s="1" t="str">
        <f>IFERROR(__xludf.DUMMYFUNCTION("""COMPUTED_VALUE"""),"Massachusetts")</f>
        <v>Massachusetts</v>
      </c>
      <c r="C404" s="1" t="str">
        <f>IFERROR(__xludf.DUMMYFUNCTION("""COMPUTED_VALUE"""),"Stay-at-Home Order")</f>
        <v>Stay-at-Home Order</v>
      </c>
      <c r="D404" s="1" t="str">
        <f>IFERROR(__xludf.DUMMYFUNCTION("""COMPUTED_VALUE"""),"Start")</f>
        <v>Start</v>
      </c>
      <c r="E404" s="1" t="str">
        <f>IFERROR(__xludf.DUMMYFUNCTION("""COMPUTED_VALUE"""),"Original stay-at-home order begins")</f>
        <v>Original stay-at-home order begins</v>
      </c>
      <c r="F404" s="1" t="str">
        <f>IFERROR(__xludf.DUMMYFUNCTION("""COMPUTED_VALUE"""),"National Academy for State Health Policy")</f>
        <v>National Academy for State Health Policy</v>
      </c>
      <c r="G404" s="3" t="str">
        <f>IFERROR(__xludf.DUMMYFUNCTION("""COMPUTED_VALUE"""),"https://www.nashp.org/2020-state-reopening-chart/")</f>
        <v>https://www.nashp.org/2020-state-reopening-chart/</v>
      </c>
      <c r="H404" s="1"/>
      <c r="I404" s="1"/>
    </row>
    <row r="405">
      <c r="A405" s="2">
        <f>IFERROR(__xludf.DUMMYFUNCTION("""COMPUTED_VALUE"""),43957.0)</f>
        <v>43957</v>
      </c>
      <c r="B405" s="1" t="str">
        <f>IFERROR(__xludf.DUMMYFUNCTION("""COMPUTED_VALUE"""),"Massachusetts")</f>
        <v>Massachusetts</v>
      </c>
      <c r="C405" s="1" t="str">
        <f>IFERROR(__xludf.DUMMYFUNCTION("""COMPUTED_VALUE"""),"Mask Mandate")</f>
        <v>Mask Mandate</v>
      </c>
      <c r="D405" s="1" t="str">
        <f>IFERROR(__xludf.DUMMYFUNCTION("""COMPUTED_VALUE"""),"Start")</f>
        <v>Start</v>
      </c>
      <c r="E405" s="1" t="str">
        <f>IFERROR(__xludf.DUMMYFUNCTION("""COMPUTED_VALUE"""),"Gov. Charlie Baker issued an order requiring the use of face coverings or masks in both indoor and outdoor spaces where social distancing isn't possible.")</f>
        <v>Gov. Charlie Baker issued an order requiring the use of face coverings or masks in both indoor and outdoor spaces where social distancing isn't possible.</v>
      </c>
      <c r="F405" s="1" t="str">
        <f>IFERROR(__xludf.DUMMYFUNCTION("""COMPUTED_VALUE"""),"CNN")</f>
        <v>CNN</v>
      </c>
      <c r="G405" s="3" t="str">
        <f>IFERROR(__xludf.DUMMYFUNCTION("""COMPUTED_VALUE"""),"https://www.cnn.com/2020/06/19/us/states-face-mask-coronavirus-trnd/index.html")</f>
        <v>https://www.cnn.com/2020/06/19/us/states-face-mask-coronavirus-trnd/index.html</v>
      </c>
      <c r="H405" s="1"/>
      <c r="I405" s="1"/>
    </row>
    <row r="406">
      <c r="A406" s="2">
        <f>IFERROR(__xludf.DUMMYFUNCTION("""COMPUTED_VALUE"""),43969.0)</f>
        <v>43969</v>
      </c>
      <c r="B406" s="1" t="str">
        <f>IFERROR(__xludf.DUMMYFUNCTION("""COMPUTED_VALUE"""),"Massachusetts")</f>
        <v>Massachusetts</v>
      </c>
      <c r="C406" s="1" t="str">
        <f>IFERROR(__xludf.DUMMYFUNCTION("""COMPUTED_VALUE"""),"Stay-at-Home Order")</f>
        <v>Stay-at-Home Order</v>
      </c>
      <c r="D406" s="1" t="str">
        <f>IFERROR(__xludf.DUMMYFUNCTION("""COMPUTED_VALUE"""),"End")</f>
        <v>End</v>
      </c>
      <c r="E406" s="1" t="str">
        <f>IFERROR(__xludf.DUMMYFUNCTION("""COMPUTED_VALUE"""),"Original stay-at-home order ends")</f>
        <v>Original stay-at-home order ends</v>
      </c>
      <c r="F406" s="1" t="str">
        <f>IFERROR(__xludf.DUMMYFUNCTION("""COMPUTED_VALUE"""),"National Academy for State Health Policy")</f>
        <v>National Academy for State Health Policy</v>
      </c>
      <c r="G406" s="3" t="str">
        <f>IFERROR(__xludf.DUMMYFUNCTION("""COMPUTED_VALUE"""),"https://www.nashp.org/2020-state-reopening-chart/")</f>
        <v>https://www.nashp.org/2020-state-reopening-chart/</v>
      </c>
      <c r="H406" s="1"/>
      <c r="I406" s="1"/>
    </row>
    <row r="407">
      <c r="A407" s="2">
        <f>IFERROR(__xludf.DUMMYFUNCTION("""COMPUTED_VALUE"""),43969.0)</f>
        <v>43969</v>
      </c>
      <c r="B407" s="1" t="str">
        <f>IFERROR(__xludf.DUMMYFUNCTION("""COMPUTED_VALUE"""),"Massachusetts")</f>
        <v>Massachusetts</v>
      </c>
      <c r="C407" s="1" t="str">
        <f>IFERROR(__xludf.DUMMYFUNCTION("""COMPUTED_VALUE"""),"State Proclamations ")</f>
        <v>State Proclamations </v>
      </c>
      <c r="D407" s="1" t="str">
        <f>IFERROR(__xludf.DUMMYFUNCTION("""COMPUTED_VALUE"""),"Opening")</f>
        <v>Opening</v>
      </c>
      <c r="E407" s="1" t="str">
        <f>IFERROR(__xludf.DUMMYFUNCTION("""COMPUTED_VALUE"""),"Massachusetts has reopened outdoor recreation, houses of worship, essential industries, and offices. On May 18, a limited expansion of non-emergency health care services began in hospitals and community health centers to provide some preventative care, pe"&amp;"diatric care, and treatment for high-risk patients.")</f>
        <v>Massachusetts has reopened outdoor recreation, houses of worship, essential industries, and offices. On May 18, a limited expansion of non-emergency health care services began in hospitals and community health centers to provide some preventative care, pediatric care, and treatment for high-risk patients.</v>
      </c>
      <c r="F407" s="1" t="str">
        <f>IFERROR(__xludf.DUMMYFUNCTION("""COMPUTED_VALUE"""),"National Academy for State Health Policy")</f>
        <v>National Academy for State Health Policy</v>
      </c>
      <c r="G407" s="3" t="str">
        <f>IFERROR(__xludf.DUMMYFUNCTION("""COMPUTED_VALUE"""),"https://www.nashp.org/2020-state-reopening-chart/")</f>
        <v>https://www.nashp.org/2020-state-reopening-chart/</v>
      </c>
      <c r="H407" s="1"/>
      <c r="I407" s="1"/>
    </row>
    <row r="408">
      <c r="A408" s="2">
        <f>IFERROR(__xludf.DUMMYFUNCTION("""COMPUTED_VALUE"""),44018.0)</f>
        <v>44018</v>
      </c>
      <c r="B408" s="1" t="str">
        <f>IFERROR(__xludf.DUMMYFUNCTION("""COMPUTED_VALUE"""),"Massachusetts")</f>
        <v>Massachusetts</v>
      </c>
      <c r="C408" s="1" t="str">
        <f>IFERROR(__xludf.DUMMYFUNCTION("""COMPUTED_VALUE"""),"State Proclamations ")</f>
        <v>State Proclamations </v>
      </c>
      <c r="D408" s="1" t="str">
        <f>IFERROR(__xludf.DUMMYFUNCTION("""COMPUTED_VALUE"""),"Opening")</f>
        <v>Opening</v>
      </c>
      <c r="E408" s="1" t="str">
        <f>IFERROR(__xludf.DUMMYFUNCTION("""COMPUTED_VALUE"""),"Phase 3 of reopening began, with the exception of Boston. Movie theaters, gyms, fitness centers, casinos, museums, and outdoor performance venues reopened. Professional sports teams will also be allowed to have games but without fans.")</f>
        <v>Phase 3 of reopening began, with the exception of Boston. Movie theaters, gyms, fitness centers, casinos, museums, and outdoor performance venues reopened. Professional sports teams will also be allowed to have games but without fans.</v>
      </c>
      <c r="F408" s="1" t="str">
        <f>IFERROR(__xludf.DUMMYFUNCTION("""COMPUTED_VALUE"""),"National Academy for State Health Policy")</f>
        <v>National Academy for State Health Policy</v>
      </c>
      <c r="G408" s="3" t="str">
        <f>IFERROR(__xludf.DUMMYFUNCTION("""COMPUTED_VALUE"""),"https://www.nashp.org/2020-state-reopening-chart/")</f>
        <v>https://www.nashp.org/2020-state-reopening-chart/</v>
      </c>
      <c r="H408" s="1"/>
      <c r="I408" s="1"/>
    </row>
    <row r="409">
      <c r="A409" s="2">
        <f>IFERROR(__xludf.DUMMYFUNCTION("""COMPUTED_VALUE"""),44025.0)</f>
        <v>44025</v>
      </c>
      <c r="B409" s="1" t="str">
        <f>IFERROR(__xludf.DUMMYFUNCTION("""COMPUTED_VALUE"""),"Massachusetts")</f>
        <v>Massachusetts</v>
      </c>
      <c r="C409" s="1" t="str">
        <f>IFERROR(__xludf.DUMMYFUNCTION("""COMPUTED_VALUE"""),"State Proclamations ")</f>
        <v>State Proclamations </v>
      </c>
      <c r="D409" s="1" t="str">
        <f>IFERROR(__xludf.DUMMYFUNCTION("""COMPUTED_VALUE"""),"Opening")</f>
        <v>Opening</v>
      </c>
      <c r="E409" s="1" t="str">
        <f>IFERROR(__xludf.DUMMYFUNCTION("""COMPUTED_VALUE"""),"Phase 3 began in Boston.")</f>
        <v>Phase 3 began in Boston.</v>
      </c>
      <c r="F409" s="1" t="str">
        <f>IFERROR(__xludf.DUMMYFUNCTION("""COMPUTED_VALUE"""),"National Academy for State Health Policy")</f>
        <v>National Academy for State Health Policy</v>
      </c>
      <c r="G409" s="3" t="str">
        <f>IFERROR(__xludf.DUMMYFUNCTION("""COMPUTED_VALUE"""),"https://www.nashp.org/2020-state-reopening-chart/")</f>
        <v>https://www.nashp.org/2020-state-reopening-chart/</v>
      </c>
      <c r="H409" s="1"/>
      <c r="I409" s="1"/>
    </row>
    <row r="410">
      <c r="A410" s="2">
        <f>IFERROR(__xludf.DUMMYFUNCTION("""COMPUTED_VALUE"""),44026.0)</f>
        <v>44026</v>
      </c>
      <c r="B410" s="1" t="str">
        <f>IFERROR(__xludf.DUMMYFUNCTION("""COMPUTED_VALUE"""),"Massachusetts")</f>
        <v>Massachusetts</v>
      </c>
      <c r="C410" s="1" t="str">
        <f>IFERROR(__xludf.DUMMYFUNCTION("""COMPUTED_VALUE"""),"State Proclamations ")</f>
        <v>State Proclamations </v>
      </c>
      <c r="D410" s="1" t="str">
        <f>IFERROR(__xludf.DUMMYFUNCTION("""COMPUTED_VALUE"""),"Closing")</f>
        <v>Closing</v>
      </c>
      <c r="E410" s="1" t="str">
        <f>IFERROR(__xludf.DUMMYFUNCTION("""COMPUTED_VALUE"""),"The governor has said that the state will not enter the fourth phase of reopening — which allows bars, nightclubs and large entertainment venues to operate — until there is a vaccine or treatment.")</f>
        <v>The governor has said that the state will not enter the fourth phase of reopening — which allows bars, nightclubs and large entertainment venues to operate — until there is a vaccine or treatment.</v>
      </c>
      <c r="F410" s="1" t="str">
        <f>IFERROR(__xludf.DUMMYFUNCTION("""COMPUTED_VALUE"""),"National Academy for State Health Policy")</f>
        <v>National Academy for State Health Policy</v>
      </c>
      <c r="G410" s="3" t="str">
        <f>IFERROR(__xludf.DUMMYFUNCTION("""COMPUTED_VALUE"""),"https://www.nashp.org/2020-state-reopening-chart/")</f>
        <v>https://www.nashp.org/2020-state-reopening-chart/</v>
      </c>
      <c r="H410" s="1"/>
      <c r="I410" s="1"/>
    </row>
    <row r="411">
      <c r="A411" s="2">
        <f>IFERROR(__xludf.DUMMYFUNCTION("""COMPUTED_VALUE"""),44050.0)</f>
        <v>44050</v>
      </c>
      <c r="B411" s="1" t="str">
        <f>IFERROR(__xludf.DUMMYFUNCTION("""COMPUTED_VALUE"""),"Massachusetts")</f>
        <v>Massachusetts</v>
      </c>
      <c r="C411" s="1" t="str">
        <f>IFERROR(__xludf.DUMMYFUNCTION("""COMPUTED_VALUE"""),"State Proclamations ")</f>
        <v>State Proclamations </v>
      </c>
      <c r="D411" s="1" t="str">
        <f>IFERROR(__xludf.DUMMYFUNCTION("""COMPUTED_VALUE"""),"Closing")</f>
        <v>Closing</v>
      </c>
      <c r="E411" s="1" t="str">
        <f>IFERROR(__xludf.DUMMYFUNCTION("""COMPUTED_VALUE"""),"The governor reduced the maximize number of attendees for outdoor gatherings from 100 to 50 and announced that faces masks are required whenver 10 or more people from different households mix. The governor also indefinitely delayed step two of the Phase 3"&amp;" reopening plan.")</f>
        <v>The governor reduced the maximize number of attendees for outdoor gatherings from 100 to 50 and announced that faces masks are required whenver 10 or more people from different households mix. The governor also indefinitely delayed step two of the Phase 3 reopening plan.</v>
      </c>
      <c r="F411" s="1" t="str">
        <f>IFERROR(__xludf.DUMMYFUNCTION("""COMPUTED_VALUE"""),"National Academy for State Health Policy")</f>
        <v>National Academy for State Health Policy</v>
      </c>
      <c r="G411" s="3" t="str">
        <f>IFERROR(__xludf.DUMMYFUNCTION("""COMPUTED_VALUE"""),"https://www.nashp.org/2020-state-reopening-chart/")</f>
        <v>https://www.nashp.org/2020-state-reopening-chart/</v>
      </c>
      <c r="H411" s="1"/>
      <c r="I411" s="1"/>
    </row>
    <row r="412">
      <c r="A412" s="2">
        <f>IFERROR(__xludf.DUMMYFUNCTION("""COMPUTED_VALUE"""),44098.0)</f>
        <v>44098</v>
      </c>
      <c r="B412" s="1" t="str">
        <f>IFERROR(__xludf.DUMMYFUNCTION("""COMPUTED_VALUE"""),"Massachusetts")</f>
        <v>Massachusetts</v>
      </c>
      <c r="C412" s="1" t="str">
        <f>IFERROR(__xludf.DUMMYFUNCTION("""COMPUTED_VALUE"""),"State Proclamations ")</f>
        <v>State Proclamations </v>
      </c>
      <c r="D412" s="1" t="str">
        <f>IFERROR(__xludf.DUMMYFUNCTION("""COMPUTED_VALUE"""),"Opening")</f>
        <v>Opening</v>
      </c>
      <c r="E412" s="1" t="str">
        <f>IFERROR(__xludf.DUMMYFUNCTION("""COMPUTED_VALUE"""),"The governor relaxed restrictions on restaurants, increasing the number of people allowed per table from six to 10 and allowing restaurants to use bar seating. Bars and nightclubs remain closed.")</f>
        <v>The governor relaxed restrictions on restaurants, increasing the number of people allowed per table from six to 10 and allowing restaurants to use bar seating. Bars and nightclubs remain closed.</v>
      </c>
      <c r="F412" s="1" t="str">
        <f>IFERROR(__xludf.DUMMYFUNCTION("""COMPUTED_VALUE"""),"National Academy for State Health Policy")</f>
        <v>National Academy for State Health Policy</v>
      </c>
      <c r="G412" s="3" t="str">
        <f>IFERROR(__xludf.DUMMYFUNCTION("""COMPUTED_VALUE"""),"https://www.nashp.org/2020-state-reopening-chart/")</f>
        <v>https://www.nashp.org/2020-state-reopening-chart/</v>
      </c>
      <c r="H412" s="1"/>
      <c r="I412" s="1"/>
    </row>
    <row r="413">
      <c r="A413" s="2">
        <f>IFERROR(__xludf.DUMMYFUNCTION("""COMPUTED_VALUE"""),44102.0)</f>
        <v>44102</v>
      </c>
      <c r="B413" s="1" t="str">
        <f>IFERROR(__xludf.DUMMYFUNCTION("""COMPUTED_VALUE"""),"Massachusetts")</f>
        <v>Massachusetts</v>
      </c>
      <c r="C413" s="1" t="str">
        <f>IFERROR(__xludf.DUMMYFUNCTION("""COMPUTED_VALUE"""),"State Proclamations ")</f>
        <v>State Proclamations </v>
      </c>
      <c r="D413" s="1" t="str">
        <f>IFERROR(__xludf.DUMMYFUNCTION("""COMPUTED_VALUE"""),"Opening")</f>
        <v>Opening</v>
      </c>
      <c r="E413" s="1" t="str">
        <f>IFERROR(__xludf.DUMMYFUNCTION("""COMPUTED_VALUE"""),"The governor announced that lower-risk communities can move to Phase 3, which allows for retail stores to open fitting room and gyms, museums, libraries, driving schools, and flight schools to open at 50% capacity.")</f>
        <v>The governor announced that lower-risk communities can move to Phase 3, which allows for retail stores to open fitting room and gyms, museums, libraries, driving schools, and flight schools to open at 50% capacity.</v>
      </c>
      <c r="F413" s="1" t="str">
        <f>IFERROR(__xludf.DUMMYFUNCTION("""COMPUTED_VALUE"""),"National Academy for State Health Policy")</f>
        <v>National Academy for State Health Policy</v>
      </c>
      <c r="G413" s="3" t="str">
        <f>IFERROR(__xludf.DUMMYFUNCTION("""COMPUTED_VALUE"""),"https://www.nashp.org/2020-state-reopening-chart/")</f>
        <v>https://www.nashp.org/2020-state-reopening-chart/</v>
      </c>
      <c r="H413" s="1"/>
      <c r="I413" s="1"/>
    </row>
    <row r="414">
      <c r="A414" s="2">
        <f>IFERROR(__xludf.DUMMYFUNCTION("""COMPUTED_VALUE"""),44109.0)</f>
        <v>44109</v>
      </c>
      <c r="B414" s="1" t="str">
        <f>IFERROR(__xludf.DUMMYFUNCTION("""COMPUTED_VALUE"""),"Massachusetts")</f>
        <v>Massachusetts</v>
      </c>
      <c r="C414" s="1" t="str">
        <f>IFERROR(__xludf.DUMMYFUNCTION("""COMPUTED_VALUE"""),"State Proclamations ")</f>
        <v>State Proclamations </v>
      </c>
      <c r="D414" s="1" t="str">
        <f>IFERROR(__xludf.DUMMYFUNCTION("""COMPUTED_VALUE"""),"Opening")</f>
        <v>Opening</v>
      </c>
      <c r="E414" s="1" t="str">
        <f>IFERROR(__xludf.DUMMYFUNCTION("""COMPUTED_VALUE"""),"Municipalities considered ""low-risk"" may advance to Step 2 of Phase 3, allowing for the reopening of indoor performance venues and indoor recreational activities where chance of transmission is low.")</f>
        <v>Municipalities considered "low-risk" may advance to Step 2 of Phase 3, allowing for the reopening of indoor performance venues and indoor recreational activities where chance of transmission is low.</v>
      </c>
      <c r="F414" s="1" t="str">
        <f>IFERROR(__xludf.DUMMYFUNCTION("""COMPUTED_VALUE"""),"National Academy for State Health Policy")</f>
        <v>National Academy for State Health Policy</v>
      </c>
      <c r="G414" s="3" t="str">
        <f>IFERROR(__xludf.DUMMYFUNCTION("""COMPUTED_VALUE"""),"https://www.nashp.org/2020-state-reopening-chart/")</f>
        <v>https://www.nashp.org/2020-state-reopening-chart/</v>
      </c>
      <c r="H414" s="1"/>
      <c r="I414" s="1"/>
    </row>
    <row r="415">
      <c r="A415" s="2">
        <f>IFERROR(__xludf.DUMMYFUNCTION("""COMPUTED_VALUE"""),44121.0)</f>
        <v>44121</v>
      </c>
      <c r="B415" s="1" t="str">
        <f>IFERROR(__xludf.DUMMYFUNCTION("""COMPUTED_VALUE"""),"Massachusetts")</f>
        <v>Massachusetts</v>
      </c>
      <c r="C415" s="1" t="str">
        <f>IFERROR(__xludf.DUMMYFUNCTION("""COMPUTED_VALUE"""),"State Proclamations ")</f>
        <v>State Proclamations </v>
      </c>
      <c r="D415" s="1" t="str">
        <f>IFERROR(__xludf.DUMMYFUNCTION("""COMPUTED_VALUE"""),"Opening")</f>
        <v>Opening</v>
      </c>
      <c r="E415" s="1" t="str">
        <f>IFERROR(__xludf.DUMMYFUNCTION("""COMPUTED_VALUE"""),"The statewide moratorium on evictions expired after the governor refused to extend it.")</f>
        <v>The statewide moratorium on evictions expired after the governor refused to extend it.</v>
      </c>
      <c r="F415" s="1" t="str">
        <f>IFERROR(__xludf.DUMMYFUNCTION("""COMPUTED_VALUE"""),"National Academy for State Health Policy")</f>
        <v>National Academy for State Health Policy</v>
      </c>
      <c r="G415" s="3" t="str">
        <f>IFERROR(__xludf.DUMMYFUNCTION("""COMPUTED_VALUE"""),"https://www.nashp.org/2020-state-reopening-chart/")</f>
        <v>https://www.nashp.org/2020-state-reopening-chart/</v>
      </c>
      <c r="H415" s="1"/>
      <c r="I415" s="1"/>
    </row>
    <row r="416">
      <c r="A416" s="2">
        <f>IFERROR(__xludf.DUMMYFUNCTION("""COMPUTED_VALUE"""),44127.0)</f>
        <v>44127</v>
      </c>
      <c r="B416" s="1" t="str">
        <f>IFERROR(__xludf.DUMMYFUNCTION("""COMPUTED_VALUE"""),"Massachusetts")</f>
        <v>Massachusetts</v>
      </c>
      <c r="C416" s="1" t="str">
        <f>IFERROR(__xludf.DUMMYFUNCTION("""COMPUTED_VALUE"""),"State Proclamations ")</f>
        <v>State Proclamations </v>
      </c>
      <c r="D416" s="1" t="str">
        <f>IFERROR(__xludf.DUMMYFUNCTION("""COMPUTED_VALUE"""),"Closing")</f>
        <v>Closing</v>
      </c>
      <c r="E416" s="1" t="str">
        <f>IFERROR(__xludf.DUMMYFUNCTION("""COMPUTED_VALUE"""),"The state Department of Public Health ordered indoor ice rinks closed for two weeks.")</f>
        <v>The state Department of Public Health ordered indoor ice rinks closed for two weeks.</v>
      </c>
      <c r="F416" s="1" t="str">
        <f>IFERROR(__xludf.DUMMYFUNCTION("""COMPUTED_VALUE"""),"National Academy for State Health Policy")</f>
        <v>National Academy for State Health Policy</v>
      </c>
      <c r="G416" s="3" t="str">
        <f>IFERROR(__xludf.DUMMYFUNCTION("""COMPUTED_VALUE"""),"https://www.nashp.org/2020-state-reopening-chart/")</f>
        <v>https://www.nashp.org/2020-state-reopening-chart/</v>
      </c>
      <c r="H416" s="1"/>
      <c r="I416" s="1"/>
    </row>
    <row r="417">
      <c r="A417" s="2">
        <f>IFERROR(__xludf.DUMMYFUNCTION("""COMPUTED_VALUE"""),44141.0)</f>
        <v>44141</v>
      </c>
      <c r="B417" s="1" t="str">
        <f>IFERROR(__xludf.DUMMYFUNCTION("""COMPUTED_VALUE"""),"Massachusetts")</f>
        <v>Massachusetts</v>
      </c>
      <c r="C417" s="1" t="str">
        <f>IFERROR(__xludf.DUMMYFUNCTION("""COMPUTED_VALUE"""),"State Proclamations ")</f>
        <v>State Proclamations </v>
      </c>
      <c r="D417" s="1" t="str">
        <f>IFERROR(__xludf.DUMMYFUNCTION("""COMPUTED_VALUE"""),"Closing")</f>
        <v>Closing</v>
      </c>
      <c r="E417" s="1" t="str">
        <f>IFERROR(__xludf.DUMMYFUNCTION("""COMPUTED_VALUE"""),"The governor ordered a statewide stay-at-home advisory between 10 p.m. and 5 a.m. and required that certain businesses close by 9:30 pm.")</f>
        <v>The governor ordered a statewide stay-at-home advisory between 10 p.m. and 5 a.m. and required that certain businesses close by 9:30 pm.</v>
      </c>
      <c r="F417" s="1" t="str">
        <f>IFERROR(__xludf.DUMMYFUNCTION("""COMPUTED_VALUE"""),"National Academy for State Health Policy")</f>
        <v>National Academy for State Health Policy</v>
      </c>
      <c r="G417" s="3" t="str">
        <f>IFERROR(__xludf.DUMMYFUNCTION("""COMPUTED_VALUE"""),"https://www.nashp.org/2020-state-reopening-chart/")</f>
        <v>https://www.nashp.org/2020-state-reopening-chart/</v>
      </c>
      <c r="H417" s="1"/>
      <c r="I417" s="1"/>
    </row>
    <row r="418">
      <c r="A418" s="2">
        <f>IFERROR(__xludf.DUMMYFUNCTION("""COMPUTED_VALUE"""),44178.0)</f>
        <v>44178</v>
      </c>
      <c r="B418" s="1" t="str">
        <f>IFERROR(__xludf.DUMMYFUNCTION("""COMPUTED_VALUE"""),"Massachusetts")</f>
        <v>Massachusetts</v>
      </c>
      <c r="C418" s="1" t="str">
        <f>IFERROR(__xludf.DUMMYFUNCTION("""COMPUTED_VALUE"""),"State Proclamations ")</f>
        <v>State Proclamations </v>
      </c>
      <c r="D418" s="1" t="str">
        <f>IFERROR(__xludf.DUMMYFUNCTION("""COMPUTED_VALUE"""),"Closing")</f>
        <v>Closing</v>
      </c>
      <c r="E418" s="1" t="str">
        <f>IFERROR(__xludf.DUMMYFUNCTION("""COMPUTED_VALUE"""),"The governor rolled back reopening plans to Step 1 of Phase 3 due to an increase in cases. Restaurants cannot seat more than six people at a table for 90 minutes at a time, and outdoor gatherings are reduced from 100 to 50 people. Indoor performance venue"&amp;"s and theaters are closed, and libraries, retail, and offices, and places of worship must reduce capcity from 50% to 40%.")</f>
        <v>The governor rolled back reopening plans to Step 1 of Phase 3 due to an increase in cases. Restaurants cannot seat more than six people at a table for 90 minutes at a time, and outdoor gatherings are reduced from 100 to 50 people. Indoor performance venues and theaters are closed, and libraries, retail, and offices, and places of worship must reduce capcity from 50% to 40%.</v>
      </c>
      <c r="F418" s="1" t="str">
        <f>IFERROR(__xludf.DUMMYFUNCTION("""COMPUTED_VALUE"""),"National Academy for State Health Policy")</f>
        <v>National Academy for State Health Policy</v>
      </c>
      <c r="G418" s="3" t="str">
        <f>IFERROR(__xludf.DUMMYFUNCTION("""COMPUTED_VALUE"""),"https://www.nashp.org/2020-state-reopening-chart/")</f>
        <v>https://www.nashp.org/2020-state-reopening-chart/</v>
      </c>
      <c r="H418" s="1"/>
      <c r="I418" s="1"/>
    </row>
    <row r="419">
      <c r="A419" s="2">
        <f>IFERROR(__xludf.DUMMYFUNCTION("""COMPUTED_VALUE"""),44191.0)</f>
        <v>44191</v>
      </c>
      <c r="B419" s="1" t="str">
        <f>IFERROR(__xludf.DUMMYFUNCTION("""COMPUTED_VALUE"""),"Massachusetts")</f>
        <v>Massachusetts</v>
      </c>
      <c r="C419" s="1" t="str">
        <f>IFERROR(__xludf.DUMMYFUNCTION("""COMPUTED_VALUE"""),"State Proclamations ")</f>
        <v>State Proclamations </v>
      </c>
      <c r="D419" s="1" t="str">
        <f>IFERROR(__xludf.DUMMYFUNCTION("""COMPUTED_VALUE"""),"Closing")</f>
        <v>Closing</v>
      </c>
      <c r="E419" s="1" t="str">
        <f>IFERROR(__xludf.DUMMYFUNCTION("""COMPUTED_VALUE"""),"A series of new coronavirus restrictions take effect, including a 10-person limit on indoor gatherings and a 25-person limit on outdoor gatherings. Additionally, most businesses, including restaurants, movie theaters, gyms, offices, and venues, must limit"&amp;" capacity to 25%.")</f>
        <v>A series of new coronavirus restrictions take effect, including a 10-person limit on indoor gatherings and a 25-person limit on outdoor gatherings. Additionally, most businesses, including restaurants, movie theaters, gyms, offices, and venues, must limit capacity to 25%.</v>
      </c>
      <c r="F419" s="1" t="str">
        <f>IFERROR(__xludf.DUMMYFUNCTION("""COMPUTED_VALUE"""),"National Academy for State Health Policy")</f>
        <v>National Academy for State Health Policy</v>
      </c>
      <c r="G419" s="3" t="str">
        <f>IFERROR(__xludf.DUMMYFUNCTION("""COMPUTED_VALUE"""),"https://www.nashp.org/2020-state-reopening-chart/")</f>
        <v>https://www.nashp.org/2020-state-reopening-chart/</v>
      </c>
      <c r="H419" s="1"/>
      <c r="I419" s="1"/>
    </row>
    <row r="420">
      <c r="A420" s="2">
        <f>IFERROR(__xludf.DUMMYFUNCTION("""COMPUTED_VALUE"""),44203.0)</f>
        <v>44203</v>
      </c>
      <c r="B420" s="1" t="str">
        <f>IFERROR(__xludf.DUMMYFUNCTION("""COMPUTED_VALUE"""),"Massachusetts")</f>
        <v>Massachusetts</v>
      </c>
      <c r="C420" s="1" t="str">
        <f>IFERROR(__xludf.DUMMYFUNCTION("""COMPUTED_VALUE"""),"State Proclamations ")</f>
        <v>State Proclamations </v>
      </c>
      <c r="D420" s="1" t="str">
        <f>IFERROR(__xludf.DUMMYFUNCTION("""COMPUTED_VALUE"""),"Closing")</f>
        <v>Closing</v>
      </c>
      <c r="E420" s="1" t="str">
        <f>IFERROR(__xludf.DUMMYFUNCTION("""COMPUTED_VALUE"""),"Gov. Charlie Baker extended a series of coronavirus restrictions through Jan. 24, including a 10-person limit on indoor gatherings and a 25-person limit on outdoor gatherings; and a requirement that most businesses, including restaurants, movie theaters, "&amp;"gyms, offices, and venues, limit capacity to 25%.")</f>
        <v>Gov. Charlie Baker extended a series of coronavirus restrictions through Jan. 24, including a 10-person limit on indoor gatherings and a 25-person limit on outdoor gatherings; and a requirement that most businesses, including restaurants, movie theaters, gyms, offices, and venues, limit capacity to 25%.</v>
      </c>
      <c r="F420" s="1" t="str">
        <f>IFERROR(__xludf.DUMMYFUNCTION("""COMPUTED_VALUE"""),"National Academy for State Health Policy")</f>
        <v>National Academy for State Health Policy</v>
      </c>
      <c r="G420" s="3" t="str">
        <f>IFERROR(__xludf.DUMMYFUNCTION("""COMPUTED_VALUE"""),"https://www.nashp.org/2021-covid-19-state-restrictions-re-openings-and-mask-requirements/")</f>
        <v>https://www.nashp.org/2021-covid-19-state-restrictions-re-openings-and-mask-requirements/</v>
      </c>
      <c r="H420" s="1"/>
      <c r="I420" s="1"/>
    </row>
    <row r="421">
      <c r="A421" s="2">
        <f>IFERROR(__xludf.DUMMYFUNCTION("""COMPUTED_VALUE"""),44204.0)</f>
        <v>44204</v>
      </c>
      <c r="B421" s="1" t="str">
        <f>IFERROR(__xludf.DUMMYFUNCTION("""COMPUTED_VALUE"""),"Massachusetts")</f>
        <v>Massachusetts</v>
      </c>
      <c r="C421" s="1" t="str">
        <f>IFERROR(__xludf.DUMMYFUNCTION("""COMPUTED_VALUE"""),"State Proclamations ")</f>
        <v>State Proclamations </v>
      </c>
      <c r="D421" s="1" t="str">
        <f>IFERROR(__xludf.DUMMYFUNCTION("""COMPUTED_VALUE"""),"Opening")</f>
        <v>Opening</v>
      </c>
      <c r="E421" s="1" t="str">
        <f>IFERROR(__xludf.DUMMYFUNCTION("""COMPUTED_VALUE"""),"The governor announced a pooled testing initiative that will begin next month for school districts providing in-person and hybrid learning. The initiative will involve analyzing batches of COVID-19 test samples from individual schools on a weekly basis. I"&amp;"f COVID-19 is not detected in the batch, then everyone in the school is presumed to be negative for the virus.")</f>
        <v>The governor announced a pooled testing initiative that will begin next month for school districts providing in-person and hybrid learning. The initiative will involve analyzing batches of COVID-19 test samples from individual schools on a weekly basis. If COVID-19 is not detected in the batch, then everyone in the school is presumed to be negative for the virus.</v>
      </c>
      <c r="F421" s="1" t="str">
        <f>IFERROR(__xludf.DUMMYFUNCTION("""COMPUTED_VALUE"""),"National Academy for State Health Policy")</f>
        <v>National Academy for State Health Policy</v>
      </c>
      <c r="G421" s="3" t="str">
        <f>IFERROR(__xludf.DUMMYFUNCTION("""COMPUTED_VALUE"""),"https://www.nashp.org/2021-covid-19-state-restrictions-re-openings-and-mask-requirements/")</f>
        <v>https://www.nashp.org/2021-covid-19-state-restrictions-re-openings-and-mask-requirements/</v>
      </c>
      <c r="H421" s="1"/>
      <c r="I421" s="1"/>
    </row>
    <row r="422">
      <c r="A422" s="2">
        <f>IFERROR(__xludf.DUMMYFUNCTION("""COMPUTED_VALUE"""),44221.0)</f>
        <v>44221</v>
      </c>
      <c r="B422" s="1" t="str">
        <f>IFERROR(__xludf.DUMMYFUNCTION("""COMPUTED_VALUE"""),"Massachusetts")</f>
        <v>Massachusetts</v>
      </c>
      <c r="C422" s="1" t="str">
        <f>IFERROR(__xludf.DUMMYFUNCTION("""COMPUTED_VALUE"""),"State Proclamations ")</f>
        <v>State Proclamations </v>
      </c>
      <c r="D422" s="1" t="str">
        <f>IFERROR(__xludf.DUMMYFUNCTION("""COMPUTED_VALUE"""),"Opening")</f>
        <v>Opening</v>
      </c>
      <c r="E422" s="1" t="str">
        <f>IFERROR(__xludf.DUMMYFUNCTION("""COMPUTED_VALUE"""),"The statewide curfew on businesses and a nighttime stay-at-home advisory on individuals expires. The curfew prohibited several types of businesses, including restaurants and gyms, from operating after 9:30 pm, while the stay-at-home advisory discouraged p"&amp;"eople from leaving their houses between 10 am and 5 am. The governor said some restrictions would remain in place, including indoor and outdoor gathering limits and capacity limits on businesses.")</f>
        <v>The statewide curfew on businesses and a nighttime stay-at-home advisory on individuals expires. The curfew prohibited several types of businesses, including restaurants and gyms, from operating after 9:30 pm, while the stay-at-home advisory discouraged people from leaving their houses between 10 am and 5 am. The governor said some restrictions would remain in place, including indoor and outdoor gathering limits and capacity limits on businesses.</v>
      </c>
      <c r="F422" s="1" t="str">
        <f>IFERROR(__xludf.DUMMYFUNCTION("""COMPUTED_VALUE"""),"National Academy for State Health Policy")</f>
        <v>National Academy for State Health Policy</v>
      </c>
      <c r="G422" s="3" t="str">
        <f>IFERROR(__xludf.DUMMYFUNCTION("""COMPUTED_VALUE"""),"https://www.nashp.org/2021-covid-19-state-restrictions-re-openings-and-mask-requirements/")</f>
        <v>https://www.nashp.org/2021-covid-19-state-restrictions-re-openings-and-mask-requirements/</v>
      </c>
      <c r="H422" s="1"/>
      <c r="I422" s="1"/>
    </row>
    <row r="423">
      <c r="A423" s="2">
        <f>IFERROR(__xludf.DUMMYFUNCTION("""COMPUTED_VALUE"""),44235.0)</f>
        <v>44235</v>
      </c>
      <c r="B423" s="1" t="str">
        <f>IFERROR(__xludf.DUMMYFUNCTION("""COMPUTED_VALUE"""),"Massachusetts")</f>
        <v>Massachusetts</v>
      </c>
      <c r="C423" s="1" t="str">
        <f>IFERROR(__xludf.DUMMYFUNCTION("""COMPUTED_VALUE"""),"State Proclamations ")</f>
        <v>State Proclamations </v>
      </c>
      <c r="D423" s="1" t="str">
        <f>IFERROR(__xludf.DUMMYFUNCTION("""COMPUTED_VALUE"""),"Opening")</f>
        <v>Opening</v>
      </c>
      <c r="E423" s="1" t="str">
        <f>IFERROR(__xludf.DUMMYFUNCTION("""COMPUTED_VALUE"""),"Capacity limits placed on bars and gyms increased from 25% to 40%.
March 1: The state entered Step 2 of Phase 3 of reopening, allowing indoor entertainment venues to operate at 50% capacity and restaurants to operate at 100% capacity.")</f>
        <v>Capacity limits placed on bars and gyms increased from 25% to 40%.
March 1: The state entered Step 2 of Phase 3 of reopening, allowing indoor entertainment venues to operate at 50% capacity and restaurants to operate at 100% capacity.</v>
      </c>
      <c r="F423" s="1" t="str">
        <f>IFERROR(__xludf.DUMMYFUNCTION("""COMPUTED_VALUE"""),"National Academy for State Health Policy")</f>
        <v>National Academy for State Health Policy</v>
      </c>
      <c r="G423" s="3" t="str">
        <f>IFERROR(__xludf.DUMMYFUNCTION("""COMPUTED_VALUE"""),"https://www.nashp.org/2021-covid-19-state-restrictions-re-openings-and-mask-requirements/")</f>
        <v>https://www.nashp.org/2021-covid-19-state-restrictions-re-openings-and-mask-requirements/</v>
      </c>
      <c r="H423" s="1"/>
      <c r="I423" s="1"/>
    </row>
    <row r="424">
      <c r="A424" s="2">
        <f>IFERROR(__xludf.DUMMYFUNCTION("""COMPUTED_VALUE"""),44277.0)</f>
        <v>44277</v>
      </c>
      <c r="B424" s="1" t="str">
        <f>IFERROR(__xludf.DUMMYFUNCTION("""COMPUTED_VALUE"""),"Massachusetts")</f>
        <v>Massachusetts</v>
      </c>
      <c r="C424" s="1" t="str">
        <f>IFERROR(__xludf.DUMMYFUNCTION("""COMPUTED_VALUE"""),"State Proclamations ")</f>
        <v>State Proclamations </v>
      </c>
      <c r="D424" s="1" t="str">
        <f>IFERROR(__xludf.DUMMYFUNCTION("""COMPUTED_VALUE"""),"Opening")</f>
        <v>Opening</v>
      </c>
      <c r="E424" s="1" t="str">
        <f>IFERROR(__xludf.DUMMYFUNCTION("""COMPUTED_VALUE"""),"The state advanced to Phase 4 of the reopening plan. Under Phase 4, large capacity sports and entertainment venues can operate at 12% capacity if they submit a plan to the Department of Public Health. Additionally, the gathering limit for event venues in "&amp;"public settings will increase to 100 people indoors and 150 people outdoors, and dance floors will be permitted at weddings.")</f>
        <v>The state advanced to Phase 4 of the reopening plan. Under Phase 4, large capacity sports and entertainment venues can operate at 12% capacity if they submit a plan to the Department of Public Health. Additionally, the gathering limit for event venues in public settings will increase to 100 people indoors and 150 people outdoors, and dance floors will be permitted at weddings.</v>
      </c>
      <c r="F424" s="1" t="str">
        <f>IFERROR(__xludf.DUMMYFUNCTION("""COMPUTED_VALUE"""),"National Academy for State Health Policy")</f>
        <v>National Academy for State Health Policy</v>
      </c>
      <c r="G424" s="3" t="str">
        <f>IFERROR(__xludf.DUMMYFUNCTION("""COMPUTED_VALUE"""),"https://www.nashp.org/2021-covid-19-state-restrictions-re-openings-and-mask-requirements/")</f>
        <v>https://www.nashp.org/2021-covid-19-state-restrictions-re-openings-and-mask-requirements/</v>
      </c>
      <c r="H424" s="1"/>
      <c r="I424" s="1"/>
    </row>
    <row r="425">
      <c r="A425" s="2">
        <f>IFERROR(__xludf.DUMMYFUNCTION("""COMPUTED_VALUE"""),44291.0)</f>
        <v>44291</v>
      </c>
      <c r="B425" s="1" t="str">
        <f>IFERROR(__xludf.DUMMYFUNCTION("""COMPUTED_VALUE"""),"Massachusetts")</f>
        <v>Massachusetts</v>
      </c>
      <c r="C425" s="1" t="str">
        <f>IFERROR(__xludf.DUMMYFUNCTION("""COMPUTED_VALUE"""),"State Proclamations ")</f>
        <v>State Proclamations </v>
      </c>
      <c r="D425" s="1" t="str">
        <f>IFERROR(__xludf.DUMMYFUNCTION("""COMPUTED_VALUE"""),"Opening")</f>
        <v>Opening</v>
      </c>
      <c r="E425" s="1" t="str">
        <f>IFERROR(__xludf.DUMMYFUNCTION("""COMPUTED_VALUE"""),"Most elementary schools returned to full-time, in-person learning.")</f>
        <v>Most elementary schools returned to full-time, in-person learning.</v>
      </c>
      <c r="F425" s="1" t="str">
        <f>IFERROR(__xludf.DUMMYFUNCTION("""COMPUTED_VALUE"""),"National Academy for State Health Policy")</f>
        <v>National Academy for State Health Policy</v>
      </c>
      <c r="G425" s="3" t="str">
        <f>IFERROR(__xludf.DUMMYFUNCTION("""COMPUTED_VALUE"""),"https://www.nashp.org/2021-covid-19-state-restrictions-re-openings-and-mask-requirements/")</f>
        <v>https://www.nashp.org/2021-covid-19-state-restrictions-re-openings-and-mask-requirements/</v>
      </c>
      <c r="H425" s="1"/>
      <c r="I425" s="1"/>
    </row>
    <row r="426">
      <c r="A426" s="2">
        <f>IFERROR(__xludf.DUMMYFUNCTION("""COMPUTED_VALUE"""),44326.0)</f>
        <v>44326</v>
      </c>
      <c r="B426" s="1" t="str">
        <f>IFERROR(__xludf.DUMMYFUNCTION("""COMPUTED_VALUE"""),"Massachusetts")</f>
        <v>Massachusetts</v>
      </c>
      <c r="C426" s="1" t="str">
        <f>IFERROR(__xludf.DUMMYFUNCTION("""COMPUTED_VALUE"""),"State Proclamations ")</f>
        <v>State Proclamations </v>
      </c>
      <c r="D426" s="1" t="str">
        <f>IFERROR(__xludf.DUMMYFUNCTION("""COMPUTED_VALUE"""),"Opening")</f>
        <v>Opening</v>
      </c>
      <c r="E426" s="1" t="str">
        <f>IFERROR(__xludf.DUMMYFUNCTION("""COMPUTED_VALUE"""),"Amusement and water parks can reopen at 50% capacity, and supermarkets are no longer required to offer senior hours.")</f>
        <v>Amusement and water parks can reopen at 50% capacity, and supermarkets are no longer required to offer senior hours.</v>
      </c>
      <c r="F426" s="1" t="str">
        <f>IFERROR(__xludf.DUMMYFUNCTION("""COMPUTED_VALUE"""),"National Academy for State Health Policy")</f>
        <v>National Academy for State Health Policy</v>
      </c>
      <c r="G426" s="3" t="str">
        <f>IFERROR(__xludf.DUMMYFUNCTION("""COMPUTED_VALUE"""),"https://www.nashp.org/2021-covid-19-state-restrictions-re-openings-and-mask-requirements/")</f>
        <v>https://www.nashp.org/2021-covid-19-state-restrictions-re-openings-and-mask-requirements/</v>
      </c>
      <c r="H426" s="1"/>
      <c r="I426" s="1"/>
    </row>
    <row r="427">
      <c r="A427" s="2">
        <f>IFERROR(__xludf.DUMMYFUNCTION("""COMPUTED_VALUE"""),44345.0)</f>
        <v>44345</v>
      </c>
      <c r="B427" s="1" t="str">
        <f>IFERROR(__xludf.DUMMYFUNCTION("""COMPUTED_VALUE"""),"Massachusetts")</f>
        <v>Massachusetts</v>
      </c>
      <c r="C427" s="1" t="str">
        <f>IFERROR(__xludf.DUMMYFUNCTION("""COMPUTED_VALUE"""),"Mask Mandate")</f>
        <v>Mask Mandate</v>
      </c>
      <c r="D427" s="1" t="str">
        <f>IFERROR(__xludf.DUMMYFUNCTION("""COMPUTED_VALUE"""),"End")</f>
        <v>End</v>
      </c>
      <c r="E427" s="1" t="str">
        <f>IFERROR(__xludf.DUMMYFUNCTION("""COMPUTED_VALUE"""),"On May 29, the governor lifted the statewide mandate")</f>
        <v>On May 29, the governor lifted the statewide mandate</v>
      </c>
      <c r="F427" s="1" t="str">
        <f>IFERROR(__xludf.DUMMYFUNCTION("""COMPUTED_VALUE"""),"National Academy for State Health Policy")</f>
        <v>National Academy for State Health Policy</v>
      </c>
      <c r="G427" s="3" t="str">
        <f>IFERROR(__xludf.DUMMYFUNCTION("""COMPUTED_VALUE"""),"https://www.nashp.org/2021-covid-19-state-restrictions-re-openings-and-mask-requirements/")</f>
        <v>https://www.nashp.org/2021-covid-19-state-restrictions-re-openings-and-mask-requirements/</v>
      </c>
      <c r="H427" s="1"/>
      <c r="I427" s="1"/>
    </row>
    <row r="428">
      <c r="A428" s="2">
        <f>IFERROR(__xludf.DUMMYFUNCTION("""COMPUTED_VALUE"""),44345.0)</f>
        <v>44345</v>
      </c>
      <c r="B428" s="1" t="str">
        <f>IFERROR(__xludf.DUMMYFUNCTION("""COMPUTED_VALUE"""),"Massachusetts")</f>
        <v>Massachusetts</v>
      </c>
      <c r="C428" s="1" t="str">
        <f>IFERROR(__xludf.DUMMYFUNCTION("""COMPUTED_VALUE"""),"State Proclamations ")</f>
        <v>State Proclamations </v>
      </c>
      <c r="D428" s="1" t="str">
        <f>IFERROR(__xludf.DUMMYFUNCTION("""COMPUTED_VALUE"""),"Opening")</f>
        <v>Opening</v>
      </c>
      <c r="E428" s="1" t="str">
        <f>IFERROR(__xludf.DUMMYFUNCTION("""COMPUTED_VALUE"""),"The governor lifted all statewide COVID-19 restrictions.")</f>
        <v>The governor lifted all statewide COVID-19 restrictions.</v>
      </c>
      <c r="F428" s="1" t="str">
        <f>IFERROR(__xludf.DUMMYFUNCTION("""COMPUTED_VALUE"""),"National Academy for State Health Policy")</f>
        <v>National Academy for State Health Policy</v>
      </c>
      <c r="G428" s="3" t="str">
        <f>IFERROR(__xludf.DUMMYFUNCTION("""COMPUTED_VALUE"""),"https://www.nashp.org/2021-covid-19-state-restrictions-re-openings-and-mask-requirements/")</f>
        <v>https://www.nashp.org/2021-covid-19-state-restrictions-re-openings-and-mask-requirements/</v>
      </c>
      <c r="H428" s="1"/>
      <c r="I428" s="1"/>
    </row>
    <row r="429">
      <c r="A429" s="2">
        <f>IFERROR(__xludf.DUMMYFUNCTION("""COMPUTED_VALUE"""),44362.0)</f>
        <v>44362</v>
      </c>
      <c r="B429" s="1" t="str">
        <f>IFERROR(__xludf.DUMMYFUNCTION("""COMPUTED_VALUE"""),"Massachusetts")</f>
        <v>Massachusetts</v>
      </c>
      <c r="C429" s="1" t="str">
        <f>IFERROR(__xludf.DUMMYFUNCTION("""COMPUTED_VALUE"""),"State of Emergency")</f>
        <v>State of Emergency</v>
      </c>
      <c r="D429" s="1" t="str">
        <f>IFERROR(__xludf.DUMMYFUNCTION("""COMPUTED_VALUE"""),"End")</f>
        <v>End</v>
      </c>
      <c r="E429" s="1" t="str">
        <f>IFERROR(__xludf.DUMMYFUNCTION("""COMPUTED_VALUE"""),"State of Emergency lifted on June 15, 2021")</f>
        <v>State of Emergency lifted on June 15, 2021</v>
      </c>
      <c r="F429" s="1" t="str">
        <f>IFERROR(__xludf.DUMMYFUNCTION("""COMPUTED_VALUE"""),"National Academy for State Health Policy")</f>
        <v>National Academy for State Health Policy</v>
      </c>
      <c r="G429" s="3" t="str">
        <f>IFERROR(__xludf.DUMMYFUNCTION("""COMPUTED_VALUE"""),"https://www.nashp.org/2021-covid-19-state-restrictions-re-openings-and-mask-requirements/")</f>
        <v>https://www.nashp.org/2021-covid-19-state-restrictions-re-openings-and-mask-requirements/</v>
      </c>
      <c r="H429" s="1"/>
      <c r="I429" s="1"/>
    </row>
    <row r="430">
      <c r="A430" s="2">
        <f>IFERROR(__xludf.DUMMYFUNCTION("""COMPUTED_VALUE"""),43900.0)</f>
        <v>43900</v>
      </c>
      <c r="B430" s="1" t="str">
        <f>IFERROR(__xludf.DUMMYFUNCTION("""COMPUTED_VALUE"""),"Michigan")</f>
        <v>Michigan</v>
      </c>
      <c r="C430" s="1" t="str">
        <f>IFERROR(__xludf.DUMMYFUNCTION("""COMPUTED_VALUE"""),"State of Emergency")</f>
        <v>State of Emergency</v>
      </c>
      <c r="D430" s="1" t="str">
        <f>IFERROR(__xludf.DUMMYFUNCTION("""COMPUTED_VALUE"""),"Start")</f>
        <v>Start</v>
      </c>
      <c r="E430" s="1" t="str">
        <f>IFERROR(__xludf.DUMMYFUNCTION("""COMPUTED_VALUE"""),"Gov. Gretchen Whitmer declared a state of emergency of March 10, after Michigan had its first two cases of COVID-19.")</f>
        <v>Gov. Gretchen Whitmer declared a state of emergency of March 10, after Michigan had its first two cases of COVID-19.</v>
      </c>
      <c r="F430" s="1" t="str">
        <f>IFERROR(__xludf.DUMMYFUNCTION("""COMPUTED_VALUE"""),"Business Insider")</f>
        <v>Business Insider</v>
      </c>
      <c r="G430" s="3" t="str">
        <f>IFERROR(__xludf.DUMMYFUNCTION("""COMPUTED_VALUE"""),"https://www.businessinsider.com/california-washington-state-of-emergency-coronavirus-what-it-means-2020-3#michigan-18")</f>
        <v>https://www.businessinsider.com/california-washington-state-of-emergency-coronavirus-what-it-means-2020-3#michigan-18</v>
      </c>
      <c r="H430" s="1"/>
      <c r="I430" s="1"/>
    </row>
    <row r="431">
      <c r="A431" s="2">
        <f>IFERROR(__xludf.DUMMYFUNCTION("""COMPUTED_VALUE"""),43914.0)</f>
        <v>43914</v>
      </c>
      <c r="B431" s="1" t="str">
        <f>IFERROR(__xludf.DUMMYFUNCTION("""COMPUTED_VALUE"""),"Michigan")</f>
        <v>Michigan</v>
      </c>
      <c r="C431" s="1" t="str">
        <f>IFERROR(__xludf.DUMMYFUNCTION("""COMPUTED_VALUE"""),"Stay-at-Home Order")</f>
        <v>Stay-at-Home Order</v>
      </c>
      <c r="D431" s="1" t="str">
        <f>IFERROR(__xludf.DUMMYFUNCTION("""COMPUTED_VALUE"""),"Start")</f>
        <v>Start</v>
      </c>
      <c r="E431" s="1" t="str">
        <f>IFERROR(__xludf.DUMMYFUNCTION("""COMPUTED_VALUE"""),"Original stay-at-home order begins")</f>
        <v>Original stay-at-home order begins</v>
      </c>
      <c r="F431" s="1" t="str">
        <f>IFERROR(__xludf.DUMMYFUNCTION("""COMPUTED_VALUE"""),"National Academy for State Health Policy")</f>
        <v>National Academy for State Health Policy</v>
      </c>
      <c r="G431" s="3" t="str">
        <f>IFERROR(__xludf.DUMMYFUNCTION("""COMPUTED_VALUE"""),"https://www.nashp.org/2020-state-reopening-chart/")</f>
        <v>https://www.nashp.org/2020-state-reopening-chart/</v>
      </c>
      <c r="H431" s="1"/>
      <c r="I431" s="1"/>
    </row>
    <row r="432">
      <c r="A432" s="2">
        <f>IFERROR(__xludf.DUMMYFUNCTION("""COMPUTED_VALUE"""),43947.0)</f>
        <v>43947</v>
      </c>
      <c r="B432" s="1" t="str">
        <f>IFERROR(__xludf.DUMMYFUNCTION("""COMPUTED_VALUE"""),"Michigan")</f>
        <v>Michigan</v>
      </c>
      <c r="C432" s="1" t="str">
        <f>IFERROR(__xludf.DUMMYFUNCTION("""COMPUTED_VALUE"""),"Mask Mandate")</f>
        <v>Mask Mandate</v>
      </c>
      <c r="D432" s="1" t="str">
        <f>IFERROR(__xludf.DUMMYFUNCTION("""COMPUTED_VALUE"""),"Start")</f>
        <v>Start</v>
      </c>
      <c r="E432" s="1" t="str">
        <f>IFERROR(__xludf.DUMMYFUNCTION("""COMPUTED_VALUE"""),"Michigan requires all residents to wear face coverings or masks in all public settings.")</f>
        <v>Michigan requires all residents to wear face coverings or masks in all public settings.</v>
      </c>
      <c r="F432" s="1" t="str">
        <f>IFERROR(__xludf.DUMMYFUNCTION("""COMPUTED_VALUE"""),"CNN")</f>
        <v>CNN</v>
      </c>
      <c r="G432" s="3" t="str">
        <f>IFERROR(__xludf.DUMMYFUNCTION("""COMPUTED_VALUE"""),"https://www.cnn.com/2020/06/19/us/states-face-mask-coronavirus-trnd/index.html")</f>
        <v>https://www.cnn.com/2020/06/19/us/states-face-mask-coronavirus-trnd/index.html</v>
      </c>
      <c r="H432" s="1"/>
      <c r="I432" s="1"/>
    </row>
    <row r="433">
      <c r="A433" s="2">
        <f>IFERROR(__xludf.DUMMYFUNCTION("""COMPUTED_VALUE"""),43979.0)</f>
        <v>43979</v>
      </c>
      <c r="B433" s="1" t="str">
        <f>IFERROR(__xludf.DUMMYFUNCTION("""COMPUTED_VALUE"""),"Michigan")</f>
        <v>Michigan</v>
      </c>
      <c r="C433" s="1" t="str">
        <f>IFERROR(__xludf.DUMMYFUNCTION("""COMPUTED_VALUE"""),"Stay-at-Home Order")</f>
        <v>Stay-at-Home Order</v>
      </c>
      <c r="D433" s="1" t="str">
        <f>IFERROR(__xludf.DUMMYFUNCTION("""COMPUTED_VALUE"""),"End")</f>
        <v>End</v>
      </c>
      <c r="E433" s="1" t="str">
        <f>IFERROR(__xludf.DUMMYFUNCTION("""COMPUTED_VALUE"""),"Original stay-at-home order ends")</f>
        <v>Original stay-at-home order ends</v>
      </c>
      <c r="F433" s="1" t="str">
        <f>IFERROR(__xludf.DUMMYFUNCTION("""COMPUTED_VALUE"""),"National Academy for State Health Policy")</f>
        <v>National Academy for State Health Policy</v>
      </c>
      <c r="G433" s="3" t="str">
        <f>IFERROR(__xludf.DUMMYFUNCTION("""COMPUTED_VALUE"""),"https://www.nashp.org/2020-state-reopening-chart/")</f>
        <v>https://www.nashp.org/2020-state-reopening-chart/</v>
      </c>
      <c r="H433" s="1"/>
      <c r="I433" s="1"/>
    </row>
    <row r="434">
      <c r="A434" s="2">
        <f>IFERROR(__xludf.DUMMYFUNCTION("""COMPUTED_VALUE"""),43979.0)</f>
        <v>43979</v>
      </c>
      <c r="B434" s="1" t="str">
        <f>IFERROR(__xludf.DUMMYFUNCTION("""COMPUTED_VALUE"""),"Michigan")</f>
        <v>Michigan</v>
      </c>
      <c r="C434" s="1" t="str">
        <f>IFERROR(__xludf.DUMMYFUNCTION("""COMPUTED_VALUE"""),"State Proclamations ")</f>
        <v>State Proclamations </v>
      </c>
      <c r="D434" s="1" t="str">
        <f>IFERROR(__xludf.DUMMYFUNCTION("""COMPUTED_VALUE"""),"Opening")</f>
        <v>Opening</v>
      </c>
      <c r="E434" s="1" t="str">
        <f>IFERROR(__xludf.DUMMYFUNCTION("""COMPUTED_VALUE"""),"Michigan has reopened retail stores, restaurant dining, bars, personal care services, houses of worship, arcades, bowling alleys, theaters, and offices. Gyms and nightclubs are open in some counties. Elective medical procedures can resume at the discretio"&amp;"n of providers.")</f>
        <v>Michigan has reopened retail stores, restaurant dining, bars, personal care services, houses of worship, arcades, bowling alleys, theaters, and offices. Gyms and nightclubs are open in some counties. Elective medical procedures can resume at the discretion of providers.</v>
      </c>
      <c r="F434" s="1" t="str">
        <f>IFERROR(__xludf.DUMMYFUNCTION("""COMPUTED_VALUE"""),"National Academy for State Health Policy")</f>
        <v>National Academy for State Health Policy</v>
      </c>
      <c r="G434" s="3" t="str">
        <f>IFERROR(__xludf.DUMMYFUNCTION("""COMPUTED_VALUE"""),"https://www.nashp.org/2020-state-reopening-chart/")</f>
        <v>https://www.nashp.org/2020-state-reopening-chart/</v>
      </c>
      <c r="H434" s="1"/>
      <c r="I434" s="1"/>
    </row>
    <row r="435">
      <c r="A435" s="2">
        <f>IFERROR(__xludf.DUMMYFUNCTION("""COMPUTED_VALUE"""),43990.0)</f>
        <v>43990</v>
      </c>
      <c r="B435" s="1" t="str">
        <f>IFERROR(__xludf.DUMMYFUNCTION("""COMPUTED_VALUE"""),"Michigan")</f>
        <v>Michigan</v>
      </c>
      <c r="C435" s="1" t="str">
        <f>IFERROR(__xludf.DUMMYFUNCTION("""COMPUTED_VALUE"""),"State Proclamations ")</f>
        <v>State Proclamations </v>
      </c>
      <c r="D435" s="1" t="str">
        <f>IFERROR(__xludf.DUMMYFUNCTION("""COMPUTED_VALUE"""),"Opening")</f>
        <v>Opening</v>
      </c>
      <c r="E435" s="1" t="str">
        <f>IFERROR(__xludf.DUMMYFUNCTION("""COMPUTED_VALUE"""),"Businesses, including restaurants open at 50% capacity, will be opened in all counties. Day camps, outdoor fitness classes, athletic practices, training sessions, and games could resume.")</f>
        <v>Businesses, including restaurants open at 50% capacity, will be opened in all counties. Day camps, outdoor fitness classes, athletic practices, training sessions, and games could resume.</v>
      </c>
      <c r="F435" s="1" t="str">
        <f>IFERROR(__xludf.DUMMYFUNCTION("""COMPUTED_VALUE"""),"National Academy for State Health Policy")</f>
        <v>National Academy for State Health Policy</v>
      </c>
      <c r="G435" s="3" t="str">
        <f>IFERROR(__xludf.DUMMYFUNCTION("""COMPUTED_VALUE"""),"https://www.nashp.org/2020-state-reopening-chart/")</f>
        <v>https://www.nashp.org/2020-state-reopening-chart/</v>
      </c>
      <c r="H435" s="1"/>
      <c r="I435" s="1"/>
    </row>
    <row r="436">
      <c r="A436" s="2">
        <f>IFERROR(__xludf.DUMMYFUNCTION("""COMPUTED_VALUE"""),43997.0)</f>
        <v>43997</v>
      </c>
      <c r="B436" s="1" t="str">
        <f>IFERROR(__xludf.DUMMYFUNCTION("""COMPUTED_VALUE"""),"Michigan")</f>
        <v>Michigan</v>
      </c>
      <c r="C436" s="1" t="str">
        <f>IFERROR(__xludf.DUMMYFUNCTION("""COMPUTED_VALUE"""),"State Proclamations ")</f>
        <v>State Proclamations </v>
      </c>
      <c r="D436" s="1" t="str">
        <f>IFERROR(__xludf.DUMMYFUNCTION("""COMPUTED_VALUE"""),"Opening")</f>
        <v>Opening</v>
      </c>
      <c r="E436" s="1" t="str">
        <f>IFERROR(__xludf.DUMMYFUNCTION("""COMPUTED_VALUE"""),"Hair, nail, and massage businesses could reopen.")</f>
        <v>Hair, nail, and massage businesses could reopen.</v>
      </c>
      <c r="F436" s="1" t="str">
        <f>IFERROR(__xludf.DUMMYFUNCTION("""COMPUTED_VALUE"""),"National Academy for State Health Policy")</f>
        <v>National Academy for State Health Policy</v>
      </c>
      <c r="G436" s="3" t="str">
        <f>IFERROR(__xludf.DUMMYFUNCTION("""COMPUTED_VALUE"""),"https://www.nashp.org/2020-state-reopening-chart/")</f>
        <v>https://www.nashp.org/2020-state-reopening-chart/</v>
      </c>
      <c r="H436" s="1"/>
      <c r="I436" s="1"/>
    </row>
    <row r="437">
      <c r="A437" s="2">
        <f>IFERROR(__xludf.DUMMYFUNCTION("""COMPUTED_VALUE"""),44005.0)</f>
        <v>44005</v>
      </c>
      <c r="B437" s="1" t="str">
        <f>IFERROR(__xludf.DUMMYFUNCTION("""COMPUTED_VALUE"""),"Michigan")</f>
        <v>Michigan</v>
      </c>
      <c r="C437" s="1" t="str">
        <f>IFERROR(__xludf.DUMMYFUNCTION("""COMPUTED_VALUE"""),"State Proclamations ")</f>
        <v>State Proclamations </v>
      </c>
      <c r="D437" s="1" t="str">
        <f>IFERROR(__xludf.DUMMYFUNCTION("""COMPUTED_VALUE"""),"Closing")</f>
        <v>Closing</v>
      </c>
      <c r="E437" s="1" t="str">
        <f>IFERROR(__xludf.DUMMYFUNCTION("""COMPUTED_VALUE"""),"Due to a recent increase in infections, the governor announced the state will remain in Phase 4 of its reopening plan through July 4, rather than move into Phase 5.")</f>
        <v>Due to a recent increase in infections, the governor announced the state will remain in Phase 4 of its reopening plan through July 4, rather than move into Phase 5.</v>
      </c>
      <c r="F437" s="1" t="str">
        <f>IFERROR(__xludf.DUMMYFUNCTION("""COMPUTED_VALUE"""),"National Academy for State Health Policy")</f>
        <v>National Academy for State Health Policy</v>
      </c>
      <c r="G437" s="3" t="str">
        <f>IFERROR(__xludf.DUMMYFUNCTION("""COMPUTED_VALUE"""),"https://www.nashp.org/2020-state-reopening-chart/")</f>
        <v>https://www.nashp.org/2020-state-reopening-chart/</v>
      </c>
      <c r="H437" s="1"/>
      <c r="I437" s="1"/>
    </row>
    <row r="438">
      <c r="A438" s="2">
        <f>IFERROR(__xludf.DUMMYFUNCTION("""COMPUTED_VALUE"""),44013.0)</f>
        <v>44013</v>
      </c>
      <c r="B438" s="1" t="str">
        <f>IFERROR(__xludf.DUMMYFUNCTION("""COMPUTED_VALUE"""),"Michigan")</f>
        <v>Michigan</v>
      </c>
      <c r="C438" s="1" t="str">
        <f>IFERROR(__xludf.DUMMYFUNCTION("""COMPUTED_VALUE"""),"State Proclamations ")</f>
        <v>State Proclamations </v>
      </c>
      <c r="D438" s="1" t="str">
        <f>IFERROR(__xludf.DUMMYFUNCTION("""COMPUTED_VALUE"""),"Closing")</f>
        <v>Closing</v>
      </c>
      <c r="E438" s="1" t="str">
        <f>IFERROR(__xludf.DUMMYFUNCTION("""COMPUTED_VALUE"""),"The governor closed dine-in service at bars in lower Michigan.")</f>
        <v>The governor closed dine-in service at bars in lower Michigan.</v>
      </c>
      <c r="F438" s="1" t="str">
        <f>IFERROR(__xludf.DUMMYFUNCTION("""COMPUTED_VALUE"""),"National Academy for State Health Policy")</f>
        <v>National Academy for State Health Policy</v>
      </c>
      <c r="G438" s="3" t="str">
        <f>IFERROR(__xludf.DUMMYFUNCTION("""COMPUTED_VALUE"""),"https://www.nashp.org/2020-state-reopening-chart/")</f>
        <v>https://www.nashp.org/2020-state-reopening-chart/</v>
      </c>
      <c r="H438" s="1"/>
      <c r="I438" s="1"/>
    </row>
    <row r="439">
      <c r="A439" s="2">
        <f>IFERROR(__xludf.DUMMYFUNCTION("""COMPUTED_VALUE"""),44050.0)</f>
        <v>44050</v>
      </c>
      <c r="B439" s="1" t="str">
        <f>IFERROR(__xludf.DUMMYFUNCTION("""COMPUTED_VALUE"""),"Michigan")</f>
        <v>Michigan</v>
      </c>
      <c r="C439" s="1" t="str">
        <f>IFERROR(__xludf.DUMMYFUNCTION("""COMPUTED_VALUE"""),"State Proclamations ")</f>
        <v>State Proclamations </v>
      </c>
      <c r="D439" s="1" t="str">
        <f>IFERROR(__xludf.DUMMYFUNCTION("""COMPUTED_VALUE"""),"Closing")</f>
        <v>Closing</v>
      </c>
      <c r="E439" s="1" t="str">
        <f>IFERROR(__xludf.DUMMYFUNCTION("""COMPUTED_VALUE"""),"The governor reversed reopening in northern Michigan by reducing the size of gorups allowed to gather from 50 to 10 people and banning indoor alcohol sales in nightclubs and establishments that serve mostly alcohol. These new restrictions in northern Mich"&amp;"igan are the same as restrictions already in place in the rest of the state. The governor allowed Detroit's three casinos to open at 15% capacity.")</f>
        <v>The governor reversed reopening in northern Michigan by reducing the size of gorups allowed to gather from 50 to 10 people and banning indoor alcohol sales in nightclubs and establishments that serve mostly alcohol. These new restrictions in northern Michigan are the same as restrictions already in place in the rest of the state. The governor allowed Detroit's three casinos to open at 15% capacity.</v>
      </c>
      <c r="F439" s="1" t="str">
        <f>IFERROR(__xludf.DUMMYFUNCTION("""COMPUTED_VALUE"""),"National Academy for State Health Policy")</f>
        <v>National Academy for State Health Policy</v>
      </c>
      <c r="G439" s="3" t="str">
        <f>IFERROR(__xludf.DUMMYFUNCTION("""COMPUTED_VALUE"""),"https://www.nashp.org/2020-state-reopening-chart/")</f>
        <v>https://www.nashp.org/2020-state-reopening-chart/</v>
      </c>
      <c r="H439" s="1"/>
      <c r="I439" s="1"/>
    </row>
    <row r="440">
      <c r="A440" s="2">
        <f>IFERROR(__xludf.DUMMYFUNCTION("""COMPUTED_VALUE"""),44083.0)</f>
        <v>44083</v>
      </c>
      <c r="B440" s="1" t="str">
        <f>IFERROR(__xludf.DUMMYFUNCTION("""COMPUTED_VALUE"""),"Michigan")</f>
        <v>Michigan</v>
      </c>
      <c r="C440" s="1" t="str">
        <f>IFERROR(__xludf.DUMMYFUNCTION("""COMPUTED_VALUE"""),"State Proclamations ")</f>
        <v>State Proclamations </v>
      </c>
      <c r="D440" s="1" t="str">
        <f>IFERROR(__xludf.DUMMYFUNCTION("""COMPUTED_VALUE"""),"Opening")</f>
        <v>Opening</v>
      </c>
      <c r="E440" s="1" t="str">
        <f>IFERROR(__xludf.DUMMYFUNCTION("""COMPUTED_VALUE"""),"Gyms and fitness studios reopened.")</f>
        <v>Gyms and fitness studios reopened.</v>
      </c>
      <c r="F440" s="1" t="str">
        <f>IFERROR(__xludf.DUMMYFUNCTION("""COMPUTED_VALUE"""),"National Academy for State Health Policy")</f>
        <v>National Academy for State Health Policy</v>
      </c>
      <c r="G440" s="3" t="str">
        <f>IFERROR(__xludf.DUMMYFUNCTION("""COMPUTED_VALUE"""),"https://www.nashp.org/2020-state-reopening-chart/")</f>
        <v>https://www.nashp.org/2020-state-reopening-chart/</v>
      </c>
      <c r="H440" s="1"/>
      <c r="I440" s="1"/>
    </row>
    <row r="441">
      <c r="A441" s="2">
        <f>IFERROR(__xludf.DUMMYFUNCTION("""COMPUTED_VALUE"""),44091.0)</f>
        <v>44091</v>
      </c>
      <c r="B441" s="1" t="str">
        <f>IFERROR(__xludf.DUMMYFUNCTION("""COMPUTED_VALUE"""),"Michigan")</f>
        <v>Michigan</v>
      </c>
      <c r="C441" s="1" t="str">
        <f>IFERROR(__xludf.DUMMYFUNCTION("""COMPUTED_VALUE"""),"State Proclamations ")</f>
        <v>State Proclamations </v>
      </c>
      <c r="D441" s="1" t="str">
        <f>IFERROR(__xludf.DUMMYFUNCTION("""COMPUTED_VALUE"""),"Closing")</f>
        <v>Closing</v>
      </c>
      <c r="E441" s="1" t="str">
        <f>IFERROR(__xludf.DUMMYFUNCTION("""COMPUTED_VALUE"""),"The governor warned that the Upper Peninsula, which is currently in Phase 5, could move back to Phase 4 amid an increase in infections in the area.")</f>
        <v>The governor warned that the Upper Peninsula, which is currently in Phase 5, could move back to Phase 4 amid an increase in infections in the area.</v>
      </c>
      <c r="F441" s="1" t="str">
        <f>IFERROR(__xludf.DUMMYFUNCTION("""COMPUTED_VALUE"""),"National Academy for State Health Policy")</f>
        <v>National Academy for State Health Policy</v>
      </c>
      <c r="G441" s="3" t="str">
        <f>IFERROR(__xludf.DUMMYFUNCTION("""COMPUTED_VALUE"""),"https://www.nashp.org/2020-state-reopening-chart/")</f>
        <v>https://www.nashp.org/2020-state-reopening-chart/</v>
      </c>
      <c r="H441" s="1"/>
      <c r="I441" s="1"/>
    </row>
    <row r="442">
      <c r="A442" s="2">
        <f>IFERROR(__xludf.DUMMYFUNCTION("""COMPUTED_VALUE"""),44109.0)</f>
        <v>44109</v>
      </c>
      <c r="B442" s="1" t="str">
        <f>IFERROR(__xludf.DUMMYFUNCTION("""COMPUTED_VALUE"""),"Michigan")</f>
        <v>Michigan</v>
      </c>
      <c r="C442" s="1" t="str">
        <f>IFERROR(__xludf.DUMMYFUNCTION("""COMPUTED_VALUE"""),"State Proclamations ")</f>
        <v>State Proclamations </v>
      </c>
      <c r="D442" s="1" t="str">
        <f>IFERROR(__xludf.DUMMYFUNCTION("""COMPUTED_VALUE"""),"Opening")</f>
        <v>Opening</v>
      </c>
      <c r="E442" s="1" t="str">
        <f>IFERROR(__xludf.DUMMYFUNCTION("""COMPUTED_VALUE"""),"The Michigan Supreme Court ruled that the governor lacks authority to issue pandemic-related executive orders since the legislature did not extend the emergency declaration on April 30.")</f>
        <v>The Michigan Supreme Court ruled that the governor lacks authority to issue pandemic-related executive orders since the legislature did not extend the emergency declaration on April 30.</v>
      </c>
      <c r="F442" s="1" t="str">
        <f>IFERROR(__xludf.DUMMYFUNCTION("""COMPUTED_VALUE"""),"National Academy for State Health Policy")</f>
        <v>National Academy for State Health Policy</v>
      </c>
      <c r="G442" s="3" t="str">
        <f>IFERROR(__xludf.DUMMYFUNCTION("""COMPUTED_VALUE"""),"https://www.nashp.org/2020-state-reopening-chart/")</f>
        <v>https://www.nashp.org/2020-state-reopening-chart/</v>
      </c>
      <c r="H442" s="1"/>
      <c r="I442" s="1"/>
    </row>
    <row r="443">
      <c r="A443" s="2">
        <f>IFERROR(__xludf.DUMMYFUNCTION("""COMPUTED_VALUE"""),44113.0)</f>
        <v>44113</v>
      </c>
      <c r="B443" s="1" t="str">
        <f>IFERROR(__xludf.DUMMYFUNCTION("""COMPUTED_VALUE"""),"Michigan")</f>
        <v>Michigan</v>
      </c>
      <c r="C443" s="1" t="str">
        <f>IFERROR(__xludf.DUMMYFUNCTION("""COMPUTED_VALUE"""),"State Proclamations ")</f>
        <v>State Proclamations </v>
      </c>
      <c r="D443" s="1" t="str">
        <f>IFERROR(__xludf.DUMMYFUNCTION("""COMPUTED_VALUE"""),"Opening")</f>
        <v>Opening</v>
      </c>
      <c r="E443" s="1" t="str">
        <f>IFERROR(__xludf.DUMMYFUNCTION("""COMPUTED_VALUE"""),"Movie theaters, bowling alleys, ice rinks, performance venues, arades, bingo halls, climbing facilities, and trampoline parks can reopen.")</f>
        <v>Movie theaters, bowling alleys, ice rinks, performance venues, arades, bingo halls, climbing facilities, and trampoline parks can reopen.</v>
      </c>
      <c r="F443" s="1" t="str">
        <f>IFERROR(__xludf.DUMMYFUNCTION("""COMPUTED_VALUE"""),"National Academy for State Health Policy")</f>
        <v>National Academy for State Health Policy</v>
      </c>
      <c r="G443" s="3" t="str">
        <f>IFERROR(__xludf.DUMMYFUNCTION("""COMPUTED_VALUE"""),"https://www.nashp.org/2020-state-reopening-chart/")</f>
        <v>https://www.nashp.org/2020-state-reopening-chart/</v>
      </c>
      <c r="H443" s="1"/>
      <c r="I443" s="1"/>
    </row>
    <row r="444">
      <c r="A444" s="2">
        <f>IFERROR(__xludf.DUMMYFUNCTION("""COMPUTED_VALUE"""),44116.0)</f>
        <v>44116</v>
      </c>
      <c r="B444" s="1" t="str">
        <f>IFERROR(__xludf.DUMMYFUNCTION("""COMPUTED_VALUE"""),"Michigan")</f>
        <v>Michigan</v>
      </c>
      <c r="C444" s="1" t="str">
        <f>IFERROR(__xludf.DUMMYFUNCTION("""COMPUTED_VALUE"""),"State of Emergency")</f>
        <v>State of Emergency</v>
      </c>
      <c r="D444" s="1" t="str">
        <f>IFERROR(__xludf.DUMMYFUNCTION("""COMPUTED_VALUE"""),"End")</f>
        <v>End</v>
      </c>
      <c r="E444" s="1" t="str">
        <f>IFERROR(__xludf.DUMMYFUNCTION("""COMPUTED_VALUE"""),"State of Emergency ended on Oct 12, 2020 after the State Supreme Court ruled it unconstitutional")</f>
        <v>State of Emergency ended on Oct 12, 2020 after the State Supreme Court ruled it unconstitutional</v>
      </c>
      <c r="F444" s="1" t="str">
        <f>IFERROR(__xludf.DUMMYFUNCTION("""COMPUTED_VALUE"""),"National Academy for State Health Policy")</f>
        <v>National Academy for State Health Policy</v>
      </c>
      <c r="G444" s="3" t="str">
        <f>IFERROR(__xludf.DUMMYFUNCTION("""COMPUTED_VALUE"""),"https://www.nashp.org/2021-covid-19-state-restrictions-re-openings-and-mask-requirements/")</f>
        <v>https://www.nashp.org/2021-covid-19-state-restrictions-re-openings-and-mask-requirements/</v>
      </c>
      <c r="H444" s="1"/>
      <c r="I444" s="1"/>
    </row>
    <row r="445">
      <c r="A445" s="2">
        <f>IFERROR(__xludf.DUMMYFUNCTION("""COMPUTED_VALUE"""),44133.0)</f>
        <v>44133</v>
      </c>
      <c r="B445" s="1" t="str">
        <f>IFERROR(__xludf.DUMMYFUNCTION("""COMPUTED_VALUE"""),"Michigan")</f>
        <v>Michigan</v>
      </c>
      <c r="C445" s="1" t="str">
        <f>IFERROR(__xludf.DUMMYFUNCTION("""COMPUTED_VALUE"""),"State Proclamations ")</f>
        <v>State Proclamations </v>
      </c>
      <c r="D445" s="1" t="str">
        <f>IFERROR(__xludf.DUMMYFUNCTION("""COMPUTED_VALUE"""),"Closing")</f>
        <v>Closing</v>
      </c>
      <c r="E445" s="1" t="str">
        <f>IFERROR(__xludf.DUMMYFUNCTION("""COMPUTED_VALUE"""),"The Department of Health and Human Services issued an order limiting indoor gatherings to 50 people and limits the number of people who can sit at a table in a restaurant to six people.")</f>
        <v>The Department of Health and Human Services issued an order limiting indoor gatherings to 50 people and limits the number of people who can sit at a table in a restaurant to six people.</v>
      </c>
      <c r="F445" s="1" t="str">
        <f>IFERROR(__xludf.DUMMYFUNCTION("""COMPUTED_VALUE"""),"National Academy for State Health Policy")</f>
        <v>National Academy for State Health Policy</v>
      </c>
      <c r="G445" s="3" t="str">
        <f>IFERROR(__xludf.DUMMYFUNCTION("""COMPUTED_VALUE"""),"https://www.nashp.org/2020-state-reopening-chart/")</f>
        <v>https://www.nashp.org/2020-state-reopening-chart/</v>
      </c>
      <c r="H445" s="1"/>
      <c r="I445" s="1"/>
    </row>
    <row r="446">
      <c r="A446" s="2">
        <f>IFERROR(__xludf.DUMMYFUNCTION("""COMPUTED_VALUE"""),44153.0)</f>
        <v>44153</v>
      </c>
      <c r="B446" s="1" t="str">
        <f>IFERROR(__xludf.DUMMYFUNCTION("""COMPUTED_VALUE"""),"Michigan")</f>
        <v>Michigan</v>
      </c>
      <c r="C446" s="1" t="str">
        <f>IFERROR(__xludf.DUMMYFUNCTION("""COMPUTED_VALUE"""),"State Proclamations ")</f>
        <v>State Proclamations </v>
      </c>
      <c r="D446" s="1" t="str">
        <f>IFERROR(__xludf.DUMMYFUNCTION("""COMPUTED_VALUE"""),"Closing")</f>
        <v>Closing</v>
      </c>
      <c r="E446" s="1" t="str">
        <f>IFERROR(__xludf.DUMMYFUNCTION("""COMPUTED_VALUE"""),"The governor announced an emergency order limiting indoor gatherings for three weeks. The measure limits gatherings to two households; limits outdoor gatherings to 25 people; bans indoor dining at restaurants and bars; cancels organized sports and group e"&amp;"xercise classes that don't involve college or pro athletics; temporarily closes casinos, movie theaters, stadiums, arenas, bowling centers, skating rinks, and indoor waterparks; requires work from home be implemented where possible; and suspends classes a"&amp;"t high schools and colleges statewide.")</f>
        <v>The governor announced an emergency order limiting indoor gatherings for three weeks. The measure limits gatherings to two households; limits outdoor gatherings to 25 people; bans indoor dining at restaurants and bars; cancels organized sports and group exercise classes that don't involve college or pro athletics; temporarily closes casinos, movie theaters, stadiums, arenas, bowling centers, skating rinks, and indoor waterparks; requires work from home be implemented where possible; and suspends classes at high schools and colleges statewide.</v>
      </c>
      <c r="F446" s="1" t="str">
        <f>IFERROR(__xludf.DUMMYFUNCTION("""COMPUTED_VALUE"""),"National Academy for State Health Policy")</f>
        <v>National Academy for State Health Policy</v>
      </c>
      <c r="G446" s="3" t="str">
        <f>IFERROR(__xludf.DUMMYFUNCTION("""COMPUTED_VALUE"""),"https://www.nashp.org/2020-state-reopening-chart/")</f>
        <v>https://www.nashp.org/2020-state-reopening-chart/</v>
      </c>
      <c r="H446" s="1"/>
      <c r="I446" s="1"/>
    </row>
    <row r="447">
      <c r="A447" s="2">
        <f>IFERROR(__xludf.DUMMYFUNCTION("""COMPUTED_VALUE"""),44172.0)</f>
        <v>44172</v>
      </c>
      <c r="B447" s="1" t="str">
        <f>IFERROR(__xludf.DUMMYFUNCTION("""COMPUTED_VALUE"""),"Michigan")</f>
        <v>Michigan</v>
      </c>
      <c r="C447" s="1" t="str">
        <f>IFERROR(__xludf.DUMMYFUNCTION("""COMPUTED_VALUE"""),"State Proclamations ")</f>
        <v>State Proclamations </v>
      </c>
      <c r="D447" s="1" t="str">
        <f>IFERROR(__xludf.DUMMYFUNCTION("""COMPUTED_VALUE"""),"Closing")</f>
        <v>Closing</v>
      </c>
      <c r="E447" s="1" t="str">
        <f>IFERROR(__xludf.DUMMYFUNCTION("""COMPUTED_VALUE"""),"The governor extended COVID-19 restrictions and the pause on in-person school through Dec. 20, 2020.")</f>
        <v>The governor extended COVID-19 restrictions and the pause on in-person school through Dec. 20, 2020.</v>
      </c>
      <c r="F447" s="1" t="str">
        <f>IFERROR(__xludf.DUMMYFUNCTION("""COMPUTED_VALUE"""),"National Academy for State Health Policy")</f>
        <v>National Academy for State Health Policy</v>
      </c>
      <c r="G447" s="3" t="str">
        <f>IFERROR(__xludf.DUMMYFUNCTION("""COMPUTED_VALUE"""),"https://www.nashp.org/2020-state-reopening-chart/")</f>
        <v>https://www.nashp.org/2020-state-reopening-chart/</v>
      </c>
      <c r="H447" s="1"/>
      <c r="I447" s="1"/>
    </row>
    <row r="448">
      <c r="A448" s="2">
        <f>IFERROR(__xludf.DUMMYFUNCTION("""COMPUTED_VALUE"""),44183.0)</f>
        <v>44183</v>
      </c>
      <c r="B448" s="1" t="str">
        <f>IFERROR(__xludf.DUMMYFUNCTION("""COMPUTED_VALUE"""),"Michigan")</f>
        <v>Michigan</v>
      </c>
      <c r="C448" s="1" t="str">
        <f>IFERROR(__xludf.DUMMYFUNCTION("""COMPUTED_VALUE"""),"State Proclamations ")</f>
        <v>State Proclamations </v>
      </c>
      <c r="D448" s="1" t="str">
        <f>IFERROR(__xludf.DUMMYFUNCTION("""COMPUTED_VALUE"""),"Opening")</f>
        <v>Opening</v>
      </c>
      <c r="E448" s="1" t="str">
        <f>IFERROR(__xludf.DUMMYFUNCTION("""COMPUTED_VALUE"""),"The governor loosened some restrictions on schools and businesses. In-person learning can resume at high schools, and businesses like movie theaters and casinos can reopen so long as people wear masks and practice social distancing. The new order will rem"&amp;"ain in effect through Jan. 15, 2021.")</f>
        <v>The governor loosened some restrictions on schools and businesses. In-person learning can resume at high schools, and businesses like movie theaters and casinos can reopen so long as people wear masks and practice social distancing. The new order will remain in effect through Jan. 15, 2021.</v>
      </c>
      <c r="F448" s="1" t="str">
        <f>IFERROR(__xludf.DUMMYFUNCTION("""COMPUTED_VALUE"""),"National Academy for State Health Policy")</f>
        <v>National Academy for State Health Policy</v>
      </c>
      <c r="G448" s="3" t="str">
        <f>IFERROR(__xludf.DUMMYFUNCTION("""COMPUTED_VALUE"""),"https://www.nashp.org/2020-state-reopening-chart/")</f>
        <v>https://www.nashp.org/2020-state-reopening-chart/</v>
      </c>
      <c r="H448" s="1"/>
      <c r="I448" s="1"/>
    </row>
    <row r="449">
      <c r="A449" s="2">
        <f>IFERROR(__xludf.DUMMYFUNCTION("""COMPUTED_VALUE"""),44209.0)</f>
        <v>44209</v>
      </c>
      <c r="B449" s="1" t="str">
        <f>IFERROR(__xludf.DUMMYFUNCTION("""COMPUTED_VALUE"""),"Michigan")</f>
        <v>Michigan</v>
      </c>
      <c r="C449" s="1" t="str">
        <f>IFERROR(__xludf.DUMMYFUNCTION("""COMPUTED_VALUE"""),"State Proclamations ")</f>
        <v>State Proclamations </v>
      </c>
      <c r="D449" s="1" t="str">
        <f>IFERROR(__xludf.DUMMYFUNCTION("""COMPUTED_VALUE"""),"Opening")</f>
        <v>Opening</v>
      </c>
      <c r="E449" s="1" t="str">
        <f>IFERROR(__xludf.DUMMYFUNCTION("""COMPUTED_VALUE"""),"Gov. Gretchen Whitmer announced she would ease restrictions on indoor group exercises and non-contact sports beginning Jan. 16 while leaving a ban on indoor dining in place at least through Feb. 1.")</f>
        <v>Gov. Gretchen Whitmer announced she would ease restrictions on indoor group exercises and non-contact sports beginning Jan. 16 while leaving a ban on indoor dining in place at least through Feb. 1.</v>
      </c>
      <c r="F449" s="1" t="str">
        <f>IFERROR(__xludf.DUMMYFUNCTION("""COMPUTED_VALUE"""),"National Academy for State Health Policy")</f>
        <v>National Academy for State Health Policy</v>
      </c>
      <c r="G449" s="3" t="str">
        <f>IFERROR(__xludf.DUMMYFUNCTION("""COMPUTED_VALUE"""),"https://www.nashp.org/2021-covid-19-state-restrictions-re-openings-and-mask-requirements/")</f>
        <v>https://www.nashp.org/2021-covid-19-state-restrictions-re-openings-and-mask-requirements/</v>
      </c>
      <c r="H449" s="1"/>
      <c r="I449" s="1"/>
    </row>
    <row r="450">
      <c r="A450" s="2">
        <f>IFERROR(__xludf.DUMMYFUNCTION("""COMPUTED_VALUE"""),44228.0)</f>
        <v>44228</v>
      </c>
      <c r="B450" s="1" t="str">
        <f>IFERROR(__xludf.DUMMYFUNCTION("""COMPUTED_VALUE"""),"Michigan")</f>
        <v>Michigan</v>
      </c>
      <c r="C450" s="1" t="str">
        <f>IFERROR(__xludf.DUMMYFUNCTION("""COMPUTED_VALUE"""),"State Proclamations ")</f>
        <v>State Proclamations </v>
      </c>
      <c r="D450" s="1" t="str">
        <f>IFERROR(__xludf.DUMMYFUNCTION("""COMPUTED_VALUE"""),"Opening")</f>
        <v>Opening</v>
      </c>
      <c r="E450" s="1" t="str">
        <f>IFERROR(__xludf.DUMMYFUNCTION("""COMPUTED_VALUE"""),"The state lifted the statewide ban on indoor dining; restaurants must restrict capacity to no more than 25% and allow no more than two households per table. The governor also issued an order allowing non-residential gatherings of up to 10 people from two "&amp;"households.")</f>
        <v>The state lifted the statewide ban on indoor dining; restaurants must restrict capacity to no more than 25% and allow no more than two households per table. The governor also issued an order allowing non-residential gatherings of up to 10 people from two households.</v>
      </c>
      <c r="F450" s="1" t="str">
        <f>IFERROR(__xludf.DUMMYFUNCTION("""COMPUTED_VALUE"""),"National Academy for State Health Policy")</f>
        <v>National Academy for State Health Policy</v>
      </c>
      <c r="G450" s="3" t="str">
        <f>IFERROR(__xludf.DUMMYFUNCTION("""COMPUTED_VALUE"""),"https://www.nashp.org/2021-covid-19-state-restrictions-re-openings-and-mask-requirements/")</f>
        <v>https://www.nashp.org/2021-covid-19-state-restrictions-re-openings-and-mask-requirements/</v>
      </c>
      <c r="H450" s="1"/>
      <c r="I450" s="1"/>
    </row>
    <row r="451">
      <c r="A451" s="2">
        <f>IFERROR(__xludf.DUMMYFUNCTION("""COMPUTED_VALUE"""),44234.0)</f>
        <v>44234</v>
      </c>
      <c r="B451" s="1" t="str">
        <f>IFERROR(__xludf.DUMMYFUNCTION("""COMPUTED_VALUE"""),"Michigan")</f>
        <v>Michigan</v>
      </c>
      <c r="C451" s="1" t="str">
        <f>IFERROR(__xludf.DUMMYFUNCTION("""COMPUTED_VALUE"""),"State Proclamations ")</f>
        <v>State Proclamations </v>
      </c>
      <c r="D451" s="1" t="str">
        <f>IFERROR(__xludf.DUMMYFUNCTION("""COMPUTED_VALUE"""),"Opening")</f>
        <v>Opening</v>
      </c>
      <c r="E451" s="1" t="str">
        <f>IFERROR(__xludf.DUMMYFUNCTION("""COMPUTED_VALUE"""),"The governor eased restrictions on high school indoor contact sports. The order specifies that masks must be worn during play. If students do not wear masks, they are required to undergo regular COVID-19 testing.")</f>
        <v>The governor eased restrictions on high school indoor contact sports. The order specifies that masks must be worn during play. If students do not wear masks, they are required to undergo regular COVID-19 testing.</v>
      </c>
      <c r="F451" s="1" t="str">
        <f>IFERROR(__xludf.DUMMYFUNCTION("""COMPUTED_VALUE"""),"National Academy for State Health Policy")</f>
        <v>National Academy for State Health Policy</v>
      </c>
      <c r="G451" s="3" t="str">
        <f>IFERROR(__xludf.DUMMYFUNCTION("""COMPUTED_VALUE"""),"https://www.nashp.org/2021-covid-19-state-restrictions-re-openings-and-mask-requirements/")</f>
        <v>https://www.nashp.org/2021-covid-19-state-restrictions-re-openings-and-mask-requirements/</v>
      </c>
      <c r="H451" s="1"/>
      <c r="I451" s="1"/>
    </row>
    <row r="452">
      <c r="A452" s="2">
        <f>IFERROR(__xludf.DUMMYFUNCTION("""COMPUTED_VALUE"""),44260.0)</f>
        <v>44260</v>
      </c>
      <c r="B452" s="1" t="str">
        <f>IFERROR(__xludf.DUMMYFUNCTION("""COMPUTED_VALUE"""),"Michigan")</f>
        <v>Michigan</v>
      </c>
      <c r="C452" s="1" t="str">
        <f>IFERROR(__xludf.DUMMYFUNCTION("""COMPUTED_VALUE"""),"State Proclamations ")</f>
        <v>State Proclamations </v>
      </c>
      <c r="D452" s="1" t="str">
        <f>IFERROR(__xludf.DUMMYFUNCTION("""COMPUTED_VALUE"""),"Opening")</f>
        <v>Opening</v>
      </c>
      <c r="E452" s="1" t="str">
        <f>IFERROR(__xludf.DUMMYFUNCTION("""COMPUTED_VALUE"""),"Restaurants can operate at 50% capacity, with a limit of 100 people. Additionally, retail businesses, libraries, and museums are permitted to increase their capacity from 30% to 50%. Entertainment venues, including movie theaters, amusement parks, and aud"&amp;"itoriums, can operate at 50% capacity, with a limit of 300 people. Sports stadiums with a seating capacity of 10,000 or fewer can allow up to 375 fans, while stadiums that can accommodate more than 10,000 can have up to 750 fans. Also, up to 15 people fro"&amp;"m three different households are allowed to gather, and outdoor public gatherings increased to 300 people.")</f>
        <v>Restaurants can operate at 50% capacity, with a limit of 100 people. Additionally, retail businesses, libraries, and museums are permitted to increase their capacity from 30% to 50%. Entertainment venues, including movie theaters, amusement parks, and auditoriums, can operate at 50% capacity, with a limit of 300 people. Sports stadiums with a seating capacity of 10,000 or fewer can allow up to 375 fans, while stadiums that can accommodate more than 10,000 can have up to 750 fans. Also, up to 15 people from three different households are allowed to gather, and outdoor public gatherings increased to 300 people.</v>
      </c>
      <c r="F452" s="1" t="str">
        <f>IFERROR(__xludf.DUMMYFUNCTION("""COMPUTED_VALUE"""),"National Academy for State Health Policy")</f>
        <v>National Academy for State Health Policy</v>
      </c>
      <c r="G452" s="3" t="str">
        <f>IFERROR(__xludf.DUMMYFUNCTION("""COMPUTED_VALUE"""),"https://www.nashp.org/2021-covid-19-state-restrictions-re-openings-and-mask-requirements/")</f>
        <v>https://www.nashp.org/2021-covid-19-state-restrictions-re-openings-and-mask-requirements/</v>
      </c>
      <c r="H452" s="1"/>
      <c r="I452" s="1"/>
    </row>
    <row r="453">
      <c r="A453" s="2">
        <f>IFERROR(__xludf.DUMMYFUNCTION("""COMPUTED_VALUE"""),44295.0)</f>
        <v>44295</v>
      </c>
      <c r="B453" s="1" t="str">
        <f>IFERROR(__xludf.DUMMYFUNCTION("""COMPUTED_VALUE"""),"Michigan")</f>
        <v>Michigan</v>
      </c>
      <c r="C453" s="1" t="str">
        <f>IFERROR(__xludf.DUMMYFUNCTION("""COMPUTED_VALUE"""),"State Proclamations ")</f>
        <v>State Proclamations </v>
      </c>
      <c r="D453" s="1" t="str">
        <f>IFERROR(__xludf.DUMMYFUNCTION("""COMPUTED_VALUE"""),"Closing")</f>
        <v>Closing</v>
      </c>
      <c r="E453" s="1" t="str">
        <f>IFERROR(__xludf.DUMMYFUNCTION("""COMPUTED_VALUE"""),"Due to an uptick in cases, the governor asked residents to refrain from eating indoors for two weeks, and asked schools to pause youth sports and implement remote learning instruction for two weeks.")</f>
        <v>Due to an uptick in cases, the governor asked residents to refrain from eating indoors for two weeks, and asked schools to pause youth sports and implement remote learning instruction for two weeks.</v>
      </c>
      <c r="F453" s="1" t="str">
        <f>IFERROR(__xludf.DUMMYFUNCTION("""COMPUTED_VALUE"""),"National Academy for State Health Policy")</f>
        <v>National Academy for State Health Policy</v>
      </c>
      <c r="G453" s="3" t="str">
        <f>IFERROR(__xludf.DUMMYFUNCTION("""COMPUTED_VALUE"""),"https://www.nashp.org/2021-covid-19-state-restrictions-re-openings-and-mask-requirements/")</f>
        <v>https://www.nashp.org/2021-covid-19-state-restrictions-re-openings-and-mask-requirements/</v>
      </c>
      <c r="H453" s="1"/>
      <c r="I453" s="1"/>
    </row>
    <row r="454">
      <c r="A454" s="2">
        <f>IFERROR(__xludf.DUMMYFUNCTION("""COMPUTED_VALUE"""),44315.0)</f>
        <v>44315</v>
      </c>
      <c r="B454" s="1" t="str">
        <f>IFERROR(__xludf.DUMMYFUNCTION("""COMPUTED_VALUE"""),"Michigan")</f>
        <v>Michigan</v>
      </c>
      <c r="C454" s="1" t="str">
        <f>IFERROR(__xludf.DUMMYFUNCTION("""COMPUTED_VALUE"""),"State Proclamations ")</f>
        <v>State Proclamations </v>
      </c>
      <c r="D454" s="1" t="str">
        <f>IFERROR(__xludf.DUMMYFUNCTION("""COMPUTED_VALUE"""),"Opening")</f>
        <v>Opening</v>
      </c>
      <c r="E454" s="1" t="str">
        <f>IFERROR(__xludf.DUMMYFUNCTION("""COMPUTED_VALUE"""),"The governor announced a plan for lifting restrictions based on vaccination rates. Two weeks after 55% of eligible residents have received the first dose of a vaccine, the governor will life the requirement that employers mandate remote work when feasible"&amp;". Two weeks after 60% of eligible residents have received a first dose, capacity limits on sporting events, conference centers, and gyms will increase. Two weeks after 65% of eligible residents have received a first dose, all indoor capacity restrictions "&amp;"will end. Two weeks after 70% of eligible residents have received a shot, most health orders, including the statewide mask mandate, will end.")</f>
        <v>The governor announced a plan for lifting restrictions based on vaccination rates. Two weeks after 55% of eligible residents have received the first dose of a vaccine, the governor will life the requirement that employers mandate remote work when feasible. Two weeks after 60% of eligible residents have received a first dose, capacity limits on sporting events, conference centers, and gyms will increase. Two weeks after 65% of eligible residents have received a first dose, all indoor capacity restrictions will end. Two weeks after 70% of eligible residents have received a shot, most health orders, including the statewide mask mandate, will end.</v>
      </c>
      <c r="F454" s="1" t="str">
        <f>IFERROR(__xludf.DUMMYFUNCTION("""COMPUTED_VALUE"""),"National Academy for State Health Policy")</f>
        <v>National Academy for State Health Policy</v>
      </c>
      <c r="G454" s="3" t="str">
        <f>IFERROR(__xludf.DUMMYFUNCTION("""COMPUTED_VALUE"""),"https://www.nashp.org/2021-covid-19-state-restrictions-re-openings-and-mask-requirements/")</f>
        <v>https://www.nashp.org/2021-covid-19-state-restrictions-re-openings-and-mask-requirements/</v>
      </c>
      <c r="H454" s="1"/>
      <c r="I454" s="1"/>
    </row>
    <row r="455">
      <c r="A455" s="2">
        <f>IFERROR(__xludf.DUMMYFUNCTION("""COMPUTED_VALUE"""),44340.0)</f>
        <v>44340</v>
      </c>
      <c r="B455" s="1" t="str">
        <f>IFERROR(__xludf.DUMMYFUNCTION("""COMPUTED_VALUE"""),"Michigan")</f>
        <v>Michigan</v>
      </c>
      <c r="C455" s="1" t="str">
        <f>IFERROR(__xludf.DUMMYFUNCTION("""COMPUTED_VALUE"""),"State Proclamations ")</f>
        <v>State Proclamations </v>
      </c>
      <c r="D455" s="1" t="str">
        <f>IFERROR(__xludf.DUMMYFUNCTION("""COMPUTED_VALUE"""),"Opening")</f>
        <v>Opening</v>
      </c>
      <c r="E455" s="1" t="str">
        <f>IFERROR(__xludf.DUMMYFUNCTION("""COMPUTED_VALUE"""),"After reaching the 55% benchmark of residents who have received at least one shot, the governor will life the requirement that employers mandate remote work when feasible.")</f>
        <v>After reaching the 55% benchmark of residents who have received at least one shot, the governor will life the requirement that employers mandate remote work when feasible.</v>
      </c>
      <c r="F455" s="1" t="str">
        <f>IFERROR(__xludf.DUMMYFUNCTION("""COMPUTED_VALUE"""),"National Academy for State Health Policy")</f>
        <v>National Academy for State Health Policy</v>
      </c>
      <c r="G455" s="3" t="str">
        <f>IFERROR(__xludf.DUMMYFUNCTION("""COMPUTED_VALUE"""),"https://www.nashp.org/2021-covid-19-state-restrictions-re-openings-and-mask-requirements/")</f>
        <v>https://www.nashp.org/2021-covid-19-state-restrictions-re-openings-and-mask-requirements/</v>
      </c>
      <c r="H455" s="1"/>
      <c r="I455" s="1"/>
    </row>
    <row r="456">
      <c r="A456" s="2">
        <f>IFERROR(__xludf.DUMMYFUNCTION("""COMPUTED_VALUE"""),44348.0)</f>
        <v>44348</v>
      </c>
      <c r="B456" s="1" t="str">
        <f>IFERROR(__xludf.DUMMYFUNCTION("""COMPUTED_VALUE"""),"Michigan")</f>
        <v>Michigan</v>
      </c>
      <c r="C456" s="1" t="str">
        <f>IFERROR(__xludf.DUMMYFUNCTION("""COMPUTED_VALUE"""),"State Proclamations ")</f>
        <v>State Proclamations </v>
      </c>
      <c r="D456" s="1" t="str">
        <f>IFERROR(__xludf.DUMMYFUNCTION("""COMPUTED_VALUE"""),"Opening")</f>
        <v>Opening</v>
      </c>
      <c r="E456" s="1" t="str">
        <f>IFERROR(__xludf.DUMMYFUNCTION("""COMPUTED_VALUE"""),"All outdoor capacity limits on stadiums and venues are lifted, and restaurants and bars can operate at 50% indoor capacity.")</f>
        <v>All outdoor capacity limits on stadiums and venues are lifted, and restaurants and bars can operate at 50% indoor capacity.</v>
      </c>
      <c r="F456" s="1" t="str">
        <f>IFERROR(__xludf.DUMMYFUNCTION("""COMPUTED_VALUE"""),"National Academy for State Health Policy")</f>
        <v>National Academy for State Health Policy</v>
      </c>
      <c r="G456" s="3" t="str">
        <f>IFERROR(__xludf.DUMMYFUNCTION("""COMPUTED_VALUE"""),"https://www.nashp.org/2021-covid-19-state-restrictions-re-openings-and-mask-requirements/")</f>
        <v>https://www.nashp.org/2021-covid-19-state-restrictions-re-openings-and-mask-requirements/</v>
      </c>
      <c r="H456" s="1"/>
      <c r="I456" s="1"/>
    </row>
    <row r="457">
      <c r="A457" s="2">
        <f>IFERROR(__xludf.DUMMYFUNCTION("""COMPUTED_VALUE"""),44369.0)</f>
        <v>44369</v>
      </c>
      <c r="B457" s="1" t="str">
        <f>IFERROR(__xludf.DUMMYFUNCTION("""COMPUTED_VALUE"""),"Michigan")</f>
        <v>Michigan</v>
      </c>
      <c r="C457" s="1" t="str">
        <f>IFERROR(__xludf.DUMMYFUNCTION("""COMPUTED_VALUE"""),"Mask Mandate")</f>
        <v>Mask Mandate</v>
      </c>
      <c r="D457" s="1" t="str">
        <f>IFERROR(__xludf.DUMMYFUNCTION("""COMPUTED_VALUE"""),"End")</f>
        <v>End</v>
      </c>
      <c r="E457" s="1" t="str">
        <f>IFERROR(__xludf.DUMMYFUNCTION("""COMPUTED_VALUE"""),"On June 22, the governor lifted the mask mandate")</f>
        <v>On June 22, the governor lifted the mask mandate</v>
      </c>
      <c r="F457" s="1" t="str">
        <f>IFERROR(__xludf.DUMMYFUNCTION("""COMPUTED_VALUE"""),"National Academy for State Health Policy")</f>
        <v>National Academy for State Health Policy</v>
      </c>
      <c r="G457" s="3" t="str">
        <f>IFERROR(__xludf.DUMMYFUNCTION("""COMPUTED_VALUE"""),"https://www.nashp.org/2021-covid-19-state-restrictions-re-openings-and-mask-requirements/")</f>
        <v>https://www.nashp.org/2021-covid-19-state-restrictions-re-openings-and-mask-requirements/</v>
      </c>
      <c r="H457" s="1"/>
      <c r="I457" s="1"/>
    </row>
    <row r="458">
      <c r="A458" s="2">
        <f>IFERROR(__xludf.DUMMYFUNCTION("""COMPUTED_VALUE"""),44369.0)</f>
        <v>44369</v>
      </c>
      <c r="B458" s="1" t="str">
        <f>IFERROR(__xludf.DUMMYFUNCTION("""COMPUTED_VALUE"""),"Michigan")</f>
        <v>Michigan</v>
      </c>
      <c r="C458" s="1" t="str">
        <f>IFERROR(__xludf.DUMMYFUNCTION("""COMPUTED_VALUE"""),"State Proclamations ")</f>
        <v>State Proclamations </v>
      </c>
      <c r="D458" s="1" t="str">
        <f>IFERROR(__xludf.DUMMYFUNCTION("""COMPUTED_VALUE"""),"Opening")</f>
        <v>Opening</v>
      </c>
      <c r="E458" s="1" t="str">
        <f>IFERROR(__xludf.DUMMYFUNCTION("""COMPUTED_VALUE"""),"The governor lifted most remaining statewide coronavirus restrictions.")</f>
        <v>The governor lifted most remaining statewide coronavirus restrictions.</v>
      </c>
      <c r="F458" s="1" t="str">
        <f>IFERROR(__xludf.DUMMYFUNCTION("""COMPUTED_VALUE"""),"National Academy for State Health Policy")</f>
        <v>National Academy for State Health Policy</v>
      </c>
      <c r="G458" s="3" t="str">
        <f>IFERROR(__xludf.DUMMYFUNCTION("""COMPUTED_VALUE"""),"https://www.nashp.org/2021-covid-19-state-restrictions-re-openings-and-mask-requirements/")</f>
        <v>https://www.nashp.org/2021-covid-19-state-restrictions-re-openings-and-mask-requirements/</v>
      </c>
      <c r="H458" s="1"/>
      <c r="I458" s="1"/>
    </row>
    <row r="459">
      <c r="A459" s="2">
        <f>IFERROR(__xludf.DUMMYFUNCTION("""COMPUTED_VALUE"""),43903.0)</f>
        <v>43903</v>
      </c>
      <c r="B459" s="1" t="str">
        <f>IFERROR(__xludf.DUMMYFUNCTION("""COMPUTED_VALUE"""),"Minnesota")</f>
        <v>Minnesota</v>
      </c>
      <c r="C459" s="1" t="str">
        <f>IFERROR(__xludf.DUMMYFUNCTION("""COMPUTED_VALUE"""),"State of Emergency")</f>
        <v>State of Emergency</v>
      </c>
      <c r="D459" s="1" t="str">
        <f>IFERROR(__xludf.DUMMYFUNCTION("""COMPUTED_VALUE"""),"Start")</f>
        <v>Start</v>
      </c>
      <c r="E459" s="1" t="str">
        <f>IFERROR(__xludf.DUMMYFUNCTION("""COMPUTED_VALUE"""),"Gov. Tim Walz declared a state of emergency on March 13.")</f>
        <v>Gov. Tim Walz declared a state of emergency on March 13.</v>
      </c>
      <c r="F459" s="1" t="str">
        <f>IFERROR(__xludf.DUMMYFUNCTION("""COMPUTED_VALUE"""),"Business Insider")</f>
        <v>Business Insider</v>
      </c>
      <c r="G459" s="3" t="str">
        <f>IFERROR(__xludf.DUMMYFUNCTION("""COMPUTED_VALUE"""),"https://www.businessinsider.com/california-washington-state-of-emergency-coronavirus-what-it-means-2020-3#minnesota-37")</f>
        <v>https://www.businessinsider.com/california-washington-state-of-emergency-coronavirus-what-it-means-2020-3#minnesota-37</v>
      </c>
      <c r="H459" s="1"/>
      <c r="I459" s="1"/>
    </row>
    <row r="460">
      <c r="A460" s="2">
        <f>IFERROR(__xludf.DUMMYFUNCTION("""COMPUTED_VALUE"""),43917.0)</f>
        <v>43917</v>
      </c>
      <c r="B460" s="1" t="str">
        <f>IFERROR(__xludf.DUMMYFUNCTION("""COMPUTED_VALUE"""),"Minnesota")</f>
        <v>Minnesota</v>
      </c>
      <c r="C460" s="1" t="str">
        <f>IFERROR(__xludf.DUMMYFUNCTION("""COMPUTED_VALUE"""),"Stay-at-Home Order")</f>
        <v>Stay-at-Home Order</v>
      </c>
      <c r="D460" s="1" t="str">
        <f>IFERROR(__xludf.DUMMYFUNCTION("""COMPUTED_VALUE"""),"Start")</f>
        <v>Start</v>
      </c>
      <c r="E460" s="1" t="str">
        <f>IFERROR(__xludf.DUMMYFUNCTION("""COMPUTED_VALUE"""),"Original stay-at-home order begins")</f>
        <v>Original stay-at-home order begins</v>
      </c>
      <c r="F460" s="1" t="str">
        <f>IFERROR(__xludf.DUMMYFUNCTION("""COMPUTED_VALUE"""),"National Academy for State Health Policy")</f>
        <v>National Academy for State Health Policy</v>
      </c>
      <c r="G460" s="3" t="str">
        <f>IFERROR(__xludf.DUMMYFUNCTION("""COMPUTED_VALUE"""),"https://www.nashp.org/2020-state-reopening-chart/")</f>
        <v>https://www.nashp.org/2020-state-reopening-chart/</v>
      </c>
      <c r="H460" s="1"/>
      <c r="I460" s="1"/>
    </row>
    <row r="461">
      <c r="A461" s="2">
        <f>IFERROR(__xludf.DUMMYFUNCTION("""COMPUTED_VALUE"""),43968.0)</f>
        <v>43968</v>
      </c>
      <c r="B461" s="1" t="str">
        <f>IFERROR(__xludf.DUMMYFUNCTION("""COMPUTED_VALUE"""),"Minnesota")</f>
        <v>Minnesota</v>
      </c>
      <c r="C461" s="1" t="str">
        <f>IFERROR(__xludf.DUMMYFUNCTION("""COMPUTED_VALUE"""),"Stay-at-Home Order")</f>
        <v>Stay-at-Home Order</v>
      </c>
      <c r="D461" s="1" t="str">
        <f>IFERROR(__xludf.DUMMYFUNCTION("""COMPUTED_VALUE"""),"End")</f>
        <v>End</v>
      </c>
      <c r="E461" s="1" t="str">
        <f>IFERROR(__xludf.DUMMYFUNCTION("""COMPUTED_VALUE"""),"Original stay-at-home order ends")</f>
        <v>Original stay-at-home order ends</v>
      </c>
      <c r="F461" s="1" t="str">
        <f>IFERROR(__xludf.DUMMYFUNCTION("""COMPUTED_VALUE"""),"National Academy for State Health Policy")</f>
        <v>National Academy for State Health Policy</v>
      </c>
      <c r="G461" s="3" t="str">
        <f>IFERROR(__xludf.DUMMYFUNCTION("""COMPUTED_VALUE"""),"https://www.nashp.org/2020-state-reopening-chart/")</f>
        <v>https://www.nashp.org/2020-state-reopening-chart/</v>
      </c>
      <c r="H461" s="1"/>
      <c r="I461" s="1"/>
    </row>
    <row r="462">
      <c r="A462" s="2">
        <f>IFERROR(__xludf.DUMMYFUNCTION("""COMPUTED_VALUE"""),43969.0)</f>
        <v>43969</v>
      </c>
      <c r="B462" s="1" t="str">
        <f>IFERROR(__xludf.DUMMYFUNCTION("""COMPUTED_VALUE"""),"Minnesota")</f>
        <v>Minnesota</v>
      </c>
      <c r="C462" s="1" t="str">
        <f>IFERROR(__xludf.DUMMYFUNCTION("""COMPUTED_VALUE"""),"State Proclamations ")</f>
        <v>State Proclamations </v>
      </c>
      <c r="D462" s="1" t="str">
        <f>IFERROR(__xludf.DUMMYFUNCTION("""COMPUTED_VALUE"""),"Opening")</f>
        <v>Opening</v>
      </c>
      <c r="E462" s="1" t="str">
        <f>IFERROR(__xludf.DUMMYFUNCTION("""COMPUTED_VALUE"""),"Minnesota has reopened industrial and manufacturing businesses and office-based businesses, nonessential retail businesses at 50% capacity, movie theaters, and bowling alleys. Gatherings of 250 people in outdoor spaces are permitted. Nonessential medical "&amp;"procedures resumed May 18.")</f>
        <v>Minnesota has reopened industrial and manufacturing businesses and office-based businesses, nonessential retail businesses at 50% capacity, movie theaters, and bowling alleys. Gatherings of 250 people in outdoor spaces are permitted. Nonessential medical procedures resumed May 18.</v>
      </c>
      <c r="F462" s="1" t="str">
        <f>IFERROR(__xludf.DUMMYFUNCTION("""COMPUTED_VALUE"""),"National Academy for State Health Policy")</f>
        <v>National Academy for State Health Policy</v>
      </c>
      <c r="G462" s="3" t="str">
        <f>IFERROR(__xludf.DUMMYFUNCTION("""COMPUTED_VALUE"""),"https://www.nashp.org/2020-state-reopening-chart/")</f>
        <v>https://www.nashp.org/2020-state-reopening-chart/</v>
      </c>
      <c r="H462" s="1"/>
      <c r="I462" s="1"/>
    </row>
    <row r="463">
      <c r="A463" s="2">
        <f>IFERROR(__xludf.DUMMYFUNCTION("""COMPUTED_VALUE"""),43992.0)</f>
        <v>43992</v>
      </c>
      <c r="B463" s="1" t="str">
        <f>IFERROR(__xludf.DUMMYFUNCTION("""COMPUTED_VALUE"""),"Minnesota")</f>
        <v>Minnesota</v>
      </c>
      <c r="C463" s="1" t="str">
        <f>IFERROR(__xludf.DUMMYFUNCTION("""COMPUTED_VALUE"""),"State Proclamations ")</f>
        <v>State Proclamations </v>
      </c>
      <c r="D463" s="1" t="str">
        <f>IFERROR(__xludf.DUMMYFUNCTION("""COMPUTED_VALUE"""),"Opening")</f>
        <v>Opening</v>
      </c>
      <c r="E463" s="1" t="str">
        <f>IFERROR(__xludf.DUMMYFUNCTION("""COMPUTED_VALUE"""),"Indoor dining reopened at 50% capacity, personal services reopened at 25% capacity, gyms reopened at 25% capacity.")</f>
        <v>Indoor dining reopened at 50% capacity, personal services reopened at 25% capacity, gyms reopened at 25% capacity.</v>
      </c>
      <c r="F463" s="1" t="str">
        <f>IFERROR(__xludf.DUMMYFUNCTION("""COMPUTED_VALUE"""),"National Academy for State Health Policy")</f>
        <v>National Academy for State Health Policy</v>
      </c>
      <c r="G463" s="3" t="str">
        <f>IFERROR(__xludf.DUMMYFUNCTION("""COMPUTED_VALUE"""),"https://www.nashp.org/2020-state-reopening-chart/")</f>
        <v>https://www.nashp.org/2020-state-reopening-chart/</v>
      </c>
      <c r="H463" s="1"/>
      <c r="I463" s="1"/>
    </row>
    <row r="464">
      <c r="A464" s="2">
        <f>IFERROR(__xludf.DUMMYFUNCTION("""COMPUTED_VALUE"""),44037.0)</f>
        <v>44037</v>
      </c>
      <c r="B464" s="1" t="str">
        <f>IFERROR(__xludf.DUMMYFUNCTION("""COMPUTED_VALUE"""),"Minnesota")</f>
        <v>Minnesota</v>
      </c>
      <c r="C464" s="1" t="str">
        <f>IFERROR(__xludf.DUMMYFUNCTION("""COMPUTED_VALUE"""),"Mask Mandate")</f>
        <v>Mask Mandate</v>
      </c>
      <c r="D464" s="1" t="str">
        <f>IFERROR(__xludf.DUMMYFUNCTION("""COMPUTED_VALUE"""),"Start")</f>
        <v>Start</v>
      </c>
      <c r="E464" s="1" t="str">
        <f>IFERROR(__xludf.DUMMYFUNCTION("""COMPUTED_VALUE"""),"Gov. Tim Walz has issued an executive order that requires the use of masks in indoor public places, while using public transportation and while outdoors where social distancing isn't possible. Children under the age of 5 are exempt from the mask mandate.")</f>
        <v>Gov. Tim Walz has issued an executive order that requires the use of masks in indoor public places, while using public transportation and while outdoors where social distancing isn't possible. Children under the age of 5 are exempt from the mask mandate.</v>
      </c>
      <c r="F464" s="1" t="str">
        <f>IFERROR(__xludf.DUMMYFUNCTION("""COMPUTED_VALUE"""),"CNN")</f>
        <v>CNN</v>
      </c>
      <c r="G464" s="3" t="str">
        <f>IFERROR(__xludf.DUMMYFUNCTION("""COMPUTED_VALUE"""),"https://www.cnn.com/2020/06/19/us/states-face-mask-coronavirus-trnd/index.html")</f>
        <v>https://www.cnn.com/2020/06/19/us/states-face-mask-coronavirus-trnd/index.html</v>
      </c>
      <c r="H464" s="1"/>
      <c r="I464" s="1"/>
    </row>
    <row r="465">
      <c r="A465" s="2">
        <f>IFERROR(__xludf.DUMMYFUNCTION("""COMPUTED_VALUE"""),44111.0)</f>
        <v>44111</v>
      </c>
      <c r="B465" s="1" t="str">
        <f>IFERROR(__xludf.DUMMYFUNCTION("""COMPUTED_VALUE"""),"Minnesota")</f>
        <v>Minnesota</v>
      </c>
      <c r="C465" s="1" t="str">
        <f>IFERROR(__xludf.DUMMYFUNCTION("""COMPUTED_VALUE"""),"State Proclamations ")</f>
        <v>State Proclamations </v>
      </c>
      <c r="D465" s="1" t="str">
        <f>IFERROR(__xludf.DUMMYFUNCTION("""COMPUTED_VALUE"""),"Closing")</f>
        <v>Closing</v>
      </c>
      <c r="E465" s="1" t="str">
        <f>IFERROR(__xludf.DUMMYFUNCTION("""COMPUTED_VALUE"""),"The governor announced that he planned to extend the state of emergency another 30 days. The extension will trigger a special session of the legislature. The state of emergency is the basis for many coronavirus restrictions, including the statewide mask m"&amp;"andate.")</f>
        <v>The governor announced that he planned to extend the state of emergency another 30 days. The extension will trigger a special session of the legislature. The state of emergency is the basis for many coronavirus restrictions, including the statewide mask mandate.</v>
      </c>
      <c r="F465" s="1" t="str">
        <f>IFERROR(__xludf.DUMMYFUNCTION("""COMPUTED_VALUE"""),"National Academy for State Health Policy")</f>
        <v>National Academy for State Health Policy</v>
      </c>
      <c r="G465" s="3" t="str">
        <f>IFERROR(__xludf.DUMMYFUNCTION("""COMPUTED_VALUE"""),"https://www.nashp.org/2020-state-reopening-chart/")</f>
        <v>https://www.nashp.org/2020-state-reopening-chart/</v>
      </c>
      <c r="H465" s="1"/>
      <c r="I465" s="1"/>
    </row>
    <row r="466">
      <c r="A466" s="2">
        <f>IFERROR(__xludf.DUMMYFUNCTION("""COMPUTED_VALUE"""),44141.0)</f>
        <v>44141</v>
      </c>
      <c r="B466" s="1" t="str">
        <f>IFERROR(__xludf.DUMMYFUNCTION("""COMPUTED_VALUE"""),"Minnesota")</f>
        <v>Minnesota</v>
      </c>
      <c r="C466" s="1" t="str">
        <f>IFERROR(__xludf.DUMMYFUNCTION("""COMPUTED_VALUE"""),"State Proclamations ")</f>
        <v>State Proclamations </v>
      </c>
      <c r="D466" s="1" t="str">
        <f>IFERROR(__xludf.DUMMYFUNCTION("""COMPUTED_VALUE"""),"Closing")</f>
        <v>Closing</v>
      </c>
      <c r="E466" s="1" t="str">
        <f>IFERROR(__xludf.DUMMYFUNCTION("""COMPUTED_VALUE"""),"The governor signed an executive order discouraging schools from requiring teachers to teach both in-person and remote classes at the same time, and requires schools to provide teachers with 30 extra minutes a day to prepare for remote teaching.")</f>
        <v>The governor signed an executive order discouraging schools from requiring teachers to teach both in-person and remote classes at the same time, and requires schools to provide teachers with 30 extra minutes a day to prepare for remote teaching.</v>
      </c>
      <c r="F466" s="1" t="str">
        <f>IFERROR(__xludf.DUMMYFUNCTION("""COMPUTED_VALUE"""),"National Academy for State Health Policy")</f>
        <v>National Academy for State Health Policy</v>
      </c>
      <c r="G466" s="3" t="str">
        <f>IFERROR(__xludf.DUMMYFUNCTION("""COMPUTED_VALUE"""),"https://www.nashp.org/2020-state-reopening-chart/")</f>
        <v>https://www.nashp.org/2020-state-reopening-chart/</v>
      </c>
      <c r="H466" s="1"/>
      <c r="I466" s="1"/>
    </row>
    <row r="467">
      <c r="A467" s="2">
        <f>IFERROR(__xludf.DUMMYFUNCTION("""COMPUTED_VALUE"""),44148.0)</f>
        <v>44148</v>
      </c>
      <c r="B467" s="1" t="str">
        <f>IFERROR(__xludf.DUMMYFUNCTION("""COMPUTED_VALUE"""),"Minnesota")</f>
        <v>Minnesota</v>
      </c>
      <c r="C467" s="1" t="str">
        <f>IFERROR(__xludf.DUMMYFUNCTION("""COMPUTED_VALUE"""),"State Proclamations ")</f>
        <v>State Proclamations </v>
      </c>
      <c r="D467" s="1" t="str">
        <f>IFERROR(__xludf.DUMMYFUNCTION("""COMPUTED_VALUE"""),"Closing")</f>
        <v>Closing</v>
      </c>
      <c r="E467" s="1" t="str">
        <f>IFERROR(__xludf.DUMMYFUNCTION("""COMPUTED_VALUE"""),"There is a 10-person limit for both indoor and outdoor gatherings, and all social gatherings are limited to members of only three households or less, including the host. Bar counter service closed, and restaurants are limited to the lesser of 150 patrons "&amp;"or 50% capacity for both indoor and outdoor dining and must close by 10 p.m., though they can still offer takeout and delivery. Religious events, weddings, and funerals may not take place between 10 p.m. and 4 a.m.")</f>
        <v>There is a 10-person limit for both indoor and outdoor gatherings, and all social gatherings are limited to members of only three households or less, including the host. Bar counter service closed, and restaurants are limited to the lesser of 150 patrons or 50% capacity for both indoor and outdoor dining and must close by 10 p.m., though they can still offer takeout and delivery. Religious events, weddings, and funerals may not take place between 10 p.m. and 4 a.m.</v>
      </c>
      <c r="F467" s="1" t="str">
        <f>IFERROR(__xludf.DUMMYFUNCTION("""COMPUTED_VALUE"""),"National Academy for State Health Policy")</f>
        <v>National Academy for State Health Policy</v>
      </c>
      <c r="G467" s="3" t="str">
        <f>IFERROR(__xludf.DUMMYFUNCTION("""COMPUTED_VALUE"""),"https://www.nashp.org/2020-state-reopening-chart/")</f>
        <v>https://www.nashp.org/2020-state-reopening-chart/</v>
      </c>
      <c r="H467" s="1"/>
      <c r="I467" s="1"/>
    </row>
    <row r="468">
      <c r="A468" s="2">
        <f>IFERROR(__xludf.DUMMYFUNCTION("""COMPUTED_VALUE"""),44162.0)</f>
        <v>44162</v>
      </c>
      <c r="B468" s="1" t="str">
        <f>IFERROR(__xludf.DUMMYFUNCTION("""COMPUTED_VALUE"""),"Minnesota")</f>
        <v>Minnesota</v>
      </c>
      <c r="C468" s="1" t="str">
        <f>IFERROR(__xludf.DUMMYFUNCTION("""COMPUTED_VALUE"""),"State Proclamations ")</f>
        <v>State Proclamations </v>
      </c>
      <c r="D468" s="1" t="str">
        <f>IFERROR(__xludf.DUMMYFUNCTION("""COMPUTED_VALUE"""),"Opening")</f>
        <v>Opening</v>
      </c>
      <c r="E468" s="1" t="str">
        <f>IFERROR(__xludf.DUMMYFUNCTION("""COMPUTED_VALUE"""),"Attendance limits at religious events, weddings, and funerals will be capped at 50.")</f>
        <v>Attendance limits at religious events, weddings, and funerals will be capped at 50.</v>
      </c>
      <c r="F468" s="1" t="str">
        <f>IFERROR(__xludf.DUMMYFUNCTION("""COMPUTED_VALUE"""),"National Academy for State Health Policy")</f>
        <v>National Academy for State Health Policy</v>
      </c>
      <c r="G468" s="3" t="str">
        <f>IFERROR(__xludf.DUMMYFUNCTION("""COMPUTED_VALUE"""),"https://www.nashp.org/2020-state-reopening-chart/")</f>
        <v>https://www.nashp.org/2020-state-reopening-chart/</v>
      </c>
      <c r="H468" s="1"/>
      <c r="I468" s="1"/>
    </row>
    <row r="469">
      <c r="A469" s="2">
        <f>IFERROR(__xludf.DUMMYFUNCTION("""COMPUTED_VALUE"""),44176.0)</f>
        <v>44176</v>
      </c>
      <c r="B469" s="1" t="str">
        <f>IFERROR(__xludf.DUMMYFUNCTION("""COMPUTED_VALUE"""),"Minnesota")</f>
        <v>Minnesota</v>
      </c>
      <c r="C469" s="1" t="str">
        <f>IFERROR(__xludf.DUMMYFUNCTION("""COMPUTED_VALUE"""),"State Proclamations ")</f>
        <v>State Proclamations </v>
      </c>
      <c r="D469" s="1" t="str">
        <f>IFERROR(__xludf.DUMMYFUNCTION("""COMPUTED_VALUE"""),"Closing")</f>
        <v>Closing</v>
      </c>
      <c r="E469" s="1" t="str">
        <f>IFERROR(__xludf.DUMMYFUNCTION("""COMPUTED_VALUE"""),"Attendance limits at religious events, weddings, and funerals will be capped at 25.")</f>
        <v>Attendance limits at religious events, weddings, and funerals will be capped at 25.</v>
      </c>
      <c r="F469" s="1" t="str">
        <f>IFERROR(__xludf.DUMMYFUNCTION("""COMPUTED_VALUE"""),"National Academy for State Health Policy")</f>
        <v>National Academy for State Health Policy</v>
      </c>
      <c r="G469" s="3" t="str">
        <f>IFERROR(__xludf.DUMMYFUNCTION("""COMPUTED_VALUE"""),"https://www.nashp.org/2020-state-reopening-chart/")</f>
        <v>https://www.nashp.org/2020-state-reopening-chart/</v>
      </c>
      <c r="H469" s="1"/>
      <c r="I469" s="1"/>
    </row>
    <row r="470">
      <c r="A470" s="2">
        <f>IFERROR(__xludf.DUMMYFUNCTION("""COMPUTED_VALUE"""),44184.0)</f>
        <v>44184</v>
      </c>
      <c r="B470" s="1" t="str">
        <f>IFERROR(__xludf.DUMMYFUNCTION("""COMPUTED_VALUE"""),"Minnesota")</f>
        <v>Minnesota</v>
      </c>
      <c r="C470" s="1" t="str">
        <f>IFERROR(__xludf.DUMMYFUNCTION("""COMPUTED_VALUE"""),"State Proclamations ")</f>
        <v>State Proclamations </v>
      </c>
      <c r="D470" s="1" t="str">
        <f>IFERROR(__xludf.DUMMYFUNCTION("""COMPUTED_VALUE"""),"Opening")</f>
        <v>Opening</v>
      </c>
      <c r="E470" s="1" t="str">
        <f>IFERROR(__xludf.DUMMYFUNCTION("""COMPUTED_VALUE"""),"Up to 10 people from two households can now gather indoors, and 15 people from three households can gather outdoors. Additionally, fitness centers can reopen at 25% capacity with a limit of 100 people, and outdoor events can resume at 25% capacity with a "&amp;"limit of 100 people.")</f>
        <v>Up to 10 people from two households can now gather indoors, and 15 people from three households can gather outdoors. Additionally, fitness centers can reopen at 25% capacity with a limit of 100 people, and outdoor events can resume at 25% capacity with a limit of 100 people.</v>
      </c>
      <c r="F470" s="1" t="str">
        <f>IFERROR(__xludf.DUMMYFUNCTION("""COMPUTED_VALUE"""),"National Academy for State Health Policy")</f>
        <v>National Academy for State Health Policy</v>
      </c>
      <c r="G470" s="3" t="str">
        <f>IFERROR(__xludf.DUMMYFUNCTION("""COMPUTED_VALUE"""),"https://www.nashp.org/2020-state-reopening-chart/")</f>
        <v>https://www.nashp.org/2020-state-reopening-chart/</v>
      </c>
      <c r="H470" s="1"/>
      <c r="I470" s="1"/>
    </row>
    <row r="471">
      <c r="A471" s="2">
        <f>IFERROR(__xludf.DUMMYFUNCTION("""COMPUTED_VALUE"""),44200.0)</f>
        <v>44200</v>
      </c>
      <c r="B471" s="1" t="str">
        <f>IFERROR(__xludf.DUMMYFUNCTION("""COMPUTED_VALUE"""),"Minnesota")</f>
        <v>Minnesota</v>
      </c>
      <c r="C471" s="1" t="str">
        <f>IFERROR(__xludf.DUMMYFUNCTION("""COMPUTED_VALUE"""),"State Proclamations ")</f>
        <v>State Proclamations </v>
      </c>
      <c r="D471" s="1" t="str">
        <f>IFERROR(__xludf.DUMMYFUNCTION("""COMPUTED_VALUE"""),"Opening")</f>
        <v>Opening</v>
      </c>
      <c r="E471" s="1" t="str">
        <f>IFERROR(__xludf.DUMMYFUNCTION("""COMPUTED_VALUE"""),"Amateur sports practices can resume, though games will still be prohibited.")</f>
        <v>Amateur sports practices can resume, though games will still be prohibited.</v>
      </c>
      <c r="F471" s="1" t="str">
        <f>IFERROR(__xludf.DUMMYFUNCTION("""COMPUTED_VALUE"""),"National Academy for State Health Policy")</f>
        <v>National Academy for State Health Policy</v>
      </c>
      <c r="G471" s="3" t="str">
        <f>IFERROR(__xludf.DUMMYFUNCTION("""COMPUTED_VALUE"""),"https://www.nashp.org/2021-covid-19-state-restrictions-re-openings-and-mask-requirements/")</f>
        <v>https://www.nashp.org/2021-covid-19-state-restrictions-re-openings-and-mask-requirements/</v>
      </c>
      <c r="H471" s="1"/>
      <c r="I471" s="1"/>
    </row>
    <row r="472">
      <c r="A472" s="2">
        <f>IFERROR(__xludf.DUMMYFUNCTION("""COMPUTED_VALUE"""),44207.0)</f>
        <v>44207</v>
      </c>
      <c r="B472" s="1" t="str">
        <f>IFERROR(__xludf.DUMMYFUNCTION("""COMPUTED_VALUE"""),"Minnesota")</f>
        <v>Minnesota</v>
      </c>
      <c r="C472" s="1" t="str">
        <f>IFERROR(__xludf.DUMMYFUNCTION("""COMPUTED_VALUE"""),"State Proclamations ")</f>
        <v>State Proclamations </v>
      </c>
      <c r="D472" s="1" t="str">
        <f>IFERROR(__xludf.DUMMYFUNCTION("""COMPUTED_VALUE"""),"Opening")</f>
        <v>Opening</v>
      </c>
      <c r="E472" s="1" t="str">
        <f>IFERROR(__xludf.DUMMYFUNCTION("""COMPUTED_VALUE"""),"Bars and restaurants can reopen to indoor dining at 50% capacity, and the maximum capacity at outdoor entertainment venues will increase to 250 (or 25% capacity, whichever is less). Indoor entertainment venues, such as bowling alleys, can reopen at 25% ca"&amp;"pacity. Indoor private parties that serve food are limited to two households, or 10 people. Outdoor events are limited to three households or 15 people.")</f>
        <v>Bars and restaurants can reopen to indoor dining at 50% capacity, and the maximum capacity at outdoor entertainment venues will increase to 250 (or 25% capacity, whichever is less). Indoor entertainment venues, such as bowling alleys, can reopen at 25% capacity. Indoor private parties that serve food are limited to two households, or 10 people. Outdoor events are limited to three households or 15 people.</v>
      </c>
      <c r="F472" s="1" t="str">
        <f>IFERROR(__xludf.DUMMYFUNCTION("""COMPUTED_VALUE"""),"National Academy for State Health Policy")</f>
        <v>National Academy for State Health Policy</v>
      </c>
      <c r="G472" s="3" t="str">
        <f>IFERROR(__xludf.DUMMYFUNCTION("""COMPUTED_VALUE"""),"https://www.nashp.org/2021-covid-19-state-restrictions-re-openings-and-mask-requirements/")</f>
        <v>https://www.nashp.org/2021-covid-19-state-restrictions-re-openings-and-mask-requirements/</v>
      </c>
      <c r="H472" s="1"/>
      <c r="I472" s="1"/>
    </row>
    <row r="473">
      <c r="A473" s="2">
        <f>IFERROR(__xludf.DUMMYFUNCTION("""COMPUTED_VALUE"""),44210.0)</f>
        <v>44210</v>
      </c>
      <c r="B473" s="1" t="str">
        <f>IFERROR(__xludf.DUMMYFUNCTION("""COMPUTED_VALUE"""),"Minnesota")</f>
        <v>Minnesota</v>
      </c>
      <c r="C473" s="1" t="str">
        <f>IFERROR(__xludf.DUMMYFUNCTION("""COMPUTED_VALUE"""),"State Proclamations ")</f>
        <v>State Proclamations </v>
      </c>
      <c r="D473" s="1" t="str">
        <f>IFERROR(__xludf.DUMMYFUNCTION("""COMPUTED_VALUE"""),"Opening")</f>
        <v>Opening</v>
      </c>
      <c r="E473" s="1" t="str">
        <f>IFERROR(__xludf.DUMMYFUNCTION("""COMPUTED_VALUE"""),"Youth sports games can resume with spectators if social distancing is enforced.")</f>
        <v>Youth sports games can resume with spectators if social distancing is enforced.</v>
      </c>
      <c r="F473" s="1" t="str">
        <f>IFERROR(__xludf.DUMMYFUNCTION("""COMPUTED_VALUE"""),"National Academy for State Health Policy")</f>
        <v>National Academy for State Health Policy</v>
      </c>
      <c r="G473" s="3" t="str">
        <f>IFERROR(__xludf.DUMMYFUNCTION("""COMPUTED_VALUE"""),"https://www.nashp.org/2021-covid-19-state-restrictions-re-openings-and-mask-requirements/")</f>
        <v>https://www.nashp.org/2021-covid-19-state-restrictions-re-openings-and-mask-requirements/</v>
      </c>
      <c r="H473" s="1"/>
      <c r="I473" s="1"/>
    </row>
    <row r="474">
      <c r="A474" s="2">
        <f>IFERROR(__xludf.DUMMYFUNCTION("""COMPUTED_VALUE"""),44240.0)</f>
        <v>44240</v>
      </c>
      <c r="B474" s="1" t="str">
        <f>IFERROR(__xludf.DUMMYFUNCTION("""COMPUTED_VALUE"""),"Minnesota")</f>
        <v>Minnesota</v>
      </c>
      <c r="C474" s="1" t="str">
        <f>IFERROR(__xludf.DUMMYFUNCTION("""COMPUTED_VALUE"""),"State Proclamations ")</f>
        <v>State Proclamations </v>
      </c>
      <c r="D474" s="1" t="str">
        <f>IFERROR(__xludf.DUMMYFUNCTION("""COMPUTED_VALUE"""),"Opening")</f>
        <v>Opening</v>
      </c>
      <c r="E474" s="1" t="str">
        <f>IFERROR(__xludf.DUMMYFUNCTION("""COMPUTED_VALUE"""),"An executive order takes effect relaxing capacity restrictions on restaurants, gyms, and private gatherings. The new order permits restaurants to serve up to 250 people or 50% capacity, whichever is fewer, while indoor entertainment venues and gyms can se"&amp;"rve up to 250 people or 25% capacity.")</f>
        <v>An executive order takes effect relaxing capacity restrictions on restaurants, gyms, and private gatherings. The new order permits restaurants to serve up to 250 people or 50% capacity, whichever is fewer, while indoor entertainment venues and gyms can serve up to 250 people or 25% capacity.</v>
      </c>
      <c r="F474" s="1" t="str">
        <f>IFERROR(__xludf.DUMMYFUNCTION("""COMPUTED_VALUE"""),"National Academy for State Health Policy")</f>
        <v>National Academy for State Health Policy</v>
      </c>
      <c r="G474" s="3" t="str">
        <f>IFERROR(__xludf.DUMMYFUNCTION("""COMPUTED_VALUE"""),"https://www.nashp.org/2021-covid-19-state-restrictions-re-openings-and-mask-requirements/")</f>
        <v>https://www.nashp.org/2021-covid-19-state-restrictions-re-openings-and-mask-requirements/</v>
      </c>
      <c r="H474" s="1"/>
      <c r="I474" s="1"/>
    </row>
    <row r="475">
      <c r="A475" s="2">
        <f>IFERROR(__xludf.DUMMYFUNCTION("""COMPUTED_VALUE"""),44244.0)</f>
        <v>44244</v>
      </c>
      <c r="B475" s="1" t="str">
        <f>IFERROR(__xludf.DUMMYFUNCTION("""COMPUTED_VALUE"""),"Minnesota")</f>
        <v>Minnesota</v>
      </c>
      <c r="C475" s="1" t="str">
        <f>IFERROR(__xludf.DUMMYFUNCTION("""COMPUTED_VALUE"""),"State Proclamations ")</f>
        <v>State Proclamations </v>
      </c>
      <c r="D475" s="1" t="str">
        <f>IFERROR(__xludf.DUMMYFUNCTION("""COMPUTED_VALUE"""),"Opening")</f>
        <v>Opening</v>
      </c>
      <c r="E475" s="1" t="str">
        <f>IFERROR(__xludf.DUMMYFUNCTION("""COMPUTED_VALUE"""),"The governor released a plan to return students to in-person instruction. Under the plan, families can still opt to keep their children home for remote instruction.")</f>
        <v>The governor released a plan to return students to in-person instruction. Under the plan, families can still opt to keep their children home for remote instruction.</v>
      </c>
      <c r="F475" s="1" t="str">
        <f>IFERROR(__xludf.DUMMYFUNCTION("""COMPUTED_VALUE"""),"National Academy for State Health Policy")</f>
        <v>National Academy for State Health Policy</v>
      </c>
      <c r="G475" s="3" t="str">
        <f>IFERROR(__xludf.DUMMYFUNCTION("""COMPUTED_VALUE"""),"https://www.nashp.org/2021-covid-19-state-restrictions-re-openings-and-mask-requirements/")</f>
        <v>https://www.nashp.org/2021-covid-19-state-restrictions-re-openings-and-mask-requirements/</v>
      </c>
      <c r="H475" s="1"/>
      <c r="I475" s="1"/>
    </row>
    <row r="476">
      <c r="A476" s="2">
        <f>IFERROR(__xludf.DUMMYFUNCTION("""COMPUTED_VALUE"""),44245.0)</f>
        <v>44245</v>
      </c>
      <c r="B476" s="1" t="str">
        <f>IFERROR(__xludf.DUMMYFUNCTION("""COMPUTED_VALUE"""),"Minnesota")</f>
        <v>Minnesota</v>
      </c>
      <c r="C476" s="1" t="str">
        <f>IFERROR(__xludf.DUMMYFUNCTION("""COMPUTED_VALUE"""),"State Proclamations ")</f>
        <v>State Proclamations </v>
      </c>
      <c r="D476" s="1" t="str">
        <f>IFERROR(__xludf.DUMMYFUNCTION("""COMPUTED_VALUE"""),"Opening")</f>
        <v>Opening</v>
      </c>
      <c r="E476" s="1" t="str">
        <f>IFERROR(__xludf.DUMMYFUNCTION("""COMPUTED_VALUE"""),"The state Senate passed a bill that would limit the governor's peacetime emergency authority over school reopening decisions. The law would leave it up to local school boards to decide how and when to reopen. The bill next goes to the state House for cons"&amp;"ideration.")</f>
        <v>The state Senate passed a bill that would limit the governor's peacetime emergency authority over school reopening decisions. The law would leave it up to local school boards to decide how and when to reopen. The bill next goes to the state House for consideration.</v>
      </c>
      <c r="F476" s="1" t="str">
        <f>IFERROR(__xludf.DUMMYFUNCTION("""COMPUTED_VALUE"""),"National Academy for State Health Policy")</f>
        <v>National Academy for State Health Policy</v>
      </c>
      <c r="G476" s="3" t="str">
        <f>IFERROR(__xludf.DUMMYFUNCTION("""COMPUTED_VALUE"""),"https://www.nashp.org/2021-covid-19-state-restrictions-re-openings-and-mask-requirements/")</f>
        <v>https://www.nashp.org/2021-covid-19-state-restrictions-re-openings-and-mask-requirements/</v>
      </c>
      <c r="H476" s="1"/>
      <c r="I476" s="1"/>
    </row>
    <row r="477">
      <c r="A477" s="2">
        <f>IFERROR(__xludf.DUMMYFUNCTION("""COMPUTED_VALUE"""),44249.0)</f>
        <v>44249</v>
      </c>
      <c r="B477" s="1" t="str">
        <f>IFERROR(__xludf.DUMMYFUNCTION("""COMPUTED_VALUE"""),"Minnesota")</f>
        <v>Minnesota</v>
      </c>
      <c r="C477" s="1" t="str">
        <f>IFERROR(__xludf.DUMMYFUNCTION("""COMPUTED_VALUE"""),"State Proclamations ")</f>
        <v>State Proclamations </v>
      </c>
      <c r="D477" s="1" t="str">
        <f>IFERROR(__xludf.DUMMYFUNCTION("""COMPUTED_VALUE"""),"Opening")</f>
        <v>Opening</v>
      </c>
      <c r="E477" s="1" t="str">
        <f>IFERROR(__xludf.DUMMYFUNCTION("""COMPUTED_VALUE"""),"All middle and high school students can return to the classroom for either full-time instruction or a hybrid approach that combines remote learning with in-person instruction.")</f>
        <v>All middle and high school students can return to the classroom for either full-time instruction or a hybrid approach that combines remote learning with in-person instruction.</v>
      </c>
      <c r="F477" s="1" t="str">
        <f>IFERROR(__xludf.DUMMYFUNCTION("""COMPUTED_VALUE"""),"National Academy for State Health Policy")</f>
        <v>National Academy for State Health Policy</v>
      </c>
      <c r="G477" s="3" t="str">
        <f>IFERROR(__xludf.DUMMYFUNCTION("""COMPUTED_VALUE"""),"https://www.nashp.org/2021-covid-19-state-restrictions-re-openings-and-mask-requirements/")</f>
        <v>https://www.nashp.org/2021-covid-19-state-restrictions-re-openings-and-mask-requirements/</v>
      </c>
      <c r="H477" s="1"/>
      <c r="I477" s="1"/>
    </row>
    <row r="478">
      <c r="A478" s="2">
        <f>IFERROR(__xludf.DUMMYFUNCTION("""COMPUTED_VALUE"""),44270.0)</f>
        <v>44270</v>
      </c>
      <c r="B478" s="1" t="str">
        <f>IFERROR(__xludf.DUMMYFUNCTION("""COMPUTED_VALUE"""),"Minnesota")</f>
        <v>Minnesota</v>
      </c>
      <c r="C478" s="1" t="str">
        <f>IFERROR(__xludf.DUMMYFUNCTION("""COMPUTED_VALUE"""),"State Proclamations ")</f>
        <v>State Proclamations </v>
      </c>
      <c r="D478" s="1" t="str">
        <f>IFERROR(__xludf.DUMMYFUNCTION("""COMPUTED_VALUE"""),"Opening")</f>
        <v>Opening</v>
      </c>
      <c r="E478" s="1" t="str">
        <f>IFERROR(__xludf.DUMMYFUNCTION("""COMPUTED_VALUE"""),"Bars and restaurants can expand operations from 50% to 75% of indoor capacity, indoor social gatherings can expand from 10 people from two households to up to 15 people with no household limit, and outdoor gatherings can expand from 15 people from three h"&amp;"ouseholds to 50 people with no household limit.")</f>
        <v>Bars and restaurants can expand operations from 50% to 75% of indoor capacity, indoor social gatherings can expand from 10 people from two households to up to 15 people with no household limit, and outdoor gatherings can expand from 15 people from three households to 50 people with no household limit.</v>
      </c>
      <c r="F478" s="1" t="str">
        <f>IFERROR(__xludf.DUMMYFUNCTION("""COMPUTED_VALUE"""),"National Academy for State Health Policy")</f>
        <v>National Academy for State Health Policy</v>
      </c>
      <c r="G478" s="3" t="str">
        <f>IFERROR(__xludf.DUMMYFUNCTION("""COMPUTED_VALUE"""),"https://www.nashp.org/2021-covid-19-state-restrictions-re-openings-and-mask-requirements/")</f>
        <v>https://www.nashp.org/2021-covid-19-state-restrictions-re-openings-and-mask-requirements/</v>
      </c>
      <c r="H478" s="1"/>
      <c r="I478" s="1"/>
    </row>
    <row r="479">
      <c r="A479" s="2">
        <f>IFERROR(__xludf.DUMMYFUNCTION("""COMPUTED_VALUE"""),44287.0)</f>
        <v>44287</v>
      </c>
      <c r="B479" s="1" t="str">
        <f>IFERROR(__xludf.DUMMYFUNCTION("""COMPUTED_VALUE"""),"Minnesota")</f>
        <v>Minnesota</v>
      </c>
      <c r="C479" s="1" t="str">
        <f>IFERROR(__xludf.DUMMYFUNCTION("""COMPUTED_VALUE"""),"State Proclamations ")</f>
        <v>State Proclamations </v>
      </c>
      <c r="D479" s="1" t="str">
        <f>IFERROR(__xludf.DUMMYFUNCTION("""COMPUTED_VALUE"""),"Opening")</f>
        <v>Opening</v>
      </c>
      <c r="E479" s="1" t="str">
        <f>IFERROR(__xludf.DUMMYFUNCTION("""COMPUTED_VALUE"""),"Seated indoor events of up to 3,000 people and unseated events of up to 1,500 people will be allowed.")</f>
        <v>Seated indoor events of up to 3,000 people and unseated events of up to 1,500 people will be allowed.</v>
      </c>
      <c r="F479" s="1" t="str">
        <f>IFERROR(__xludf.DUMMYFUNCTION("""COMPUTED_VALUE"""),"National Academy for State Health Policy")</f>
        <v>National Academy for State Health Policy</v>
      </c>
      <c r="G479" s="3" t="str">
        <f>IFERROR(__xludf.DUMMYFUNCTION("""COMPUTED_VALUE"""),"https://www.nashp.org/2021-covid-19-state-restrictions-re-openings-and-mask-requirements/")</f>
        <v>https://www.nashp.org/2021-covid-19-state-restrictions-re-openings-and-mask-requirements/</v>
      </c>
      <c r="H479" s="1"/>
      <c r="I479" s="1"/>
    </row>
    <row r="480">
      <c r="A480" s="2">
        <f>IFERROR(__xludf.DUMMYFUNCTION("""COMPUTED_VALUE"""),44323.0)</f>
        <v>44323</v>
      </c>
      <c r="B480" s="1" t="str">
        <f>IFERROR(__xludf.DUMMYFUNCTION("""COMPUTED_VALUE"""),"Minnesota")</f>
        <v>Minnesota</v>
      </c>
      <c r="C480" s="1" t="str">
        <f>IFERROR(__xludf.DUMMYFUNCTION("""COMPUTED_VALUE"""),"State Proclamations ")</f>
        <v>State Proclamations </v>
      </c>
      <c r="D480" s="1" t="str">
        <f>IFERROR(__xludf.DUMMYFUNCTION("""COMPUTED_VALUE"""),"Opening")</f>
        <v>Opening</v>
      </c>
      <c r="E480" s="1" t="str">
        <f>IFERROR(__xludf.DUMMYFUNCTION("""COMPUTED_VALUE"""),"Mandatory curfews on bars and restaurants ended, and outdoor gatherings can have up to 500 people.")</f>
        <v>Mandatory curfews on bars and restaurants ended, and outdoor gatherings can have up to 500 people.</v>
      </c>
      <c r="F480" s="1" t="str">
        <f>IFERROR(__xludf.DUMMYFUNCTION("""COMPUTED_VALUE"""),"National Academy for State Health Policy")</f>
        <v>National Academy for State Health Policy</v>
      </c>
      <c r="G480" s="3" t="str">
        <f>IFERROR(__xludf.DUMMYFUNCTION("""COMPUTED_VALUE"""),"https://www.nashp.org/2021-covid-19-state-restrictions-re-openings-and-mask-requirements/")</f>
        <v>https://www.nashp.org/2021-covid-19-state-restrictions-re-openings-and-mask-requirements/</v>
      </c>
      <c r="H480" s="1"/>
      <c r="I480" s="1"/>
    </row>
    <row r="481">
      <c r="A481" s="2">
        <f>IFERROR(__xludf.DUMMYFUNCTION("""COMPUTED_VALUE"""),44330.0)</f>
        <v>44330</v>
      </c>
      <c r="B481" s="1" t="str">
        <f>IFERROR(__xludf.DUMMYFUNCTION("""COMPUTED_VALUE"""),"Minnesota")</f>
        <v>Minnesota</v>
      </c>
      <c r="C481" s="1" t="str">
        <f>IFERROR(__xludf.DUMMYFUNCTION("""COMPUTED_VALUE"""),"Mask Mandate")</f>
        <v>Mask Mandate</v>
      </c>
      <c r="D481" s="1" t="str">
        <f>IFERROR(__xludf.DUMMYFUNCTION("""COMPUTED_VALUE"""),"End")</f>
        <v>End</v>
      </c>
      <c r="E481" s="1" t="str">
        <f>IFERROR(__xludf.DUMMYFUNCTION("""COMPUTED_VALUE"""),"On May 14, the governor lifted the mask mandate")</f>
        <v>On May 14, the governor lifted the mask mandate</v>
      </c>
      <c r="F481" s="1" t="str">
        <f>IFERROR(__xludf.DUMMYFUNCTION("""COMPUTED_VALUE"""),"National Academy for State Health Policy")</f>
        <v>National Academy for State Health Policy</v>
      </c>
      <c r="G481" s="3" t="str">
        <f>IFERROR(__xludf.DUMMYFUNCTION("""COMPUTED_VALUE"""),"https://www.nashp.org/2021-covid-19-state-restrictions-re-openings-and-mask-requirements/")</f>
        <v>https://www.nashp.org/2021-covid-19-state-restrictions-re-openings-and-mask-requirements/</v>
      </c>
      <c r="H481" s="1"/>
      <c r="I481" s="1"/>
    </row>
    <row r="482">
      <c r="A482" s="2">
        <f>IFERROR(__xludf.DUMMYFUNCTION("""COMPUTED_VALUE"""),44344.0)</f>
        <v>44344</v>
      </c>
      <c r="B482" s="1" t="str">
        <f>IFERROR(__xludf.DUMMYFUNCTION("""COMPUTED_VALUE"""),"Minnesota")</f>
        <v>Minnesota</v>
      </c>
      <c r="C482" s="1" t="str">
        <f>IFERROR(__xludf.DUMMYFUNCTION("""COMPUTED_VALUE"""),"State Proclamations ")</f>
        <v>State Proclamations </v>
      </c>
      <c r="D482" s="1" t="str">
        <f>IFERROR(__xludf.DUMMYFUNCTION("""COMPUTED_VALUE"""),"Opening")</f>
        <v>Opening</v>
      </c>
      <c r="E482" s="1" t="str">
        <f>IFERROR(__xludf.DUMMYFUNCTION("""COMPUTED_VALUE"""),"Indoor and outdoor gathering limits will end.")</f>
        <v>Indoor and outdoor gathering limits will end.</v>
      </c>
      <c r="F482" s="1" t="str">
        <f>IFERROR(__xludf.DUMMYFUNCTION("""COMPUTED_VALUE"""),"National Academy for State Health Policy")</f>
        <v>National Academy for State Health Policy</v>
      </c>
      <c r="G482" s="3" t="str">
        <f>IFERROR(__xludf.DUMMYFUNCTION("""COMPUTED_VALUE"""),"https://www.nashp.org/2021-covid-19-state-restrictions-re-openings-and-mask-requirements/")</f>
        <v>https://www.nashp.org/2021-covid-19-state-restrictions-re-openings-and-mask-requirements/</v>
      </c>
      <c r="H482" s="1"/>
      <c r="I482" s="1"/>
    </row>
    <row r="483">
      <c r="A483" s="2">
        <f>IFERROR(__xludf.DUMMYFUNCTION("""COMPUTED_VALUE"""),44378.0)</f>
        <v>44378</v>
      </c>
      <c r="B483" s="1" t="str">
        <f>IFERROR(__xludf.DUMMYFUNCTION("""COMPUTED_VALUE"""),"Minnesota")</f>
        <v>Minnesota</v>
      </c>
      <c r="C483" s="1" t="str">
        <f>IFERROR(__xludf.DUMMYFUNCTION("""COMPUTED_VALUE"""),"State of Emergency")</f>
        <v>State of Emergency</v>
      </c>
      <c r="D483" s="1" t="str">
        <f>IFERROR(__xludf.DUMMYFUNCTION("""COMPUTED_VALUE"""),"End")</f>
        <v>End</v>
      </c>
      <c r="E483" s="1" t="str">
        <f>IFERROR(__xludf.DUMMYFUNCTION("""COMPUTED_VALUE"""),"State of Emergency ended July 1, 2021")</f>
        <v>State of Emergency ended July 1, 2021</v>
      </c>
      <c r="F483" s="1" t="str">
        <f>IFERROR(__xludf.DUMMYFUNCTION("""COMPUTED_VALUE"""),"National Academy for State Health Policy")</f>
        <v>National Academy for State Health Policy</v>
      </c>
      <c r="G483" s="3" t="str">
        <f>IFERROR(__xludf.DUMMYFUNCTION("""COMPUTED_VALUE"""),"https://www.nashp.org/2021-covid-19-state-restrictions-re-openings-and-mask-requirements/")</f>
        <v>https://www.nashp.org/2021-covid-19-state-restrictions-re-openings-and-mask-requirements/</v>
      </c>
      <c r="H483" s="1"/>
      <c r="I483" s="1"/>
    </row>
    <row r="484">
      <c r="A484" s="2">
        <f>IFERROR(__xludf.DUMMYFUNCTION("""COMPUTED_VALUE"""),43904.0)</f>
        <v>43904</v>
      </c>
      <c r="B484" s="1" t="str">
        <f>IFERROR(__xludf.DUMMYFUNCTION("""COMPUTED_VALUE"""),"Mississippi")</f>
        <v>Mississippi</v>
      </c>
      <c r="C484" s="1" t="str">
        <f>IFERROR(__xludf.DUMMYFUNCTION("""COMPUTED_VALUE"""),"State of Emergency")</f>
        <v>State of Emergency</v>
      </c>
      <c r="D484" s="1" t="str">
        <f>IFERROR(__xludf.DUMMYFUNCTION("""COMPUTED_VALUE"""),"Start")</f>
        <v>Start</v>
      </c>
      <c r="E484" s="1" t="str">
        <f>IFERROR(__xludf.DUMMYFUNCTION("""COMPUTED_VALUE"""),"Gov. Tate Reeves issued a state of emergency on March 14.")</f>
        <v>Gov. Tate Reeves issued a state of emergency on March 14.</v>
      </c>
      <c r="F484" s="1" t="str">
        <f>IFERROR(__xludf.DUMMYFUNCTION("""COMPUTED_VALUE"""),"Business Insider")</f>
        <v>Business Insider</v>
      </c>
      <c r="G484" s="3" t="str">
        <f>IFERROR(__xludf.DUMMYFUNCTION("""COMPUTED_VALUE"""),"https://www.businessinsider.com/california-washington-state-of-emergency-coronavirus-what-it-means-2020-3#mississippi-42")</f>
        <v>https://www.businessinsider.com/california-washington-state-of-emergency-coronavirus-what-it-means-2020-3#mississippi-42</v>
      </c>
      <c r="H484" s="1"/>
      <c r="I484" s="1"/>
    </row>
    <row r="485">
      <c r="A485" s="2">
        <f>IFERROR(__xludf.DUMMYFUNCTION("""COMPUTED_VALUE"""),43921.0)</f>
        <v>43921</v>
      </c>
      <c r="B485" s="1" t="str">
        <f>IFERROR(__xludf.DUMMYFUNCTION("""COMPUTED_VALUE"""),"Mississippi")</f>
        <v>Mississippi</v>
      </c>
      <c r="C485" s="1" t="str">
        <f>IFERROR(__xludf.DUMMYFUNCTION("""COMPUTED_VALUE"""),"Stay-at-Home Order")</f>
        <v>Stay-at-Home Order</v>
      </c>
      <c r="D485" s="1" t="str">
        <f>IFERROR(__xludf.DUMMYFUNCTION("""COMPUTED_VALUE"""),"Start")</f>
        <v>Start</v>
      </c>
      <c r="E485" s="1" t="str">
        <f>IFERROR(__xludf.DUMMYFUNCTION("""COMPUTED_VALUE"""),"Original stay-at-home order begins")</f>
        <v>Original stay-at-home order begins</v>
      </c>
      <c r="F485" s="1" t="str">
        <f>IFERROR(__xludf.DUMMYFUNCTION("""COMPUTED_VALUE"""),"National Academy for State Health Policy")</f>
        <v>National Academy for State Health Policy</v>
      </c>
      <c r="G485" s="3" t="str">
        <f>IFERROR(__xludf.DUMMYFUNCTION("""COMPUTED_VALUE"""),"https://www.nashp.org/2020-state-reopening-chart/")</f>
        <v>https://www.nashp.org/2020-state-reopening-chart/</v>
      </c>
      <c r="H485" s="1"/>
      <c r="I485" s="1"/>
    </row>
    <row r="486">
      <c r="A486" s="2">
        <f>IFERROR(__xludf.DUMMYFUNCTION("""COMPUTED_VALUE"""),43948.0)</f>
        <v>43948</v>
      </c>
      <c r="B486" s="1" t="str">
        <f>IFERROR(__xludf.DUMMYFUNCTION("""COMPUTED_VALUE"""),"Mississippi")</f>
        <v>Mississippi</v>
      </c>
      <c r="C486" s="1" t="str">
        <f>IFERROR(__xludf.DUMMYFUNCTION("""COMPUTED_VALUE"""),"State Proclamations ")</f>
        <v>State Proclamations </v>
      </c>
      <c r="D486" s="1" t="str">
        <f>IFERROR(__xludf.DUMMYFUNCTION("""COMPUTED_VALUE"""),"Opening")</f>
        <v>Opening</v>
      </c>
      <c r="E486" s="1" t="str">
        <f>IFERROR(__xludf.DUMMYFUNCTION("""COMPUTED_VALUE"""),"Mississippi has reopened retail stores, restaurant dining, bars, personal care services, houses of worship, casinos, movie theaters, libraries, museums, and gyms. Nonessential medical procedures resumed April 27.")</f>
        <v>Mississippi has reopened retail stores, restaurant dining, bars, personal care services, houses of worship, casinos, movie theaters, libraries, museums, and gyms. Nonessential medical procedures resumed April 27.</v>
      </c>
      <c r="F486" s="1" t="str">
        <f>IFERROR(__xludf.DUMMYFUNCTION("""COMPUTED_VALUE"""),"National Academy for State Health Policy")</f>
        <v>National Academy for State Health Policy</v>
      </c>
      <c r="G486" s="3" t="str">
        <f>IFERROR(__xludf.DUMMYFUNCTION("""COMPUTED_VALUE"""),"https://www.nashp.org/2020-state-reopening-chart/")</f>
        <v>https://www.nashp.org/2020-state-reopening-chart/</v>
      </c>
      <c r="H486" s="1"/>
      <c r="I486" s="1"/>
    </row>
    <row r="487">
      <c r="A487" s="2">
        <f>IFERROR(__xludf.DUMMYFUNCTION("""COMPUTED_VALUE"""),43962.0)</f>
        <v>43962</v>
      </c>
      <c r="B487" s="1" t="str">
        <f>IFERROR(__xludf.DUMMYFUNCTION("""COMPUTED_VALUE"""),"Mississippi")</f>
        <v>Mississippi</v>
      </c>
      <c r="C487" s="1" t="str">
        <f>IFERROR(__xludf.DUMMYFUNCTION("""COMPUTED_VALUE"""),"Stay-at-Home Order")</f>
        <v>Stay-at-Home Order</v>
      </c>
      <c r="D487" s="1" t="str">
        <f>IFERROR(__xludf.DUMMYFUNCTION("""COMPUTED_VALUE"""),"End")</f>
        <v>End</v>
      </c>
      <c r="E487" s="1" t="str">
        <f>IFERROR(__xludf.DUMMYFUNCTION("""COMPUTED_VALUE"""),"Original stay-at-home order ends")</f>
        <v>Original stay-at-home order ends</v>
      </c>
      <c r="F487" s="1" t="str">
        <f>IFERROR(__xludf.DUMMYFUNCTION("""COMPUTED_VALUE"""),"National Academy for State Health Policy")</f>
        <v>National Academy for State Health Policy</v>
      </c>
      <c r="G487" s="3" t="str">
        <f>IFERROR(__xludf.DUMMYFUNCTION("""COMPUTED_VALUE"""),"https://www.nashp.org/2020-state-reopening-chart/")</f>
        <v>https://www.nashp.org/2020-state-reopening-chart/</v>
      </c>
      <c r="H487" s="1"/>
      <c r="I487" s="1"/>
    </row>
    <row r="488">
      <c r="A488" s="2">
        <f>IFERROR(__xludf.DUMMYFUNCTION("""COMPUTED_VALUE"""),43983.0)</f>
        <v>43983</v>
      </c>
      <c r="B488" s="1" t="str">
        <f>IFERROR(__xludf.DUMMYFUNCTION("""COMPUTED_VALUE"""),"Mississippi")</f>
        <v>Mississippi</v>
      </c>
      <c r="C488" s="1" t="str">
        <f>IFERROR(__xludf.DUMMYFUNCTION("""COMPUTED_VALUE"""),"State Proclamations ")</f>
        <v>State Proclamations </v>
      </c>
      <c r="D488" s="1" t="str">
        <f>IFERROR(__xludf.DUMMYFUNCTION("""COMPUTED_VALUE"""),"Opening")</f>
        <v>Opening</v>
      </c>
      <c r="E488" s="1" t="str">
        <f>IFERROR(__xludf.DUMMYFUNCTION("""COMPUTED_VALUE"""),"All businesses could reopen.")</f>
        <v>All businesses could reopen.</v>
      </c>
      <c r="F488" s="1" t="str">
        <f>IFERROR(__xludf.DUMMYFUNCTION("""COMPUTED_VALUE"""),"National Academy for State Health Policy")</f>
        <v>National Academy for State Health Policy</v>
      </c>
      <c r="G488" s="3" t="str">
        <f>IFERROR(__xludf.DUMMYFUNCTION("""COMPUTED_VALUE"""),"https://www.nashp.org/2020-state-reopening-chart/")</f>
        <v>https://www.nashp.org/2020-state-reopening-chart/</v>
      </c>
      <c r="H488" s="1"/>
      <c r="I488" s="1"/>
    </row>
    <row r="489">
      <c r="A489" s="2">
        <f>IFERROR(__xludf.DUMMYFUNCTION("""COMPUTED_VALUE"""),44013.0)</f>
        <v>44013</v>
      </c>
      <c r="B489" s="1" t="str">
        <f>IFERROR(__xludf.DUMMYFUNCTION("""COMPUTED_VALUE"""),"Mississippi")</f>
        <v>Mississippi</v>
      </c>
      <c r="C489" s="1" t="str">
        <f>IFERROR(__xludf.DUMMYFUNCTION("""COMPUTED_VALUE"""),"State Proclamations ")</f>
        <v>State Proclamations </v>
      </c>
      <c r="D489" s="1" t="str">
        <f>IFERROR(__xludf.DUMMYFUNCTION("""COMPUTED_VALUE"""),"Opening")</f>
        <v>Opening</v>
      </c>
      <c r="E489" s="1" t="str">
        <f>IFERROR(__xludf.DUMMYFUNCTION("""COMPUTED_VALUE"""),"Due to an increase in infections, the governor announced a pause on a full reopening.")</f>
        <v>Due to an increase in infections, the governor announced a pause on a full reopening.</v>
      </c>
      <c r="F489" s="1" t="str">
        <f>IFERROR(__xludf.DUMMYFUNCTION("""COMPUTED_VALUE"""),"National Academy for State Health Policy")</f>
        <v>National Academy for State Health Policy</v>
      </c>
      <c r="G489" s="3" t="str">
        <f>IFERROR(__xludf.DUMMYFUNCTION("""COMPUTED_VALUE"""),"https://www.nashp.org/2020-state-reopening-chart/")</f>
        <v>https://www.nashp.org/2020-state-reopening-chart/</v>
      </c>
      <c r="H489" s="1"/>
      <c r="I489" s="1"/>
    </row>
    <row r="490">
      <c r="A490" s="2">
        <f>IFERROR(__xludf.DUMMYFUNCTION("""COMPUTED_VALUE"""),44025.0)</f>
        <v>44025</v>
      </c>
      <c r="B490" s="1" t="str">
        <f>IFERROR(__xludf.DUMMYFUNCTION("""COMPUTED_VALUE"""),"Mississippi")</f>
        <v>Mississippi</v>
      </c>
      <c r="C490" s="1" t="str">
        <f>IFERROR(__xludf.DUMMYFUNCTION("""COMPUTED_VALUE"""),"State Proclamations ")</f>
        <v>State Proclamations </v>
      </c>
      <c r="D490" s="1" t="str">
        <f>IFERROR(__xludf.DUMMYFUNCTION("""COMPUTED_VALUE"""),"Closing")</f>
        <v>Closing</v>
      </c>
      <c r="E490" s="1" t="str">
        <f>IFERROR(__xludf.DUMMYFUNCTION("""COMPUTED_VALUE"""),"In 13 counties, indoor gatherings are limited to 10 people and outdoor gatherings are limited to 20 people.")</f>
        <v>In 13 counties, indoor gatherings are limited to 10 people and outdoor gatherings are limited to 20 people.</v>
      </c>
      <c r="F490" s="1" t="str">
        <f>IFERROR(__xludf.DUMMYFUNCTION("""COMPUTED_VALUE"""),"National Academy for State Health Policy")</f>
        <v>National Academy for State Health Policy</v>
      </c>
      <c r="G490" s="3" t="str">
        <f>IFERROR(__xludf.DUMMYFUNCTION("""COMPUTED_VALUE"""),"https://www.nashp.org/2020-state-reopening-chart/")</f>
        <v>https://www.nashp.org/2020-state-reopening-chart/</v>
      </c>
      <c r="H490" s="1"/>
      <c r="I490" s="1"/>
    </row>
    <row r="491">
      <c r="A491" s="2">
        <f>IFERROR(__xludf.DUMMYFUNCTION("""COMPUTED_VALUE"""),44047.0)</f>
        <v>44047</v>
      </c>
      <c r="B491" s="1" t="str">
        <f>IFERROR(__xludf.DUMMYFUNCTION("""COMPUTED_VALUE"""),"Mississippi")</f>
        <v>Mississippi</v>
      </c>
      <c r="C491" s="1" t="str">
        <f>IFERROR(__xludf.DUMMYFUNCTION("""COMPUTED_VALUE"""),"State Proclamations ")</f>
        <v>State Proclamations </v>
      </c>
      <c r="D491" s="1" t="str">
        <f>IFERROR(__xludf.DUMMYFUNCTION("""COMPUTED_VALUE"""),"Closing")</f>
        <v>Closing</v>
      </c>
      <c r="E491" s="1" t="str">
        <f>IFERROR(__xludf.DUMMYFUNCTION("""COMPUTED_VALUE"""),"The governor delayed in-person learning for students in 7-12th grade in hot spots.")</f>
        <v>The governor delayed in-person learning for students in 7-12th grade in hot spots.</v>
      </c>
      <c r="F491" s="1" t="str">
        <f>IFERROR(__xludf.DUMMYFUNCTION("""COMPUTED_VALUE"""),"National Academy for State Health Policy")</f>
        <v>National Academy for State Health Policy</v>
      </c>
      <c r="G491" s="3" t="str">
        <f>IFERROR(__xludf.DUMMYFUNCTION("""COMPUTED_VALUE"""),"https://www.nashp.org/2020-state-reopening-chart/")</f>
        <v>https://www.nashp.org/2020-state-reopening-chart/</v>
      </c>
      <c r="H491" s="1"/>
      <c r="I491" s="1"/>
    </row>
    <row r="492">
      <c r="A492" s="2">
        <f>IFERROR(__xludf.DUMMYFUNCTION("""COMPUTED_VALUE"""),44089.0)</f>
        <v>44089</v>
      </c>
      <c r="B492" s="1" t="str">
        <f>IFERROR(__xludf.DUMMYFUNCTION("""COMPUTED_VALUE"""),"Mississippi")</f>
        <v>Mississippi</v>
      </c>
      <c r="C492" s="1" t="str">
        <f>IFERROR(__xludf.DUMMYFUNCTION("""COMPUTED_VALUE"""),"State Proclamations ")</f>
        <v>State Proclamations </v>
      </c>
      <c r="D492" s="1" t="str">
        <f>IFERROR(__xludf.DUMMYFUNCTION("""COMPUTED_VALUE"""),"Opening")</f>
        <v>Opening</v>
      </c>
      <c r="E492" s="1" t="str">
        <f>IFERROR(__xludf.DUMMYFUNCTION("""COMPUTED_VALUE"""),"Restaurants could increase capacity to from 50% to 75%, and parties could increase from six to 10 people.")</f>
        <v>Restaurants could increase capacity to from 50% to 75%, and parties could increase from six to 10 people.</v>
      </c>
      <c r="F492" s="1" t="str">
        <f>IFERROR(__xludf.DUMMYFUNCTION("""COMPUTED_VALUE"""),"National Academy for State Health Policy")</f>
        <v>National Academy for State Health Policy</v>
      </c>
      <c r="G492" s="3" t="str">
        <f>IFERROR(__xludf.DUMMYFUNCTION("""COMPUTED_VALUE"""),"https://www.nashp.org/2020-state-reopening-chart/")</f>
        <v>https://www.nashp.org/2020-state-reopening-chart/</v>
      </c>
      <c r="H492" s="1"/>
      <c r="I492" s="1"/>
    </row>
    <row r="493">
      <c r="A493" s="2">
        <f>IFERROR(__xludf.DUMMYFUNCTION("""COMPUTED_VALUE"""),44091.0)</f>
        <v>44091</v>
      </c>
      <c r="B493" s="1" t="str">
        <f>IFERROR(__xludf.DUMMYFUNCTION("""COMPUTED_VALUE"""),"Mississippi")</f>
        <v>Mississippi</v>
      </c>
      <c r="C493" s="1" t="str">
        <f>IFERROR(__xludf.DUMMYFUNCTION("""COMPUTED_VALUE"""),"State Proclamations ")</f>
        <v>State Proclamations </v>
      </c>
      <c r="D493" s="1" t="str">
        <f>IFERROR(__xludf.DUMMYFUNCTION("""COMPUTED_VALUE"""),"Opening")</f>
        <v>Opening</v>
      </c>
      <c r="E493" s="1" t="str">
        <f>IFERROR(__xludf.DUMMYFUNCTION("""COMPUTED_VALUE"""),"Social gatherings of up to 10 people indoors and 50 outdoors are allowed when distancing is not possible, or 20 indoors and 50 outdoors with social distancing.")</f>
        <v>Social gatherings of up to 10 people indoors and 50 outdoors are allowed when distancing is not possible, or 20 indoors and 50 outdoors with social distancing.</v>
      </c>
      <c r="F493" s="1" t="str">
        <f>IFERROR(__xludf.DUMMYFUNCTION("""COMPUTED_VALUE"""),"National Academy for State Health Policy")</f>
        <v>National Academy for State Health Policy</v>
      </c>
      <c r="G493" s="3" t="str">
        <f>IFERROR(__xludf.DUMMYFUNCTION("""COMPUTED_VALUE"""),"https://www.nashp.org/2020-state-reopening-chart/")</f>
        <v>https://www.nashp.org/2020-state-reopening-chart/</v>
      </c>
      <c r="H493" s="1"/>
      <c r="I493" s="1"/>
    </row>
    <row r="494">
      <c r="A494" s="2">
        <f>IFERROR(__xludf.DUMMYFUNCTION("""COMPUTED_VALUE"""),44104.0)</f>
        <v>44104</v>
      </c>
      <c r="B494" s="1" t="str">
        <f>IFERROR(__xludf.DUMMYFUNCTION("""COMPUTED_VALUE"""),"Mississippi")</f>
        <v>Mississippi</v>
      </c>
      <c r="C494" s="1" t="str">
        <f>IFERROR(__xludf.DUMMYFUNCTION("""COMPUTED_VALUE"""),"State Proclamations ")</f>
        <v>State Proclamations </v>
      </c>
      <c r="D494" s="1" t="str">
        <f>IFERROR(__xludf.DUMMYFUNCTION("""COMPUTED_VALUE"""),"Opening")</f>
        <v>Opening</v>
      </c>
      <c r="E494" s="1" t="str">
        <f>IFERROR(__xludf.DUMMYFUNCTION("""COMPUTED_VALUE"""),"Gatherings of up to 20 people indoors and 100 outdoors permitted when social distancing is not possible.")</f>
        <v>Gatherings of up to 20 people indoors and 100 outdoors permitted when social distancing is not possible.</v>
      </c>
      <c r="F494" s="1" t="str">
        <f>IFERROR(__xludf.DUMMYFUNCTION("""COMPUTED_VALUE"""),"National Academy for State Health Policy")</f>
        <v>National Academy for State Health Policy</v>
      </c>
      <c r="G494" s="3" t="str">
        <f>IFERROR(__xludf.DUMMYFUNCTION("""COMPUTED_VALUE"""),"https://www.nashp.org/2020-state-reopening-chart/")</f>
        <v>https://www.nashp.org/2020-state-reopening-chart/</v>
      </c>
      <c r="H494" s="1"/>
      <c r="I494" s="1"/>
    </row>
    <row r="495">
      <c r="A495" s="2">
        <f>IFERROR(__xludf.DUMMYFUNCTION("""COMPUTED_VALUE"""),44123.0)</f>
        <v>44123</v>
      </c>
      <c r="B495" s="1" t="str">
        <f>IFERROR(__xludf.DUMMYFUNCTION("""COMPUTED_VALUE"""),"Mississippi")</f>
        <v>Mississippi</v>
      </c>
      <c r="C495" s="1" t="str">
        <f>IFERROR(__xludf.DUMMYFUNCTION("""COMPUTED_VALUE"""),"State Proclamations ")</f>
        <v>State Proclamations </v>
      </c>
      <c r="D495" s="1" t="str">
        <f>IFERROR(__xludf.DUMMYFUNCTION("""COMPUTED_VALUE"""),"Closing")</f>
        <v>Closing</v>
      </c>
      <c r="E495" s="1" t="str">
        <f>IFERROR(__xludf.DUMMYFUNCTION("""COMPUTED_VALUE"""),"The governor reinstated the mask requirement and gathering limits in nine counties.")</f>
        <v>The governor reinstated the mask requirement and gathering limits in nine counties.</v>
      </c>
      <c r="F495" s="1" t="str">
        <f>IFERROR(__xludf.DUMMYFUNCTION("""COMPUTED_VALUE"""),"National Academy for State Health Policy")</f>
        <v>National Academy for State Health Policy</v>
      </c>
      <c r="G495" s="3" t="str">
        <f>IFERROR(__xludf.DUMMYFUNCTION("""COMPUTED_VALUE"""),"https://www.nashp.org/2020-state-reopening-chart/")</f>
        <v>https://www.nashp.org/2020-state-reopening-chart/</v>
      </c>
      <c r="H495" s="1"/>
      <c r="I495" s="1"/>
    </row>
    <row r="496">
      <c r="A496" s="2">
        <f>IFERROR(__xludf.DUMMYFUNCTION("""COMPUTED_VALUE"""),44132.0)</f>
        <v>44132</v>
      </c>
      <c r="B496" s="1" t="str">
        <f>IFERROR(__xludf.DUMMYFUNCTION("""COMPUTED_VALUE"""),"Mississippi")</f>
        <v>Mississippi</v>
      </c>
      <c r="C496" s="1" t="str">
        <f>IFERROR(__xludf.DUMMYFUNCTION("""COMPUTED_VALUE"""),"State Proclamations ")</f>
        <v>State Proclamations </v>
      </c>
      <c r="D496" s="1" t="str">
        <f>IFERROR(__xludf.DUMMYFUNCTION("""COMPUTED_VALUE"""),"Closing")</f>
        <v>Closing</v>
      </c>
      <c r="E496" s="1" t="str">
        <f>IFERROR(__xludf.DUMMYFUNCTION("""COMPUTED_VALUE"""),"The governor extended COVID-19 prevention measures to seven counties (for a total of 16 under the order) and limited gatherings to 10 people indoors and 50 people outdoors.")</f>
        <v>The governor extended COVID-19 prevention measures to seven counties (for a total of 16 under the order) and limited gatherings to 10 people indoors and 50 people outdoors.</v>
      </c>
      <c r="F496" s="1" t="str">
        <f>IFERROR(__xludf.DUMMYFUNCTION("""COMPUTED_VALUE"""),"National Academy for State Health Policy")</f>
        <v>National Academy for State Health Policy</v>
      </c>
      <c r="G496" s="3" t="str">
        <f>IFERROR(__xludf.DUMMYFUNCTION("""COMPUTED_VALUE"""),"https://www.nashp.org/2020-state-reopening-chart/")</f>
        <v>https://www.nashp.org/2020-state-reopening-chart/</v>
      </c>
      <c r="H496" s="1"/>
      <c r="I496" s="1"/>
    </row>
    <row r="497">
      <c r="A497" s="2">
        <f>IFERROR(__xludf.DUMMYFUNCTION("""COMPUTED_VALUE"""),44151.0)</f>
        <v>44151</v>
      </c>
      <c r="B497" s="1" t="str">
        <f>IFERROR(__xludf.DUMMYFUNCTION("""COMPUTED_VALUE"""),"Mississippi")</f>
        <v>Mississippi</v>
      </c>
      <c r="C497" s="1" t="str">
        <f>IFERROR(__xludf.DUMMYFUNCTION("""COMPUTED_VALUE"""),"State Proclamations ")</f>
        <v>State Proclamations </v>
      </c>
      <c r="D497" s="1" t="str">
        <f>IFERROR(__xludf.DUMMYFUNCTION("""COMPUTED_VALUE"""),"Closing")</f>
        <v>Closing</v>
      </c>
      <c r="E497" s="1" t="str">
        <f>IFERROR(__xludf.DUMMYFUNCTION("""COMPUTED_VALUE"""),"The governor added seven counties to a targeted mask order effective until Dec. 11.")</f>
        <v>The governor added seven counties to a targeted mask order effective until Dec. 11.</v>
      </c>
      <c r="F497" s="1" t="str">
        <f>IFERROR(__xludf.DUMMYFUNCTION("""COMPUTED_VALUE"""),"National Academy for State Health Policy")</f>
        <v>National Academy for State Health Policy</v>
      </c>
      <c r="G497" s="3" t="str">
        <f>IFERROR(__xludf.DUMMYFUNCTION("""COMPUTED_VALUE"""),"https://www.nashp.org/2020-state-reopening-chart/")</f>
        <v>https://www.nashp.org/2020-state-reopening-chart/</v>
      </c>
      <c r="H497" s="1"/>
      <c r="I497" s="1"/>
    </row>
    <row r="498">
      <c r="A498" s="2">
        <f>IFERROR(__xludf.DUMMYFUNCTION("""COMPUTED_VALUE"""),44165.0)</f>
        <v>44165</v>
      </c>
      <c r="B498" s="1" t="str">
        <f>IFERROR(__xludf.DUMMYFUNCTION("""COMPUTED_VALUE"""),"Mississippi")</f>
        <v>Mississippi</v>
      </c>
      <c r="C498" s="1" t="str">
        <f>IFERROR(__xludf.DUMMYFUNCTION("""COMPUTED_VALUE"""),"State Proclamations ")</f>
        <v>State Proclamations </v>
      </c>
      <c r="D498" s="1" t="str">
        <f>IFERROR(__xludf.DUMMYFUNCTION("""COMPUTED_VALUE"""),"Closing")</f>
        <v>Closing</v>
      </c>
      <c r="E498" s="1" t="str">
        <f>IFERROR(__xludf.DUMMYFUNCTION("""COMPUTED_VALUE"""),"The governor added 19 counties to a targeted mask order. The total number of counties with the mask order is now 41.")</f>
        <v>The governor added 19 counties to a targeted mask order. The total number of counties with the mask order is now 41.</v>
      </c>
      <c r="F498" s="1" t="str">
        <f>IFERROR(__xludf.DUMMYFUNCTION("""COMPUTED_VALUE"""),"National Academy for State Health Policy")</f>
        <v>National Academy for State Health Policy</v>
      </c>
      <c r="G498" s="3" t="str">
        <f>IFERROR(__xludf.DUMMYFUNCTION("""COMPUTED_VALUE"""),"https://www.nashp.org/2020-state-reopening-chart/")</f>
        <v>https://www.nashp.org/2020-state-reopening-chart/</v>
      </c>
      <c r="H498" s="1"/>
      <c r="I498" s="1"/>
    </row>
    <row r="499">
      <c r="A499" s="2">
        <f>IFERROR(__xludf.DUMMYFUNCTION("""COMPUTED_VALUE"""),44174.0)</f>
        <v>44174</v>
      </c>
      <c r="B499" s="1" t="str">
        <f>IFERROR(__xludf.DUMMYFUNCTION("""COMPUTED_VALUE"""),"Mississippi")</f>
        <v>Mississippi</v>
      </c>
      <c r="C499" s="1" t="str">
        <f>IFERROR(__xludf.DUMMYFUNCTION("""COMPUTED_VALUE"""),"State Proclamations ")</f>
        <v>State Proclamations </v>
      </c>
      <c r="D499" s="1" t="str">
        <f>IFERROR(__xludf.DUMMYFUNCTION("""COMPUTED_VALUE"""),"Closing")</f>
        <v>Closing</v>
      </c>
      <c r="E499" s="1" t="str">
        <f>IFERROR(__xludf.DUMMYFUNCTION("""COMPUTED_VALUE"""),"The governor limited indoor gatherings to 10 people and limited outdoor gatherings to 50 people.")</f>
        <v>The governor limited indoor gatherings to 10 people and limited outdoor gatherings to 50 people.</v>
      </c>
      <c r="F499" s="1" t="str">
        <f>IFERROR(__xludf.DUMMYFUNCTION("""COMPUTED_VALUE"""),"National Academy for State Health Policy")</f>
        <v>National Academy for State Health Policy</v>
      </c>
      <c r="G499" s="3" t="str">
        <f>IFERROR(__xludf.DUMMYFUNCTION("""COMPUTED_VALUE"""),"https://www.nashp.org/2020-state-reopening-chart/")</f>
        <v>https://www.nashp.org/2020-state-reopening-chart/</v>
      </c>
      <c r="H499" s="1"/>
      <c r="I499" s="1"/>
    </row>
    <row r="500">
      <c r="A500" s="2">
        <f>IFERROR(__xludf.DUMMYFUNCTION("""COMPUTED_VALUE"""),44176.0)</f>
        <v>44176</v>
      </c>
      <c r="B500" s="1" t="str">
        <f>IFERROR(__xludf.DUMMYFUNCTION("""COMPUTED_VALUE"""),"Mississippi")</f>
        <v>Mississippi</v>
      </c>
      <c r="C500" s="1" t="str">
        <f>IFERROR(__xludf.DUMMYFUNCTION("""COMPUTED_VALUE"""),"Mask Mandate")</f>
        <v>Mask Mandate</v>
      </c>
      <c r="D500" s="1" t="str">
        <f>IFERROR(__xludf.DUMMYFUNCTION("""COMPUTED_VALUE"""),"Start")</f>
        <v>Start</v>
      </c>
      <c r="E500" s="1" t="str">
        <f>IFERROR(__xludf.DUMMYFUNCTION("""COMPUTED_VALUE"""),"Mask Mandate in effect on December 11, 2020")</f>
        <v>Mask Mandate in effect on December 11, 2020</v>
      </c>
      <c r="F500" s="1" t="str">
        <f>IFERROR(__xludf.DUMMYFUNCTION("""COMPUTED_VALUE"""),"Mississippi Executive Order 1536")</f>
        <v>Mississippi Executive Order 1536</v>
      </c>
      <c r="G500" s="3" t="str">
        <f>IFERROR(__xludf.DUMMYFUNCTION("""COMPUTED_VALUE"""),"https://www.sos.ms.gov/content/executiveorders/ExecutiveOrders/1536.pdf")</f>
        <v>https://www.sos.ms.gov/content/executiveorders/ExecutiveOrders/1536.pdf</v>
      </c>
      <c r="H500" s="1"/>
      <c r="I500" s="1"/>
    </row>
    <row r="501">
      <c r="A501" s="2">
        <f>IFERROR(__xludf.DUMMYFUNCTION("""COMPUTED_VALUE"""),44258.0)</f>
        <v>44258</v>
      </c>
      <c r="B501" s="1" t="str">
        <f>IFERROR(__xludf.DUMMYFUNCTION("""COMPUTED_VALUE"""),"Mississippi")</f>
        <v>Mississippi</v>
      </c>
      <c r="C501" s="1" t="str">
        <f>IFERROR(__xludf.DUMMYFUNCTION("""COMPUTED_VALUE"""),"Mask Mandate")</f>
        <v>Mask Mandate</v>
      </c>
      <c r="D501" s="1" t="str">
        <f>IFERROR(__xludf.DUMMYFUNCTION("""COMPUTED_VALUE"""),"End")</f>
        <v>End</v>
      </c>
      <c r="E501" s="1" t="str">
        <f>IFERROR(__xludf.DUMMYFUNCTION("""COMPUTED_VALUE"""),"On March 3, the governor lifted the mask mandate")</f>
        <v>On March 3, the governor lifted the mask mandate</v>
      </c>
      <c r="F501" s="1" t="str">
        <f>IFERROR(__xludf.DUMMYFUNCTION("""COMPUTED_VALUE"""),"National Academy for State Health Policy")</f>
        <v>National Academy for State Health Policy</v>
      </c>
      <c r="G501" s="3" t="str">
        <f>IFERROR(__xludf.DUMMYFUNCTION("""COMPUTED_VALUE"""),"https://www.nashp.org/2021-covid-19-state-restrictions-re-openings-and-mask-requirements/")</f>
        <v>https://www.nashp.org/2021-covid-19-state-restrictions-re-openings-and-mask-requirements/</v>
      </c>
      <c r="H501" s="1"/>
      <c r="I501" s="1"/>
    </row>
    <row r="502">
      <c r="A502" s="2">
        <f>IFERROR(__xludf.DUMMYFUNCTION("""COMPUTED_VALUE"""),44258.0)</f>
        <v>44258</v>
      </c>
      <c r="B502" s="1" t="str">
        <f>IFERROR(__xludf.DUMMYFUNCTION("""COMPUTED_VALUE"""),"Mississippi")</f>
        <v>Mississippi</v>
      </c>
      <c r="C502" s="1" t="str">
        <f>IFERROR(__xludf.DUMMYFUNCTION("""COMPUTED_VALUE"""),"State Proclamations ")</f>
        <v>State Proclamations </v>
      </c>
      <c r="D502" s="1" t="str">
        <f>IFERROR(__xludf.DUMMYFUNCTION("""COMPUTED_VALUE"""),"Opening")</f>
        <v>Opening</v>
      </c>
      <c r="E502" s="1" t="str">
        <f>IFERROR(__xludf.DUMMYFUNCTION("""COMPUTED_VALUE"""),"Gov. Tate Reeves lifted the state’s regional mask requirement, all restrictions on businesses, and gathering restrictions for individuals. The state still requires masks in K-12 school buildings, while large indoor venues like arenas with ticketed seating"&amp;" will be limited to 50% seating capacity.")</f>
        <v>Gov. Tate Reeves lifted the state’s regional mask requirement, all restrictions on businesses, and gathering restrictions for individuals. The state still requires masks in K-12 school buildings, while large indoor venues like arenas with ticketed seating will be limited to 50% seating capacity.</v>
      </c>
      <c r="F502" s="1" t="str">
        <f>IFERROR(__xludf.DUMMYFUNCTION("""COMPUTED_VALUE"""),"National Academy for State Health Policy")</f>
        <v>National Academy for State Health Policy</v>
      </c>
      <c r="G502" s="3" t="str">
        <f>IFERROR(__xludf.DUMMYFUNCTION("""COMPUTED_VALUE"""),"https://www.nashp.org/2021-covid-19-state-restrictions-re-openings-and-mask-requirements/")</f>
        <v>https://www.nashp.org/2021-covid-19-state-restrictions-re-openings-and-mask-requirements/</v>
      </c>
      <c r="H502" s="1"/>
      <c r="I502" s="1"/>
    </row>
    <row r="503">
      <c r="A503" s="2">
        <f>IFERROR(__xludf.DUMMYFUNCTION("""COMPUTED_VALUE"""),44286.0)</f>
        <v>44286</v>
      </c>
      <c r="B503" s="1" t="str">
        <f>IFERROR(__xludf.DUMMYFUNCTION("""COMPUTED_VALUE"""),"Mississippi")</f>
        <v>Mississippi</v>
      </c>
      <c r="C503" s="1" t="str">
        <f>IFERROR(__xludf.DUMMYFUNCTION("""COMPUTED_VALUE"""),"State Proclamations ")</f>
        <v>State Proclamations </v>
      </c>
      <c r="D503" s="1" t="str">
        <f>IFERROR(__xludf.DUMMYFUNCTION("""COMPUTED_VALUE"""),"Opening")</f>
        <v>Opening</v>
      </c>
      <c r="E503" s="1" t="str">
        <f>IFERROR(__xludf.DUMMYFUNCTION("""COMPUTED_VALUE"""),"Large events at indoor arenas can expand to 75% capacity, and K-12 extracurricular events can expand to 50% capacity indoors, with no limit on outdoor events.")</f>
        <v>Large events at indoor arenas can expand to 75% capacity, and K-12 extracurricular events can expand to 50% capacity indoors, with no limit on outdoor events.</v>
      </c>
      <c r="F503" s="1" t="str">
        <f>IFERROR(__xludf.DUMMYFUNCTION("""COMPUTED_VALUE"""),"National Academy for State Health Policy")</f>
        <v>National Academy for State Health Policy</v>
      </c>
      <c r="G503" s="3" t="str">
        <f>IFERROR(__xludf.DUMMYFUNCTION("""COMPUTED_VALUE"""),"https://www.nashp.org/2021-covid-19-state-restrictions-re-openings-and-mask-requirements/")</f>
        <v>https://www.nashp.org/2021-covid-19-state-restrictions-re-openings-and-mask-requirements/</v>
      </c>
      <c r="H503" s="1"/>
      <c r="I503" s="1"/>
    </row>
    <row r="504">
      <c r="A504" s="2">
        <f>IFERROR(__xludf.DUMMYFUNCTION("""COMPUTED_VALUE"""),44316.0)</f>
        <v>44316</v>
      </c>
      <c r="B504" s="1" t="str">
        <f>IFERROR(__xludf.DUMMYFUNCTION("""COMPUTED_VALUE"""),"Mississippi")</f>
        <v>Mississippi</v>
      </c>
      <c r="C504" s="1" t="str">
        <f>IFERROR(__xludf.DUMMYFUNCTION("""COMPUTED_VALUE"""),"State Proclamations ")</f>
        <v>State Proclamations </v>
      </c>
      <c r="D504" s="1" t="str">
        <f>IFERROR(__xludf.DUMMYFUNCTION("""COMPUTED_VALUE"""),"Opening")</f>
        <v>Opening</v>
      </c>
      <c r="E504" s="1" t="str">
        <f>IFERROR(__xludf.DUMMYFUNCTION("""COMPUTED_VALUE"""),"The governor lifted all remaining restrictions, with the exception of the mask mandate in schools.")</f>
        <v>The governor lifted all remaining restrictions, with the exception of the mask mandate in schools.</v>
      </c>
      <c r="F504" s="1" t="str">
        <f>IFERROR(__xludf.DUMMYFUNCTION("""COMPUTED_VALUE"""),"National Academy for State Health Policy")</f>
        <v>National Academy for State Health Policy</v>
      </c>
      <c r="G504" s="3" t="str">
        <f>IFERROR(__xludf.DUMMYFUNCTION("""COMPUTED_VALUE"""),"https://www.nashp.org/2021-covid-19-state-restrictions-re-openings-and-mask-requirements/")</f>
        <v>https://www.nashp.org/2021-covid-19-state-restrictions-re-openings-and-mask-requirements/</v>
      </c>
      <c r="H504" s="1"/>
      <c r="I504" s="1"/>
    </row>
    <row r="505">
      <c r="A505" s="2">
        <f>IFERROR(__xludf.DUMMYFUNCTION("""COMPUTED_VALUE"""),44520.0)</f>
        <v>44520</v>
      </c>
      <c r="B505" s="1" t="str">
        <f>IFERROR(__xludf.DUMMYFUNCTION("""COMPUTED_VALUE"""),"Mississippi")</f>
        <v>Mississippi</v>
      </c>
      <c r="C505" s="1" t="str">
        <f>IFERROR(__xludf.DUMMYFUNCTION("""COMPUTED_VALUE"""),"State of Emergency")</f>
        <v>State of Emergency</v>
      </c>
      <c r="D505" s="1" t="str">
        <f>IFERROR(__xludf.DUMMYFUNCTION("""COMPUTED_VALUE"""),"End")</f>
        <v>End</v>
      </c>
      <c r="E505" s="1" t="str">
        <f>IFERROR(__xludf.DUMMYFUNCTION("""COMPUTED_VALUE"""),"State of Emergency ended November 20, 2021")</f>
        <v>State of Emergency ended November 20, 2021</v>
      </c>
      <c r="F505" s="1" t="str">
        <f>IFERROR(__xludf.DUMMYFUNCTION("""COMPUTED_VALUE"""),"National Academy for State Health Policy")</f>
        <v>National Academy for State Health Policy</v>
      </c>
      <c r="G505" s="3" t="str">
        <f>IFERROR(__xludf.DUMMYFUNCTION("""COMPUTED_VALUE"""),"https://www.nashp.org/2021-covid-19-state-restrictions-re-openings-and-mask-requirements/")</f>
        <v>https://www.nashp.org/2021-covid-19-state-restrictions-re-openings-and-mask-requirements/</v>
      </c>
      <c r="H505" s="1"/>
      <c r="I505" s="1"/>
    </row>
    <row r="506">
      <c r="A506" s="2">
        <f>IFERROR(__xludf.DUMMYFUNCTION("""COMPUTED_VALUE"""),43903.0)</f>
        <v>43903</v>
      </c>
      <c r="B506" s="1" t="str">
        <f>IFERROR(__xludf.DUMMYFUNCTION("""COMPUTED_VALUE"""),"Missouri")</f>
        <v>Missouri</v>
      </c>
      <c r="C506" s="1" t="str">
        <f>IFERROR(__xludf.DUMMYFUNCTION("""COMPUTED_VALUE"""),"State of Emergency")</f>
        <v>State of Emergency</v>
      </c>
      <c r="D506" s="1" t="str">
        <f>IFERROR(__xludf.DUMMYFUNCTION("""COMPUTED_VALUE"""),"Start")</f>
        <v>Start</v>
      </c>
      <c r="E506" s="1" t="str">
        <f>IFERROR(__xludf.DUMMYFUNCTION("""COMPUTED_VALUE"""),"Gov. Mike Parsons declared a state of emergency on March 13.")</f>
        <v>Gov. Mike Parsons declared a state of emergency on March 13.</v>
      </c>
      <c r="F506" s="1" t="str">
        <f>IFERROR(__xludf.DUMMYFUNCTION("""COMPUTED_VALUE"""),"Business Insider")</f>
        <v>Business Insider</v>
      </c>
      <c r="G506" s="3" t="str">
        <f>IFERROR(__xludf.DUMMYFUNCTION("""COMPUTED_VALUE"""),"https://www.businessinsider.com/california-washington-state-of-emergency-coronavirus-what-it-means-2020-3#missouri-36")</f>
        <v>https://www.businessinsider.com/california-washington-state-of-emergency-coronavirus-what-it-means-2020-3#missouri-36</v>
      </c>
      <c r="H506" s="1"/>
      <c r="I506" s="1"/>
    </row>
    <row r="507">
      <c r="A507" s="2">
        <f>IFERROR(__xludf.DUMMYFUNCTION("""COMPUTED_VALUE"""),43927.0)</f>
        <v>43927</v>
      </c>
      <c r="B507" s="1" t="str">
        <f>IFERROR(__xludf.DUMMYFUNCTION("""COMPUTED_VALUE"""),"Missouri")</f>
        <v>Missouri</v>
      </c>
      <c r="C507" s="1" t="str">
        <f>IFERROR(__xludf.DUMMYFUNCTION("""COMPUTED_VALUE"""),"Stay-at-Home Order")</f>
        <v>Stay-at-Home Order</v>
      </c>
      <c r="D507" s="1" t="str">
        <f>IFERROR(__xludf.DUMMYFUNCTION("""COMPUTED_VALUE"""),"Start")</f>
        <v>Start</v>
      </c>
      <c r="E507" s="1" t="str">
        <f>IFERROR(__xludf.DUMMYFUNCTION("""COMPUTED_VALUE"""),"Original stay-at-home order begins")</f>
        <v>Original stay-at-home order begins</v>
      </c>
      <c r="F507" s="1" t="str">
        <f>IFERROR(__xludf.DUMMYFUNCTION("""COMPUTED_VALUE"""),"National Academy for State Health Policy")</f>
        <v>National Academy for State Health Policy</v>
      </c>
      <c r="G507" s="3" t="str">
        <f>IFERROR(__xludf.DUMMYFUNCTION("""COMPUTED_VALUE"""),"https://www.nashp.org/2020-state-reopening-chart/")</f>
        <v>https://www.nashp.org/2020-state-reopening-chart/</v>
      </c>
      <c r="H507" s="1"/>
      <c r="I507" s="1"/>
    </row>
    <row r="508">
      <c r="A508" s="2">
        <f>IFERROR(__xludf.DUMMYFUNCTION("""COMPUTED_VALUE"""),43954.0)</f>
        <v>43954</v>
      </c>
      <c r="B508" s="1" t="str">
        <f>IFERROR(__xludf.DUMMYFUNCTION("""COMPUTED_VALUE"""),"Missouri")</f>
        <v>Missouri</v>
      </c>
      <c r="C508" s="1" t="str">
        <f>IFERROR(__xludf.DUMMYFUNCTION("""COMPUTED_VALUE"""),"Stay-at-Home Order")</f>
        <v>Stay-at-Home Order</v>
      </c>
      <c r="D508" s="1" t="str">
        <f>IFERROR(__xludf.DUMMYFUNCTION("""COMPUTED_VALUE"""),"End")</f>
        <v>End</v>
      </c>
      <c r="E508" s="1" t="str">
        <f>IFERROR(__xludf.DUMMYFUNCTION("""COMPUTED_VALUE"""),"Original stay-at-home order ends")</f>
        <v>Original stay-at-home order ends</v>
      </c>
      <c r="F508" s="1" t="str">
        <f>IFERROR(__xludf.DUMMYFUNCTION("""COMPUTED_VALUE"""),"National Academy for State Health Policy")</f>
        <v>National Academy for State Health Policy</v>
      </c>
      <c r="G508" s="3" t="str">
        <f>IFERROR(__xludf.DUMMYFUNCTION("""COMPUTED_VALUE"""),"https://www.nashp.org/2020-state-reopening-chart/")</f>
        <v>https://www.nashp.org/2020-state-reopening-chart/</v>
      </c>
      <c r="H508" s="1"/>
      <c r="I508" s="1"/>
    </row>
    <row r="509">
      <c r="A509" s="2">
        <f>IFERROR(__xludf.DUMMYFUNCTION("""COMPUTED_VALUE"""),43955.0)</f>
        <v>43955</v>
      </c>
      <c r="B509" s="1" t="str">
        <f>IFERROR(__xludf.DUMMYFUNCTION("""COMPUTED_VALUE"""),"Missouri")</f>
        <v>Missouri</v>
      </c>
      <c r="C509" s="1" t="str">
        <f>IFERROR(__xludf.DUMMYFUNCTION("""COMPUTED_VALUE"""),"State Proclamations ")</f>
        <v>State Proclamations </v>
      </c>
      <c r="D509" s="1" t="str">
        <f>IFERROR(__xludf.DUMMYFUNCTION("""COMPUTED_VALUE"""),"Opening")</f>
        <v>Opening</v>
      </c>
      <c r="E509" s="1" t="str">
        <f>IFERROR(__xludf.DUMMYFUNCTION("""COMPUTED_VALUE"""),"Missouri citizens may return to economic and social activities but must adhere to social distancing requirements. Retail stores, restaurant dining, personal care services, houses or worship, movie theaters, casinos, and gyms have all reopened. Nonessentia"&amp;"l medical procedures resumed May 4.")</f>
        <v>Missouri citizens may return to economic and social activities but must adhere to social distancing requirements. Retail stores, restaurant dining, personal care services, houses or worship, movie theaters, casinos, and gyms have all reopened. Nonessential medical procedures resumed May 4.</v>
      </c>
      <c r="F509" s="1" t="str">
        <f>IFERROR(__xludf.DUMMYFUNCTION("""COMPUTED_VALUE"""),"National Academy for State Health Policy")</f>
        <v>National Academy for State Health Policy</v>
      </c>
      <c r="G509" s="3" t="str">
        <f>IFERROR(__xludf.DUMMYFUNCTION("""COMPUTED_VALUE"""),"https://www.nashp.org/2020-state-reopening-chart/")</f>
        <v>https://www.nashp.org/2020-state-reopening-chart/</v>
      </c>
      <c r="H509" s="1"/>
      <c r="I509" s="1"/>
    </row>
    <row r="510">
      <c r="A510" s="2">
        <f>IFERROR(__xludf.DUMMYFUNCTION("""COMPUTED_VALUE"""),43998.0)</f>
        <v>43998</v>
      </c>
      <c r="B510" s="1" t="str">
        <f>IFERROR(__xludf.DUMMYFUNCTION("""COMPUTED_VALUE"""),"Missouri")</f>
        <v>Missouri</v>
      </c>
      <c r="C510" s="1" t="str">
        <f>IFERROR(__xludf.DUMMYFUNCTION("""COMPUTED_VALUE"""),"State Proclamations ")</f>
        <v>State Proclamations </v>
      </c>
      <c r="D510" s="1" t="str">
        <f>IFERROR(__xludf.DUMMYFUNCTION("""COMPUTED_VALUE"""),"Opening")</f>
        <v>Opening</v>
      </c>
      <c r="E510" s="1" t="str">
        <f>IFERROR(__xludf.DUMMYFUNCTION("""COMPUTED_VALUE"""),"The governor lifted all restrictions.")</f>
        <v>The governor lifted all restrictions.</v>
      </c>
      <c r="F510" s="1" t="str">
        <f>IFERROR(__xludf.DUMMYFUNCTION("""COMPUTED_VALUE"""),"National Academy for State Health Policy")</f>
        <v>National Academy for State Health Policy</v>
      </c>
      <c r="G510" s="3" t="str">
        <f>IFERROR(__xludf.DUMMYFUNCTION("""COMPUTED_VALUE"""),"https://www.nashp.org/2020-state-reopening-chart/")</f>
        <v>https://www.nashp.org/2020-state-reopening-chart/</v>
      </c>
      <c r="H510" s="1"/>
      <c r="I510" s="1"/>
    </row>
    <row r="511">
      <c r="A511" s="2">
        <f>IFERROR(__xludf.DUMMYFUNCTION("""COMPUTED_VALUE"""),44147.0)</f>
        <v>44147</v>
      </c>
      <c r="B511" s="1" t="str">
        <f>IFERROR(__xludf.DUMMYFUNCTION("""COMPUTED_VALUE"""),"Missouri")</f>
        <v>Missouri</v>
      </c>
      <c r="C511" s="1" t="str">
        <f>IFERROR(__xludf.DUMMYFUNCTION("""COMPUTED_VALUE"""),"State Proclamations ")</f>
        <v>State Proclamations </v>
      </c>
      <c r="D511" s="1" t="str">
        <f>IFERROR(__xludf.DUMMYFUNCTION("""COMPUTED_VALUE"""),"Opening")</f>
        <v>Opening</v>
      </c>
      <c r="E511" s="1" t="str">
        <f>IFERROR(__xludf.DUMMYFUNCTION("""COMPUTED_VALUE"""),"Individuals who properly wear masks in a school setting may not have to quarantine if they are in close contact with someone who tests positive for COVID-19.")</f>
        <v>Individuals who properly wear masks in a school setting may not have to quarantine if they are in close contact with someone who tests positive for COVID-19.</v>
      </c>
      <c r="F511" s="1" t="str">
        <f>IFERROR(__xludf.DUMMYFUNCTION("""COMPUTED_VALUE"""),"National Academy for State Health Policy")</f>
        <v>National Academy for State Health Policy</v>
      </c>
      <c r="G511" s="3" t="str">
        <f>IFERROR(__xludf.DUMMYFUNCTION("""COMPUTED_VALUE"""),"https://www.nashp.org/2020-state-reopening-chart/")</f>
        <v>https://www.nashp.org/2020-state-reopening-chart/</v>
      </c>
      <c r="H511" s="1"/>
      <c r="I511" s="1"/>
    </row>
    <row r="512">
      <c r="A512" s="2">
        <f>IFERROR(__xludf.DUMMYFUNCTION("""COMPUTED_VALUE"""),44155.0)</f>
        <v>44155</v>
      </c>
      <c r="B512" s="1" t="str">
        <f>IFERROR(__xludf.DUMMYFUNCTION("""COMPUTED_VALUE"""),"Missouri")</f>
        <v>Missouri</v>
      </c>
      <c r="C512" s="1" t="str">
        <f>IFERROR(__xludf.DUMMYFUNCTION("""COMPUTED_VALUE"""),"State Proclamations ")</f>
        <v>State Proclamations </v>
      </c>
      <c r="D512" s="1" t="str">
        <f>IFERROR(__xludf.DUMMYFUNCTION("""COMPUTED_VALUE"""),"Closing")</f>
        <v>Closing</v>
      </c>
      <c r="E512" s="1" t="str">
        <f>IFERROR(__xludf.DUMMYFUNCTION("""COMPUTED_VALUE"""),"The governor extended the COVID-19 emergency through March 2021.")</f>
        <v>The governor extended the COVID-19 emergency through March 2021.</v>
      </c>
      <c r="F512" s="1" t="str">
        <f>IFERROR(__xludf.DUMMYFUNCTION("""COMPUTED_VALUE"""),"National Academy for State Health Policy")</f>
        <v>National Academy for State Health Policy</v>
      </c>
      <c r="G512" s="3" t="str">
        <f>IFERROR(__xludf.DUMMYFUNCTION("""COMPUTED_VALUE"""),"https://www.nashp.org/2020-state-reopening-chart/")</f>
        <v>https://www.nashp.org/2020-state-reopening-chart/</v>
      </c>
      <c r="H512" s="1"/>
      <c r="I512" s="1"/>
    </row>
    <row r="513">
      <c r="A513" s="2">
        <f>IFERROR(__xludf.DUMMYFUNCTION("""COMPUTED_VALUE"""),44333.0)</f>
        <v>44333</v>
      </c>
      <c r="B513" s="1" t="str">
        <f>IFERROR(__xludf.DUMMYFUNCTION("""COMPUTED_VALUE"""),"Missouri")</f>
        <v>Missouri</v>
      </c>
      <c r="C513" s="1" t="str">
        <f>IFERROR(__xludf.DUMMYFUNCTION("""COMPUTED_VALUE"""),"State Proclamations ")</f>
        <v>State Proclamations </v>
      </c>
      <c r="D513" s="1" t="str">
        <f>IFERROR(__xludf.DUMMYFUNCTION("""COMPUTED_VALUE"""),"Opening")</f>
        <v>Opening</v>
      </c>
      <c r="E513" s="1" t="str">
        <f>IFERROR(__xludf.DUMMYFUNCTION("""COMPUTED_VALUE"""),"All state employees must return to pre-coronavirus in-person work settings, and all state buildings must reopen to the public during normal business hours.")</f>
        <v>All state employees must return to pre-coronavirus in-person work settings, and all state buildings must reopen to the public during normal business hours.</v>
      </c>
      <c r="F513" s="1" t="str">
        <f>IFERROR(__xludf.DUMMYFUNCTION("""COMPUTED_VALUE"""),"National Academy for State Health Policy")</f>
        <v>National Academy for State Health Policy</v>
      </c>
      <c r="G513" s="3" t="str">
        <f>IFERROR(__xludf.DUMMYFUNCTION("""COMPUTED_VALUE"""),"https://www.nashp.org/2021-covid-19-state-restrictions-re-openings-and-mask-requirements/")</f>
        <v>https://www.nashp.org/2021-covid-19-state-restrictions-re-openings-and-mask-requirements/</v>
      </c>
      <c r="H513" s="1"/>
      <c r="I513" s="1"/>
    </row>
    <row r="514">
      <c r="A514" s="2">
        <f>IFERROR(__xludf.DUMMYFUNCTION("""COMPUTED_VALUE"""),44435.0)</f>
        <v>44435</v>
      </c>
      <c r="B514" s="1" t="str">
        <f>IFERROR(__xludf.DUMMYFUNCTION("""COMPUTED_VALUE"""),"Missouri")</f>
        <v>Missouri</v>
      </c>
      <c r="C514" s="1" t="str">
        <f>IFERROR(__xludf.DUMMYFUNCTION("""COMPUTED_VALUE"""),"State of Emergency")</f>
        <v>State of Emergency</v>
      </c>
      <c r="D514" s="1" t="str">
        <f>IFERROR(__xludf.DUMMYFUNCTION("""COMPUTED_VALUE"""),"End")</f>
        <v>End</v>
      </c>
      <c r="E514" s="1" t="str">
        <f>IFERROR(__xludf.DUMMYFUNCTION("""COMPUTED_VALUE"""),"State of Emergency ended August 27, 2021")</f>
        <v>State of Emergency ended August 27, 2021</v>
      </c>
      <c r="F514" s="1" t="str">
        <f>IFERROR(__xludf.DUMMYFUNCTION("""COMPUTED_VALUE"""),"National Academy for State Health Policy")</f>
        <v>National Academy for State Health Policy</v>
      </c>
      <c r="G514" s="3" t="str">
        <f>IFERROR(__xludf.DUMMYFUNCTION("""COMPUTED_VALUE"""),"https://www.nashp.org/2021-covid-19-state-restrictions-re-openings-and-mask-requirements/")</f>
        <v>https://www.nashp.org/2021-covid-19-state-restrictions-re-openings-and-mask-requirements/</v>
      </c>
      <c r="H514" s="1"/>
      <c r="I514" s="1"/>
    </row>
    <row r="515">
      <c r="A515" s="2">
        <f>IFERROR(__xludf.DUMMYFUNCTION("""COMPUTED_VALUE"""),44435.0)</f>
        <v>44435</v>
      </c>
      <c r="B515" s="1" t="str">
        <f>IFERROR(__xludf.DUMMYFUNCTION("""COMPUTED_VALUE"""),"Missouri")</f>
        <v>Missouri</v>
      </c>
      <c r="C515" s="1" t="str">
        <f>IFERROR(__xludf.DUMMYFUNCTION("""COMPUTED_VALUE"""),"State of Emergency")</f>
        <v>State of Emergency</v>
      </c>
      <c r="D515" s="1" t="str">
        <f>IFERROR(__xludf.DUMMYFUNCTION("""COMPUTED_VALUE"""),"Start")</f>
        <v>Start</v>
      </c>
      <c r="E515" s="1" t="str">
        <f>IFERROR(__xludf.DUMMYFUNCTION("""COMPUTED_VALUE"""),"A new, more narrow order was issued after the governor ended the expansive State of Emergency on August 27, 2021")</f>
        <v>A new, more narrow order was issued after the governor ended the expansive State of Emergency on August 27, 2021</v>
      </c>
      <c r="F515" s="1" t="str">
        <f>IFERROR(__xludf.DUMMYFUNCTION("""COMPUTED_VALUE"""),"National Academy for State Health Policy")</f>
        <v>National Academy for State Health Policy</v>
      </c>
      <c r="G515" s="3" t="str">
        <f>IFERROR(__xludf.DUMMYFUNCTION("""COMPUTED_VALUE"""),"https://www.nashp.org/2021-covid-19-state-restrictions-re-openings-and-mask-requirements/")</f>
        <v>https://www.nashp.org/2021-covid-19-state-restrictions-re-openings-and-mask-requirements/</v>
      </c>
      <c r="H515" s="1"/>
      <c r="I515" s="1"/>
    </row>
    <row r="516">
      <c r="A516" s="2">
        <f>IFERROR(__xludf.DUMMYFUNCTION("""COMPUTED_VALUE"""),44561.0)</f>
        <v>44561</v>
      </c>
      <c r="B516" s="1" t="str">
        <f>IFERROR(__xludf.DUMMYFUNCTION("""COMPUTED_VALUE"""),"Missouri")</f>
        <v>Missouri</v>
      </c>
      <c r="C516" s="1" t="str">
        <f>IFERROR(__xludf.DUMMYFUNCTION("""COMPUTED_VALUE"""),"State of Emergency")</f>
        <v>State of Emergency</v>
      </c>
      <c r="D516" s="1" t="str">
        <f>IFERROR(__xludf.DUMMYFUNCTION("""COMPUTED_VALUE"""),"End")</f>
        <v>End</v>
      </c>
      <c r="E516" s="1" t="str">
        <f>IFERROR(__xludf.DUMMYFUNCTION("""COMPUTED_VALUE"""),"The State of Emergency around hospital staffing shortages expired.")</f>
        <v>The State of Emergency around hospital staffing shortages expired.</v>
      </c>
      <c r="F516" s="1" t="str">
        <f>IFERROR(__xludf.DUMMYFUNCTION("""COMPUTED_VALUE"""),"National Academy for State Health Policy")</f>
        <v>National Academy for State Health Policy</v>
      </c>
      <c r="G516" s="3" t="str">
        <f>IFERROR(__xludf.DUMMYFUNCTION("""COMPUTED_VALUE"""),"https://www.nashp.org/2021-covid-19-state-restrictions-re-openings-and-mask-requirements/")</f>
        <v>https://www.nashp.org/2021-covid-19-state-restrictions-re-openings-and-mask-requirements/</v>
      </c>
      <c r="H516" s="1"/>
      <c r="I516" s="1"/>
    </row>
    <row r="517">
      <c r="A517" s="2">
        <f>IFERROR(__xludf.DUMMYFUNCTION("""COMPUTED_VALUE"""),43902.0)</f>
        <v>43902</v>
      </c>
      <c r="B517" s="1" t="str">
        <f>IFERROR(__xludf.DUMMYFUNCTION("""COMPUTED_VALUE"""),"Montana")</f>
        <v>Montana</v>
      </c>
      <c r="C517" s="1" t="str">
        <f>IFERROR(__xludf.DUMMYFUNCTION("""COMPUTED_VALUE"""),"State of Emergency")</f>
        <v>State of Emergency</v>
      </c>
      <c r="D517" s="1" t="str">
        <f>IFERROR(__xludf.DUMMYFUNCTION("""COMPUTED_VALUE"""),"Start")</f>
        <v>Start</v>
      </c>
      <c r="E517" s="1" t="str">
        <f>IFERROR(__xludf.DUMMYFUNCTION("""COMPUTED_VALUE"""),"Montana declared a state of emergency on March 12.")</f>
        <v>Montana declared a state of emergency on March 12.</v>
      </c>
      <c r="F517" s="1" t="str">
        <f>IFERROR(__xludf.DUMMYFUNCTION("""COMPUTED_VALUE"""),"Business Insider")</f>
        <v>Business Insider</v>
      </c>
      <c r="G517" s="3" t="str">
        <f>IFERROR(__xludf.DUMMYFUNCTION("""COMPUTED_VALUE"""),"https://www.businessinsider.com/california-washington-state-of-emergency-coronavirus-what-it-means-2020-3#montana-24")</f>
        <v>https://www.businessinsider.com/california-washington-state-of-emergency-coronavirus-what-it-means-2020-3#montana-24</v>
      </c>
      <c r="H517" s="1"/>
      <c r="I517" s="1"/>
    </row>
    <row r="518">
      <c r="A518" s="2">
        <f>IFERROR(__xludf.DUMMYFUNCTION("""COMPUTED_VALUE"""),43919.0)</f>
        <v>43919</v>
      </c>
      <c r="B518" s="1" t="str">
        <f>IFERROR(__xludf.DUMMYFUNCTION("""COMPUTED_VALUE"""),"Montana")</f>
        <v>Montana</v>
      </c>
      <c r="C518" s="1" t="str">
        <f>IFERROR(__xludf.DUMMYFUNCTION("""COMPUTED_VALUE"""),"Stay-at-Home Order")</f>
        <v>Stay-at-Home Order</v>
      </c>
      <c r="D518" s="1" t="str">
        <f>IFERROR(__xludf.DUMMYFUNCTION("""COMPUTED_VALUE"""),"Start")</f>
        <v>Start</v>
      </c>
      <c r="E518" s="1" t="str">
        <f>IFERROR(__xludf.DUMMYFUNCTION("""COMPUTED_VALUE"""),"Original stay-at-home order begins")</f>
        <v>Original stay-at-home order begins</v>
      </c>
      <c r="F518" s="1" t="str">
        <f>IFERROR(__xludf.DUMMYFUNCTION("""COMPUTED_VALUE"""),"National Academy for State Health Policy")</f>
        <v>National Academy for State Health Policy</v>
      </c>
      <c r="G518" s="3" t="str">
        <f>IFERROR(__xludf.DUMMYFUNCTION("""COMPUTED_VALUE"""),"https://www.nashp.org/2020-state-reopening-chart/")</f>
        <v>https://www.nashp.org/2020-state-reopening-chart/</v>
      </c>
      <c r="H518" s="1"/>
      <c r="I518" s="1"/>
    </row>
    <row r="519">
      <c r="A519" s="2">
        <f>IFERROR(__xludf.DUMMYFUNCTION("""COMPUTED_VALUE"""),43947.0)</f>
        <v>43947</v>
      </c>
      <c r="B519" s="1" t="str">
        <f>IFERROR(__xludf.DUMMYFUNCTION("""COMPUTED_VALUE"""),"Montana")</f>
        <v>Montana</v>
      </c>
      <c r="C519" s="1" t="str">
        <f>IFERROR(__xludf.DUMMYFUNCTION("""COMPUTED_VALUE"""),"Stay-at-Home Order")</f>
        <v>Stay-at-Home Order</v>
      </c>
      <c r="D519" s="1" t="str">
        <f>IFERROR(__xludf.DUMMYFUNCTION("""COMPUTED_VALUE"""),"End")</f>
        <v>End</v>
      </c>
      <c r="E519" s="1" t="str">
        <f>IFERROR(__xludf.DUMMYFUNCTION("""COMPUTED_VALUE"""),"Original stay-at-home order ends")</f>
        <v>Original stay-at-home order ends</v>
      </c>
      <c r="F519" s="1" t="str">
        <f>IFERROR(__xludf.DUMMYFUNCTION("""COMPUTED_VALUE"""),"National Academy for State Health Policy")</f>
        <v>National Academy for State Health Policy</v>
      </c>
      <c r="G519" s="3" t="str">
        <f>IFERROR(__xludf.DUMMYFUNCTION("""COMPUTED_VALUE"""),"https://www.nashp.org/2020-state-reopening-chart/")</f>
        <v>https://www.nashp.org/2020-state-reopening-chart/</v>
      </c>
      <c r="H519" s="1"/>
      <c r="I519" s="1"/>
    </row>
    <row r="520">
      <c r="A520" s="2">
        <f>IFERROR(__xludf.DUMMYFUNCTION("""COMPUTED_VALUE"""),43947.0)</f>
        <v>43947</v>
      </c>
      <c r="B520" s="1" t="str">
        <f>IFERROR(__xludf.DUMMYFUNCTION("""COMPUTED_VALUE"""),"Montana")</f>
        <v>Montana</v>
      </c>
      <c r="C520" s="1" t="str">
        <f>IFERROR(__xludf.DUMMYFUNCTION("""COMPUTED_VALUE"""),"State Proclamations ")</f>
        <v>State Proclamations </v>
      </c>
      <c r="D520" s="1" t="str">
        <f>IFERROR(__xludf.DUMMYFUNCTION("""COMPUTED_VALUE"""),"Opening")</f>
        <v>Opening</v>
      </c>
      <c r="E520" s="1" t="str">
        <f>IFERROR(__xludf.DUMMYFUNCTION("""COMPUTED_VALUE"""),"Montana has reopened main street and retail businesses at limited capacity as well as restaurants, bars, breweries, and distilleries. Schools were given the option to reopen. Elective medical procedures can resume at the discretion of providers.")</f>
        <v>Montana has reopened main street and retail businesses at limited capacity as well as restaurants, bars, breweries, and distilleries. Schools were given the option to reopen. Elective medical procedures can resume at the discretion of providers.</v>
      </c>
      <c r="F520" s="1" t="str">
        <f>IFERROR(__xludf.DUMMYFUNCTION("""COMPUTED_VALUE"""),"National Academy for State Health Policy")</f>
        <v>National Academy for State Health Policy</v>
      </c>
      <c r="G520" s="3" t="str">
        <f>IFERROR(__xludf.DUMMYFUNCTION("""COMPUTED_VALUE"""),"https://www.nashp.org/2020-state-reopening-chart/")</f>
        <v>https://www.nashp.org/2020-state-reopening-chart/</v>
      </c>
      <c r="H520" s="1"/>
      <c r="I520" s="1"/>
    </row>
    <row r="521">
      <c r="A521" s="2">
        <f>IFERROR(__xludf.DUMMYFUNCTION("""COMPUTED_VALUE"""),43983.0)</f>
        <v>43983</v>
      </c>
      <c r="B521" s="1" t="str">
        <f>IFERROR(__xludf.DUMMYFUNCTION("""COMPUTED_VALUE"""),"Montana")</f>
        <v>Montana</v>
      </c>
      <c r="C521" s="1" t="str">
        <f>IFERROR(__xludf.DUMMYFUNCTION("""COMPUTED_VALUE"""),"State Proclamations ")</f>
        <v>State Proclamations </v>
      </c>
      <c r="D521" s="1" t="str">
        <f>IFERROR(__xludf.DUMMYFUNCTION("""COMPUTED_VALUE"""),"Opening")</f>
        <v>Opening</v>
      </c>
      <c r="E521" s="1" t="str">
        <f>IFERROR(__xludf.DUMMYFUNCTION("""COMPUTED_VALUE"""),"Capacity at restaurants, bars, breweries, and distilleries lifted to 75%. Gyms, indoor group fitness classes, pool, and hot tubs can operate at 75% capacity. Concert halls, bowling alleys, and other places of assembly may operate with reduced capacity.")</f>
        <v>Capacity at restaurants, bars, breweries, and distilleries lifted to 75%. Gyms, indoor group fitness classes, pool, and hot tubs can operate at 75% capacity. Concert halls, bowling alleys, and other places of assembly may operate with reduced capacity.</v>
      </c>
      <c r="F521" s="1" t="str">
        <f>IFERROR(__xludf.DUMMYFUNCTION("""COMPUTED_VALUE"""),"National Academy for State Health Policy")</f>
        <v>National Academy for State Health Policy</v>
      </c>
      <c r="G521" s="3" t="str">
        <f>IFERROR(__xludf.DUMMYFUNCTION("""COMPUTED_VALUE"""),"https://www.nashp.org/2020-state-reopening-chart/")</f>
        <v>https://www.nashp.org/2020-state-reopening-chart/</v>
      </c>
      <c r="H521" s="1"/>
      <c r="I521" s="1"/>
    </row>
    <row r="522">
      <c r="A522" s="2">
        <f>IFERROR(__xludf.DUMMYFUNCTION("""COMPUTED_VALUE"""),44027.0)</f>
        <v>44027</v>
      </c>
      <c r="B522" s="1" t="str">
        <f>IFERROR(__xludf.DUMMYFUNCTION("""COMPUTED_VALUE"""),"Montana")</f>
        <v>Montana</v>
      </c>
      <c r="C522" s="1" t="str">
        <f>IFERROR(__xludf.DUMMYFUNCTION("""COMPUTED_VALUE"""),"Mask Mandate")</f>
        <v>Mask Mandate</v>
      </c>
      <c r="D522" s="1" t="str">
        <f>IFERROR(__xludf.DUMMYFUNCTION("""COMPUTED_VALUE"""),"Start")</f>
        <v>Start</v>
      </c>
      <c r="E522" s="1" t="str">
        <f>IFERROR(__xludf.DUMMYFUNCTION("""COMPUTED_VALUE"""),"Face coverings are now required in certain indoor business settings for counties with four or more active Covid-19 cases, according to a new directive issued by Montana Gov. Steve Bullock (D). Residents attending outdoor gatherings of 50 or more people wh"&amp;"en social distancing isn't possible will also require face coverings.")</f>
        <v>Face coverings are now required in certain indoor business settings for counties with four or more active Covid-19 cases, according to a new directive issued by Montana Gov. Steve Bullock (D). Residents attending outdoor gatherings of 50 or more people when social distancing isn't possible will also require face coverings.</v>
      </c>
      <c r="F522" s="1" t="str">
        <f>IFERROR(__xludf.DUMMYFUNCTION("""COMPUTED_VALUE"""),"CNN")</f>
        <v>CNN</v>
      </c>
      <c r="G522" s="3" t="str">
        <f>IFERROR(__xludf.DUMMYFUNCTION("""COMPUTED_VALUE"""),"https://www.cnn.com/2020/06/19/us/states-face-mask-coronavirus-trnd/index.html")</f>
        <v>https://www.cnn.com/2020/06/19/us/states-face-mask-coronavirus-trnd/index.html</v>
      </c>
      <c r="H522" s="1"/>
      <c r="I522" s="1"/>
    </row>
    <row r="523">
      <c r="A523" s="2">
        <f>IFERROR(__xludf.DUMMYFUNCTION("""COMPUTED_VALUE"""),44155.0)</f>
        <v>44155</v>
      </c>
      <c r="B523" s="1" t="str">
        <f>IFERROR(__xludf.DUMMYFUNCTION("""COMPUTED_VALUE"""),"Montana")</f>
        <v>Montana</v>
      </c>
      <c r="C523" s="1" t="str">
        <f>IFERROR(__xludf.DUMMYFUNCTION("""COMPUTED_VALUE"""),"State Proclamations ")</f>
        <v>State Proclamations </v>
      </c>
      <c r="D523" s="1" t="str">
        <f>IFERROR(__xludf.DUMMYFUNCTION("""COMPUTED_VALUE"""),"Closing")</f>
        <v>Closing</v>
      </c>
      <c r="E523" s="1" t="str">
        <f>IFERROR(__xludf.DUMMYFUNCTION("""COMPUTED_VALUE"""),"Gatherings must be limited to 25 people when social distancing cannot be maintained. The governor instituted a 10 p.m. curfew for bars, restaurants, and casinos and limited capacity in those establishments to 50%.")</f>
        <v>Gatherings must be limited to 25 people when social distancing cannot be maintained. The governor instituted a 10 p.m. curfew for bars, restaurants, and casinos and limited capacity in those establishments to 50%.</v>
      </c>
      <c r="F523" s="1" t="str">
        <f>IFERROR(__xludf.DUMMYFUNCTION("""COMPUTED_VALUE"""),"National Academy for State Health Policy")</f>
        <v>National Academy for State Health Policy</v>
      </c>
      <c r="G523" s="3" t="str">
        <f>IFERROR(__xludf.DUMMYFUNCTION("""COMPUTED_VALUE"""),"https://www.nashp.org/2020-state-reopening-chart/")</f>
        <v>https://www.nashp.org/2020-state-reopening-chart/</v>
      </c>
      <c r="H523" s="1"/>
      <c r="I523" s="1"/>
    </row>
    <row r="524">
      <c r="A524" s="2">
        <f>IFERROR(__xludf.DUMMYFUNCTION("""COMPUTED_VALUE"""),44211.0)</f>
        <v>44211</v>
      </c>
      <c r="B524" s="1" t="str">
        <f>IFERROR(__xludf.DUMMYFUNCTION("""COMPUTED_VALUE"""),"Montana")</f>
        <v>Montana</v>
      </c>
      <c r="C524" s="1" t="str">
        <f>IFERROR(__xludf.DUMMYFUNCTION("""COMPUTED_VALUE"""),"State Proclamations ")</f>
        <v>State Proclamations </v>
      </c>
      <c r="D524" s="1" t="str">
        <f>IFERROR(__xludf.DUMMYFUNCTION("""COMPUTED_VALUE"""),"Opening")</f>
        <v>Opening</v>
      </c>
      <c r="E524" s="1" t="str">
        <f>IFERROR(__xludf.DUMMYFUNCTION("""COMPUTED_VALUE"""),"An order takes effect lifting capacity limits and the 10 pm curfew on restaurants, bars, and casinos. Gov. Greg Gianforte also ended the state’s 25-person gathering limit.")</f>
        <v>An order takes effect lifting capacity limits and the 10 pm curfew on restaurants, bars, and casinos. Gov. Greg Gianforte also ended the state’s 25-person gathering limit.</v>
      </c>
      <c r="F524" s="1" t="str">
        <f>IFERROR(__xludf.DUMMYFUNCTION("""COMPUTED_VALUE"""),"National Academy for State Health Policy")</f>
        <v>National Academy for State Health Policy</v>
      </c>
      <c r="G524" s="3" t="str">
        <f>IFERROR(__xludf.DUMMYFUNCTION("""COMPUTED_VALUE"""),"https://www.nashp.org/2021-covid-19-state-restrictions-re-openings-and-mask-requirements/")</f>
        <v>https://www.nashp.org/2021-covid-19-state-restrictions-re-openings-and-mask-requirements/</v>
      </c>
      <c r="H524" s="1"/>
      <c r="I524" s="1"/>
    </row>
    <row r="525">
      <c r="A525" s="2">
        <f>IFERROR(__xludf.DUMMYFUNCTION("""COMPUTED_VALUE"""),44239.0)</f>
        <v>44239</v>
      </c>
      <c r="B525" s="1" t="str">
        <f>IFERROR(__xludf.DUMMYFUNCTION("""COMPUTED_VALUE"""),"Montana")</f>
        <v>Montana</v>
      </c>
      <c r="C525" s="1" t="str">
        <f>IFERROR(__xludf.DUMMYFUNCTION("""COMPUTED_VALUE"""),"Mask Mandate")</f>
        <v>Mask Mandate</v>
      </c>
      <c r="D525" s="1" t="str">
        <f>IFERROR(__xludf.DUMMYFUNCTION("""COMPUTED_VALUE"""),"End")</f>
        <v>End</v>
      </c>
      <c r="E525" s="1" t="str">
        <f>IFERROR(__xludf.DUMMYFUNCTION("""COMPUTED_VALUE"""),"On Feb. 12, the governor allowed the mask mandate to expire")</f>
        <v>On Feb. 12, the governor allowed the mask mandate to expire</v>
      </c>
      <c r="F525" s="1" t="str">
        <f>IFERROR(__xludf.DUMMYFUNCTION("""COMPUTED_VALUE"""),"National Academy for State Health Policy")</f>
        <v>National Academy for State Health Policy</v>
      </c>
      <c r="G525" s="3" t="str">
        <f>IFERROR(__xludf.DUMMYFUNCTION("""COMPUTED_VALUE"""),"https://www.nashp.org/2021-covid-19-state-restrictions-re-openings-and-mask-requirements/")</f>
        <v>https://www.nashp.org/2021-covid-19-state-restrictions-re-openings-and-mask-requirements/</v>
      </c>
      <c r="H525" s="1"/>
      <c r="I525" s="1"/>
    </row>
    <row r="526">
      <c r="A526" s="2">
        <f>IFERROR(__xludf.DUMMYFUNCTION("""COMPUTED_VALUE"""),44377.0)</f>
        <v>44377</v>
      </c>
      <c r="B526" s="1" t="str">
        <f>IFERROR(__xludf.DUMMYFUNCTION("""COMPUTED_VALUE"""),"Montana")</f>
        <v>Montana</v>
      </c>
      <c r="C526" s="1" t="str">
        <f>IFERROR(__xludf.DUMMYFUNCTION("""COMPUTED_VALUE"""),"State of Emergency")</f>
        <v>State of Emergency</v>
      </c>
      <c r="D526" s="1" t="str">
        <f>IFERROR(__xludf.DUMMYFUNCTION("""COMPUTED_VALUE"""),"End")</f>
        <v>End</v>
      </c>
      <c r="E526" s="1" t="str">
        <f>IFERROR(__xludf.DUMMYFUNCTION("""COMPUTED_VALUE"""),"State of Emergency ended June 30, 2021")</f>
        <v>State of Emergency ended June 30, 2021</v>
      </c>
      <c r="F526" s="1" t="str">
        <f>IFERROR(__xludf.DUMMYFUNCTION("""COMPUTED_VALUE"""),"National Academy for State Health Policy")</f>
        <v>National Academy for State Health Policy</v>
      </c>
      <c r="G526" s="3" t="str">
        <f>IFERROR(__xludf.DUMMYFUNCTION("""COMPUTED_VALUE"""),"https://www.nashp.org/2021-covid-19-state-restrictions-re-openings-and-mask-requirements/")</f>
        <v>https://www.nashp.org/2021-covid-19-state-restrictions-re-openings-and-mask-requirements/</v>
      </c>
      <c r="H526" s="1"/>
      <c r="I526" s="1"/>
    </row>
    <row r="527">
      <c r="A527" s="2">
        <f>IFERROR(__xludf.DUMMYFUNCTION("""COMPUTED_VALUE"""),43903.0)</f>
        <v>43903</v>
      </c>
      <c r="B527" s="1" t="str">
        <f>IFERROR(__xludf.DUMMYFUNCTION("""COMPUTED_VALUE"""),"Nebraska")</f>
        <v>Nebraska</v>
      </c>
      <c r="C527" s="1" t="str">
        <f>IFERROR(__xludf.DUMMYFUNCTION("""COMPUTED_VALUE"""),"State of Emergency")</f>
        <v>State of Emergency</v>
      </c>
      <c r="D527" s="1" t="str">
        <f>IFERROR(__xludf.DUMMYFUNCTION("""COMPUTED_VALUE"""),"Start")</f>
        <v>Start</v>
      </c>
      <c r="E527" s="1" t="str">
        <f>IFERROR(__xludf.DUMMYFUNCTION("""COMPUTED_VALUE"""),"Gov. Pete Ricketts declared a state of emergency on March 13.")</f>
        <v>Gov. Pete Ricketts declared a state of emergency on March 13.</v>
      </c>
      <c r="F527" s="1" t="str">
        <f>IFERROR(__xludf.DUMMYFUNCTION("""COMPUTED_VALUE"""),"Business Insider")</f>
        <v>Business Insider</v>
      </c>
      <c r="G527" s="3" t="str">
        <f>IFERROR(__xludf.DUMMYFUNCTION("""COMPUTED_VALUE"""),"https://www.businessinsider.com/california-washington-state-of-emergency-coronavirus-what-it-means-2020-3#nebraska-35")</f>
        <v>https://www.businessinsider.com/california-washington-state-of-emergency-coronavirus-what-it-means-2020-3#nebraska-35</v>
      </c>
      <c r="H527" s="1"/>
      <c r="I527" s="1"/>
    </row>
    <row r="528">
      <c r="A528" s="2">
        <f>IFERROR(__xludf.DUMMYFUNCTION("""COMPUTED_VALUE"""),43955.0)</f>
        <v>43955</v>
      </c>
      <c r="B528" s="1" t="str">
        <f>IFERROR(__xludf.DUMMYFUNCTION("""COMPUTED_VALUE"""),"Nebraska")</f>
        <v>Nebraska</v>
      </c>
      <c r="C528" s="1" t="str">
        <f>IFERROR(__xludf.DUMMYFUNCTION("""COMPUTED_VALUE"""),"State Proclamations ")</f>
        <v>State Proclamations </v>
      </c>
      <c r="D528" s="1" t="str">
        <f>IFERROR(__xludf.DUMMYFUNCTION("""COMPUTED_VALUE"""),"Opening")</f>
        <v>Opening</v>
      </c>
      <c r="E528" s="1" t="str">
        <f>IFERROR(__xludf.DUMMYFUNCTION("""COMPUTED_VALUE"""),"Nebraska never issued a stay-at-home order and instead closed high-contact businesses. The state has reopened restaurant dining, bars, personal care services, houses of worship, movie theaters, libraries, pools, and gyms. Nonessential medical procedures r"&amp;"esumed May 4.")</f>
        <v>Nebraska never issued a stay-at-home order and instead closed high-contact businesses. The state has reopened restaurant dining, bars, personal care services, houses of worship, movie theaters, libraries, pools, and gyms. Nonessential medical procedures resumed May 4.</v>
      </c>
      <c r="F528" s="1" t="str">
        <f>IFERROR(__xludf.DUMMYFUNCTION("""COMPUTED_VALUE"""),"National Academy for State Health Policy")</f>
        <v>National Academy for State Health Policy</v>
      </c>
      <c r="G528" s="3" t="str">
        <f>IFERROR(__xludf.DUMMYFUNCTION("""COMPUTED_VALUE"""),"https://www.nashp.org/2020-state-reopening-chart/")</f>
        <v>https://www.nashp.org/2020-state-reopening-chart/</v>
      </c>
      <c r="H528" s="1"/>
      <c r="I528" s="1"/>
    </row>
    <row r="529">
      <c r="A529" s="2">
        <f>IFERROR(__xludf.DUMMYFUNCTION("""COMPUTED_VALUE"""),43983.0)</f>
        <v>43983</v>
      </c>
      <c r="B529" s="1" t="str">
        <f>IFERROR(__xludf.DUMMYFUNCTION("""COMPUTED_VALUE"""),"Nebraska")</f>
        <v>Nebraska</v>
      </c>
      <c r="C529" s="1" t="str">
        <f>IFERROR(__xludf.DUMMYFUNCTION("""COMPUTED_VALUE"""),"State Proclamations ")</f>
        <v>State Proclamations </v>
      </c>
      <c r="D529" s="1" t="str">
        <f>IFERROR(__xludf.DUMMYFUNCTION("""COMPUTED_VALUE"""),"Opening")</f>
        <v>Opening</v>
      </c>
      <c r="E529" s="1" t="str">
        <f>IFERROR(__xludf.DUMMYFUNCTION("""COMPUTED_VALUE"""),"Youth baseball and softball teams could begin practice under certain guidelines. Games could resume June 18.")</f>
        <v>Youth baseball and softball teams could begin practice under certain guidelines. Games could resume June 18.</v>
      </c>
      <c r="F529" s="1" t="str">
        <f>IFERROR(__xludf.DUMMYFUNCTION("""COMPUTED_VALUE"""),"National Academy for State Health Policy")</f>
        <v>National Academy for State Health Policy</v>
      </c>
      <c r="G529" s="3" t="str">
        <f>IFERROR(__xludf.DUMMYFUNCTION("""COMPUTED_VALUE"""),"https://www.nashp.org/2020-state-reopening-chart/")</f>
        <v>https://www.nashp.org/2020-state-reopening-chart/</v>
      </c>
      <c r="H529" s="1"/>
      <c r="I529" s="1"/>
    </row>
    <row r="530">
      <c r="A530" s="2">
        <f>IFERROR(__xludf.DUMMYFUNCTION("""COMPUTED_VALUE"""),44004.0)</f>
        <v>44004</v>
      </c>
      <c r="B530" s="1" t="str">
        <f>IFERROR(__xludf.DUMMYFUNCTION("""COMPUTED_VALUE"""),"Nebraska")</f>
        <v>Nebraska</v>
      </c>
      <c r="C530" s="1" t="str">
        <f>IFERROR(__xludf.DUMMYFUNCTION("""COMPUTED_VALUE"""),"State Proclamations ")</f>
        <v>State Proclamations </v>
      </c>
      <c r="D530" s="1" t="str">
        <f>IFERROR(__xludf.DUMMYFUNCTION("""COMPUTED_VALUE"""),"Opening")</f>
        <v>Opening</v>
      </c>
      <c r="E530" s="1" t="str">
        <f>IFERROR(__xludf.DUMMYFUNCTION("""COMPUTED_VALUE"""),"89 of 93 counties entered Phase 3, while the other four counties entered Phase 2. In Phase 3, bars and restaurants can operate at full capacity and gyms, salons and barbershops will be allowed to operate at 75% capacity. Indoor gatherings will be limited "&amp;"to 50% capacity, while outdoor gatherings will be limited to 75% capacity, neither exceeding 10,000 people.")</f>
        <v>89 of 93 counties entered Phase 3, while the other four counties entered Phase 2. In Phase 3, bars and restaurants can operate at full capacity and gyms, salons and barbershops will be allowed to operate at 75% capacity. Indoor gatherings will be limited to 50% capacity, while outdoor gatherings will be limited to 75% capacity, neither exceeding 10,000 people.</v>
      </c>
      <c r="F530" s="1" t="str">
        <f>IFERROR(__xludf.DUMMYFUNCTION("""COMPUTED_VALUE"""),"National Academy for State Health Policy")</f>
        <v>National Academy for State Health Policy</v>
      </c>
      <c r="G530" s="3" t="str">
        <f>IFERROR(__xludf.DUMMYFUNCTION("""COMPUTED_VALUE"""),"https://www.nashp.org/2020-state-reopening-chart/")</f>
        <v>https://www.nashp.org/2020-state-reopening-chart/</v>
      </c>
      <c r="H530" s="1"/>
      <c r="I530" s="1"/>
    </row>
    <row r="531">
      <c r="A531" s="2">
        <f>IFERROR(__xludf.DUMMYFUNCTION("""COMPUTED_VALUE"""),44036.0)</f>
        <v>44036</v>
      </c>
      <c r="B531" s="1" t="str">
        <f>IFERROR(__xludf.DUMMYFUNCTION("""COMPUTED_VALUE"""),"Nebraska")</f>
        <v>Nebraska</v>
      </c>
      <c r="C531" s="1" t="str">
        <f>IFERROR(__xludf.DUMMYFUNCTION("""COMPUTED_VALUE"""),"State Proclamations ")</f>
        <v>State Proclamations </v>
      </c>
      <c r="D531" s="1" t="str">
        <f>IFERROR(__xludf.DUMMYFUNCTION("""COMPUTED_VALUE"""),"Opening")</f>
        <v>Opening</v>
      </c>
      <c r="E531" s="1" t="str">
        <f>IFERROR(__xludf.DUMMYFUNCTION("""COMPUTED_VALUE"""),"1 county health department began transitioning to the fourth phase of reopening, lifting many restrictions on businesses, indoor gatherings can increase capacity to 75%, and outdoor gatherings can be held at 100% capacity.")</f>
        <v>1 county health department began transitioning to the fourth phase of reopening, lifting many restrictions on businesses, indoor gatherings can increase capacity to 75%, and outdoor gatherings can be held at 100% capacity.</v>
      </c>
      <c r="F531" s="1" t="str">
        <f>IFERROR(__xludf.DUMMYFUNCTION("""COMPUTED_VALUE"""),"National Academy for State Health Policy")</f>
        <v>National Academy for State Health Policy</v>
      </c>
      <c r="G531" s="3" t="str">
        <f>IFERROR(__xludf.DUMMYFUNCTION("""COMPUTED_VALUE"""),"https://www.nashp.org/2020-state-reopening-chart/")</f>
        <v>https://www.nashp.org/2020-state-reopening-chart/</v>
      </c>
      <c r="H531" s="1"/>
      <c r="I531" s="1"/>
    </row>
    <row r="532">
      <c r="A532" s="2">
        <f>IFERROR(__xludf.DUMMYFUNCTION("""COMPUTED_VALUE"""),44044.0)</f>
        <v>44044</v>
      </c>
      <c r="B532" s="1" t="str">
        <f>IFERROR(__xludf.DUMMYFUNCTION("""COMPUTED_VALUE"""),"Nebraska")</f>
        <v>Nebraska</v>
      </c>
      <c r="C532" s="1" t="str">
        <f>IFERROR(__xludf.DUMMYFUNCTION("""COMPUTED_VALUE"""),"State Proclamations ")</f>
        <v>State Proclamations </v>
      </c>
      <c r="D532" s="1" t="str">
        <f>IFERROR(__xludf.DUMMYFUNCTION("""COMPUTED_VALUE"""),"Opening")</f>
        <v>Opening</v>
      </c>
      <c r="E532" s="1" t="str">
        <f>IFERROR(__xludf.DUMMYFUNCTION("""COMPUTED_VALUE"""),"More counties moved on to Phase 4. The rest of the state remains in Phase 3 until at least Aug. 31, 2020.")</f>
        <v>More counties moved on to Phase 4. The rest of the state remains in Phase 3 until at least Aug. 31, 2020.</v>
      </c>
      <c r="F532" s="1" t="str">
        <f>IFERROR(__xludf.DUMMYFUNCTION("""COMPUTED_VALUE"""),"National Academy for State Health Policy")</f>
        <v>National Academy for State Health Policy</v>
      </c>
      <c r="G532" s="3" t="str">
        <f>IFERROR(__xludf.DUMMYFUNCTION("""COMPUTED_VALUE"""),"https://www.nashp.org/2020-state-reopening-chart/")</f>
        <v>https://www.nashp.org/2020-state-reopening-chart/</v>
      </c>
      <c r="H532" s="1"/>
      <c r="I532" s="1"/>
    </row>
    <row r="533">
      <c r="A533" s="2">
        <f>IFERROR(__xludf.DUMMYFUNCTION("""COMPUTED_VALUE"""),44088.0)</f>
        <v>44088</v>
      </c>
      <c r="B533" s="1" t="str">
        <f>IFERROR(__xludf.DUMMYFUNCTION("""COMPUTED_VALUE"""),"Nebraska")</f>
        <v>Nebraska</v>
      </c>
      <c r="C533" s="1" t="str">
        <f>IFERROR(__xludf.DUMMYFUNCTION("""COMPUTED_VALUE"""),"State Proclamations ")</f>
        <v>State Proclamations </v>
      </c>
      <c r="D533" s="1" t="str">
        <f>IFERROR(__xludf.DUMMYFUNCTION("""COMPUTED_VALUE"""),"Opening")</f>
        <v>Opening</v>
      </c>
      <c r="E533" s="1" t="str">
        <f>IFERROR(__xludf.DUMMYFUNCTION("""COMPUTED_VALUE"""),"Most of the state entered Phase 4, which allows outdoor venues to return to 100% capacity and indoor venues to increase capacity to 75%.")</f>
        <v>Most of the state entered Phase 4, which allows outdoor venues to return to 100% capacity and indoor venues to increase capacity to 75%.</v>
      </c>
      <c r="F533" s="1" t="str">
        <f>IFERROR(__xludf.DUMMYFUNCTION("""COMPUTED_VALUE"""),"National Academy for State Health Policy")</f>
        <v>National Academy for State Health Policy</v>
      </c>
      <c r="G533" s="3" t="str">
        <f>IFERROR(__xludf.DUMMYFUNCTION("""COMPUTED_VALUE"""),"https://www.nashp.org/2020-state-reopening-chart/")</f>
        <v>https://www.nashp.org/2020-state-reopening-chart/</v>
      </c>
      <c r="H533" s="1"/>
      <c r="I533" s="1"/>
    </row>
    <row r="534">
      <c r="A534" s="2">
        <f>IFERROR(__xludf.DUMMYFUNCTION("""COMPUTED_VALUE"""),44125.0)</f>
        <v>44125</v>
      </c>
      <c r="B534" s="1" t="str">
        <f>IFERROR(__xludf.DUMMYFUNCTION("""COMPUTED_VALUE"""),"Nebraska")</f>
        <v>Nebraska</v>
      </c>
      <c r="C534" s="1" t="str">
        <f>IFERROR(__xludf.DUMMYFUNCTION("""COMPUTED_VALUE"""),"State Proclamations ")</f>
        <v>State Proclamations </v>
      </c>
      <c r="D534" s="1" t="str">
        <f>IFERROR(__xludf.DUMMYFUNCTION("""COMPUTED_VALUE"""),"Closing")</f>
        <v>Closing</v>
      </c>
      <c r="E534" s="1" t="str">
        <f>IFERROR(__xludf.DUMMYFUNCTION("""COMPUTED_VALUE"""),"The indoor gatherings limits are reduced from 75% capacity to 50%, and there is now a requirement that restaurants and bar patrons remain seated unless ordering, going to the bathroom, or playing a game. Hospitals performing elective surgeries must reserv"&amp;"e at least 10% of their beds for COVID-19 patients.")</f>
        <v>The indoor gatherings limits are reduced from 75% capacity to 50%, and there is now a requirement that restaurants and bar patrons remain seated unless ordering, going to the bathroom, or playing a game. Hospitals performing elective surgeries must reserve at least 10% of their beds for COVID-19 patients.</v>
      </c>
      <c r="F534" s="1" t="str">
        <f>IFERROR(__xludf.DUMMYFUNCTION("""COMPUTED_VALUE"""),"National Academy for State Health Policy")</f>
        <v>National Academy for State Health Policy</v>
      </c>
      <c r="G534" s="3" t="str">
        <f>IFERROR(__xludf.DUMMYFUNCTION("""COMPUTED_VALUE"""),"https://www.nashp.org/2020-state-reopening-chart/")</f>
        <v>https://www.nashp.org/2020-state-reopening-chart/</v>
      </c>
      <c r="H534" s="1"/>
      <c r="I534" s="1"/>
    </row>
    <row r="535">
      <c r="A535" s="2">
        <f>IFERROR(__xludf.DUMMYFUNCTION("""COMPUTED_VALUE"""),44146.0)</f>
        <v>44146</v>
      </c>
      <c r="B535" s="1" t="str">
        <f>IFERROR(__xludf.DUMMYFUNCTION("""COMPUTED_VALUE"""),"Nebraska")</f>
        <v>Nebraska</v>
      </c>
      <c r="C535" s="1" t="str">
        <f>IFERROR(__xludf.DUMMYFUNCTION("""COMPUTED_VALUE"""),"State Proclamations ")</f>
        <v>State Proclamations </v>
      </c>
      <c r="D535" s="1" t="str">
        <f>IFERROR(__xludf.DUMMYFUNCTION("""COMPUTED_VALUE"""),"Closing")</f>
        <v>Closing</v>
      </c>
      <c r="E535" s="1" t="str">
        <f>IFERROR(__xludf.DUMMYFUNCTION("""COMPUTED_VALUE"""),"Indoor gathering limits are further reduced to 25% of capacity; people in bars, gyms, and churches must be kept six feet apart and groups at restaurants are limited to eight people per table.")</f>
        <v>Indoor gathering limits are further reduced to 25% of capacity; people in bars, gyms, and churches must be kept six feet apart and groups at restaurants are limited to eight people per table.</v>
      </c>
      <c r="F535" s="1" t="str">
        <f>IFERROR(__xludf.DUMMYFUNCTION("""COMPUTED_VALUE"""),"National Academy for State Health Policy")</f>
        <v>National Academy for State Health Policy</v>
      </c>
      <c r="G535" s="3" t="str">
        <f>IFERROR(__xludf.DUMMYFUNCTION("""COMPUTED_VALUE"""),"https://www.nashp.org/2020-state-reopening-chart/")</f>
        <v>https://www.nashp.org/2020-state-reopening-chart/</v>
      </c>
      <c r="H535" s="1"/>
      <c r="I535" s="1"/>
    </row>
    <row r="536">
      <c r="A536" s="2">
        <f>IFERROR(__xludf.DUMMYFUNCTION("""COMPUTED_VALUE"""),44165.0)</f>
        <v>44165</v>
      </c>
      <c r="B536" s="1" t="str">
        <f>IFERROR(__xludf.DUMMYFUNCTION("""COMPUTED_VALUE"""),"Nebraska")</f>
        <v>Nebraska</v>
      </c>
      <c r="C536" s="1" t="str">
        <f>IFERROR(__xludf.DUMMYFUNCTION("""COMPUTED_VALUE"""),"State Proclamations ")</f>
        <v>State Proclamations </v>
      </c>
      <c r="D536" s="1" t="str">
        <f>IFERROR(__xludf.DUMMYFUNCTION("""COMPUTED_VALUE"""),"Closing")</f>
        <v>Closing</v>
      </c>
      <c r="E536" s="1" t="str">
        <f>IFERROR(__xludf.DUMMYFUNCTION("""COMPUTED_VALUE"""),"The governor extended restrictions issued earlier in the month.")</f>
        <v>The governor extended restrictions issued earlier in the month.</v>
      </c>
      <c r="F536" s="1" t="str">
        <f>IFERROR(__xludf.DUMMYFUNCTION("""COMPUTED_VALUE"""),"National Academy for State Health Policy")</f>
        <v>National Academy for State Health Policy</v>
      </c>
      <c r="G536" s="3" t="str">
        <f>IFERROR(__xludf.DUMMYFUNCTION("""COMPUTED_VALUE"""),"https://www.nashp.org/2020-state-reopening-chart/")</f>
        <v>https://www.nashp.org/2020-state-reopening-chart/</v>
      </c>
      <c r="H536" s="1"/>
      <c r="I536" s="1"/>
    </row>
    <row r="537">
      <c r="A537" s="2">
        <f>IFERROR(__xludf.DUMMYFUNCTION("""COMPUTED_VALUE"""),44176.0)</f>
        <v>44176</v>
      </c>
      <c r="B537" s="1" t="str">
        <f>IFERROR(__xludf.DUMMYFUNCTION("""COMPUTED_VALUE"""),"Nebraska")</f>
        <v>Nebraska</v>
      </c>
      <c r="C537" s="1" t="str">
        <f>IFERROR(__xludf.DUMMYFUNCTION("""COMPUTED_VALUE"""),"State Proclamations ")</f>
        <v>State Proclamations </v>
      </c>
      <c r="D537" s="1" t="str">
        <f>IFERROR(__xludf.DUMMYFUNCTION("""COMPUTED_VALUE"""),"Opening")</f>
        <v>Opening</v>
      </c>
      <c r="E537" s="1" t="str">
        <f>IFERROR(__xludf.DUMMYFUNCTION("""COMPUTED_VALUE"""),"The governor eased certain restrictions after the hospitalization rate started to decrease. Indoor gatherings could increase capacity to 50%.")</f>
        <v>The governor eased certain restrictions after the hospitalization rate started to decrease. Indoor gatherings could increase capacity to 50%.</v>
      </c>
      <c r="F537" s="1" t="str">
        <f>IFERROR(__xludf.DUMMYFUNCTION("""COMPUTED_VALUE"""),"National Academy for State Health Policy")</f>
        <v>National Academy for State Health Policy</v>
      </c>
      <c r="G537" s="3" t="str">
        <f>IFERROR(__xludf.DUMMYFUNCTION("""COMPUTED_VALUE"""),"https://www.nashp.org/2020-state-reopening-chart/")</f>
        <v>https://www.nashp.org/2020-state-reopening-chart/</v>
      </c>
      <c r="H537" s="1"/>
      <c r="I537" s="1"/>
    </row>
    <row r="538">
      <c r="A538" s="2">
        <f>IFERROR(__xludf.DUMMYFUNCTION("""COMPUTED_VALUE"""),44226.0)</f>
        <v>44226</v>
      </c>
      <c r="B538" s="1" t="str">
        <f>IFERROR(__xludf.DUMMYFUNCTION("""COMPUTED_VALUE"""),"Nebraska")</f>
        <v>Nebraska</v>
      </c>
      <c r="C538" s="1" t="str">
        <f>IFERROR(__xludf.DUMMYFUNCTION("""COMPUTED_VALUE"""),"State Proclamations ")</f>
        <v>State Proclamations </v>
      </c>
      <c r="D538" s="1" t="str">
        <f>IFERROR(__xludf.DUMMYFUNCTION("""COMPUTED_VALUE"""),"Opening")</f>
        <v>Opening</v>
      </c>
      <c r="E538" s="1" t="str">
        <f>IFERROR(__xludf.DUMMYFUNCTION("""COMPUTED_VALUE"""),"The state moved from the “blue” to the “green” phase of reopening, effective Saturday, Jan. 30. The green phase removes capacity limits for indoor events with fewer than 500 people. Events with more than 500 people will require approval from the local hea"&amp;"lth department.")</f>
        <v>The state moved from the “blue” to the “green” phase of reopening, effective Saturday, Jan. 30. The green phase removes capacity limits for indoor events with fewer than 500 people. Events with more than 500 people will require approval from the local health department.</v>
      </c>
      <c r="F538" s="1" t="str">
        <f>IFERROR(__xludf.DUMMYFUNCTION("""COMPUTED_VALUE"""),"National Academy for State Health Policy")</f>
        <v>National Academy for State Health Policy</v>
      </c>
      <c r="G538" s="3" t="str">
        <f>IFERROR(__xludf.DUMMYFUNCTION("""COMPUTED_VALUE"""),"https://www.nashp.org/2021-covid-19-state-restrictions-re-openings-and-mask-requirements/")</f>
        <v>https://www.nashp.org/2021-covid-19-state-restrictions-re-openings-and-mask-requirements/</v>
      </c>
      <c r="H538" s="1"/>
      <c r="I538" s="1"/>
    </row>
    <row r="539">
      <c r="A539" s="2">
        <f>IFERROR(__xludf.DUMMYFUNCTION("""COMPUTED_VALUE"""),44340.0)</f>
        <v>44340</v>
      </c>
      <c r="B539" s="1" t="str">
        <f>IFERROR(__xludf.DUMMYFUNCTION("""COMPUTED_VALUE"""),"Nebraska")</f>
        <v>Nebraska</v>
      </c>
      <c r="C539" s="1" t="str">
        <f>IFERROR(__xludf.DUMMYFUNCTION("""COMPUTED_VALUE"""),"State Proclamations ")</f>
        <v>State Proclamations </v>
      </c>
      <c r="D539" s="1" t="str">
        <f>IFERROR(__xludf.DUMMYFUNCTION("""COMPUTED_VALUE"""),"Opening")</f>
        <v>Opening</v>
      </c>
      <c r="E539" s="1" t="str">
        <f>IFERROR(__xludf.DUMMYFUNCTION("""COMPUTED_VALUE"""),"Gov. Pete Ricketts ended all COVID-19 health orders.")</f>
        <v>Gov. Pete Ricketts ended all COVID-19 health orders.</v>
      </c>
      <c r="F539" s="1" t="str">
        <f>IFERROR(__xludf.DUMMYFUNCTION("""COMPUTED_VALUE"""),"National Academy for State Health Policy")</f>
        <v>National Academy for State Health Policy</v>
      </c>
      <c r="G539" s="3" t="str">
        <f>IFERROR(__xludf.DUMMYFUNCTION("""COMPUTED_VALUE"""),"https://www.nashp.org/2021-covid-19-state-restrictions-re-openings-and-mask-requirements/")</f>
        <v>https://www.nashp.org/2021-covid-19-state-restrictions-re-openings-and-mask-requirements/</v>
      </c>
      <c r="H539" s="1"/>
      <c r="I539" s="1"/>
    </row>
    <row r="540">
      <c r="A540" s="2">
        <f>IFERROR(__xludf.DUMMYFUNCTION("""COMPUTED_VALUE"""),44377.0)</f>
        <v>44377</v>
      </c>
      <c r="B540" s="1" t="str">
        <f>IFERROR(__xludf.DUMMYFUNCTION("""COMPUTED_VALUE"""),"Nebraska")</f>
        <v>Nebraska</v>
      </c>
      <c r="C540" s="1" t="str">
        <f>IFERROR(__xludf.DUMMYFUNCTION("""COMPUTED_VALUE"""),"State of Emergency")</f>
        <v>State of Emergency</v>
      </c>
      <c r="D540" s="1" t="str">
        <f>IFERROR(__xludf.DUMMYFUNCTION("""COMPUTED_VALUE"""),"End")</f>
        <v>End</v>
      </c>
      <c r="E540" s="1" t="str">
        <f>IFERROR(__xludf.DUMMYFUNCTION("""COMPUTED_VALUE"""),"State of Emergency ended June 30, 2021")</f>
        <v>State of Emergency ended June 30, 2021</v>
      </c>
      <c r="F540" s="1" t="str">
        <f>IFERROR(__xludf.DUMMYFUNCTION("""COMPUTED_VALUE"""),"National Academy for State Health Policy")</f>
        <v>National Academy for State Health Policy</v>
      </c>
      <c r="G540" s="3" t="str">
        <f>IFERROR(__xludf.DUMMYFUNCTION("""COMPUTED_VALUE"""),"https://www.nashp.org/2021-covid-19-state-restrictions-re-openings-and-mask-requirements/")</f>
        <v>https://www.nashp.org/2021-covid-19-state-restrictions-re-openings-and-mask-requirements/</v>
      </c>
      <c r="H540" s="1"/>
      <c r="I540" s="1"/>
    </row>
    <row r="541">
      <c r="A541" s="2">
        <f>IFERROR(__xludf.DUMMYFUNCTION("""COMPUTED_VALUE"""),43902.0)</f>
        <v>43902</v>
      </c>
      <c r="B541" s="1" t="str">
        <f>IFERROR(__xludf.DUMMYFUNCTION("""COMPUTED_VALUE"""),"Nevada")</f>
        <v>Nevada</v>
      </c>
      <c r="C541" s="1" t="str">
        <f>IFERROR(__xludf.DUMMYFUNCTION("""COMPUTED_VALUE"""),"State of Emergency")</f>
        <v>State of Emergency</v>
      </c>
      <c r="D541" s="1" t="str">
        <f>IFERROR(__xludf.DUMMYFUNCTION("""COMPUTED_VALUE"""),"Start")</f>
        <v>Start</v>
      </c>
      <c r="E541" s="1" t="str">
        <f>IFERROR(__xludf.DUMMYFUNCTION("""COMPUTED_VALUE"""),"Gov. Steve Sisolak issued a state of emergency on March 12.")</f>
        <v>Gov. Steve Sisolak issued a state of emergency on March 12.</v>
      </c>
      <c r="F541" s="1" t="str">
        <f>IFERROR(__xludf.DUMMYFUNCTION("""COMPUTED_VALUE"""),"Business Insider")</f>
        <v>Business Insider</v>
      </c>
      <c r="G541" s="3" t="str">
        <f>IFERROR(__xludf.DUMMYFUNCTION("""COMPUTED_VALUE"""),"https://www.businessinsider.com/california-washington-state-of-emergency-coronavirus-what-it-means-2020-3#nevada-25")</f>
        <v>https://www.businessinsider.com/california-washington-state-of-emergency-coronavirus-what-it-means-2020-3#nevada-25</v>
      </c>
      <c r="H541" s="1"/>
      <c r="I541" s="1"/>
    </row>
    <row r="542">
      <c r="A542" s="2">
        <f>IFERROR(__xludf.DUMMYFUNCTION("""COMPUTED_VALUE"""),43923.0)</f>
        <v>43923</v>
      </c>
      <c r="B542" s="1" t="str">
        <f>IFERROR(__xludf.DUMMYFUNCTION("""COMPUTED_VALUE"""),"Nevada")</f>
        <v>Nevada</v>
      </c>
      <c r="C542" s="1" t="str">
        <f>IFERROR(__xludf.DUMMYFUNCTION("""COMPUTED_VALUE"""),"Stay-at-Home Order")</f>
        <v>Stay-at-Home Order</v>
      </c>
      <c r="D542" s="1" t="str">
        <f>IFERROR(__xludf.DUMMYFUNCTION("""COMPUTED_VALUE"""),"Start")</f>
        <v>Start</v>
      </c>
      <c r="E542" s="1" t="str">
        <f>IFERROR(__xludf.DUMMYFUNCTION("""COMPUTED_VALUE"""),"Original stay-at-home order begins")</f>
        <v>Original stay-at-home order begins</v>
      </c>
      <c r="F542" s="1" t="str">
        <f>IFERROR(__xludf.DUMMYFUNCTION("""COMPUTED_VALUE"""),"National Academy for State Health Policy")</f>
        <v>National Academy for State Health Policy</v>
      </c>
      <c r="G542" s="3" t="str">
        <f>IFERROR(__xludf.DUMMYFUNCTION("""COMPUTED_VALUE"""),"https://www.nashp.org/2020-state-reopening-chart/")</f>
        <v>https://www.nashp.org/2020-state-reopening-chart/</v>
      </c>
      <c r="H542" s="1"/>
      <c r="I542" s="1"/>
    </row>
    <row r="543">
      <c r="A543" s="2">
        <f>IFERROR(__xludf.DUMMYFUNCTION("""COMPUTED_VALUE"""),43949.0)</f>
        <v>43949</v>
      </c>
      <c r="B543" s="1" t="str">
        <f>IFERROR(__xludf.DUMMYFUNCTION("""COMPUTED_VALUE"""),"Nevada")</f>
        <v>Nevada</v>
      </c>
      <c r="C543" s="1" t="str">
        <f>IFERROR(__xludf.DUMMYFUNCTION("""COMPUTED_VALUE"""),"State Proclamations ")</f>
        <v>State Proclamations </v>
      </c>
      <c r="D543" s="1" t="str">
        <f>IFERROR(__xludf.DUMMYFUNCTION("""COMPUTED_VALUE"""),"Opening")</f>
        <v>Opening</v>
      </c>
      <c r="E543" s="1" t="str">
        <f>IFERROR(__xludf.DUMMYFUNCTION("""COMPUTED_VALUE"""),"Nevada has reopened retail stores, malls, restaurants, bars, personal care services, houses of worship, movie theaters, bowling alleys, gyms, and pools. Nonessential medical procedures resumed April 28.")</f>
        <v>Nevada has reopened retail stores, malls, restaurants, bars, personal care services, houses of worship, movie theaters, bowling alleys, gyms, and pools. Nonessential medical procedures resumed April 28.</v>
      </c>
      <c r="F543" s="1" t="str">
        <f>IFERROR(__xludf.DUMMYFUNCTION("""COMPUTED_VALUE"""),"National Academy for State Health Policy")</f>
        <v>National Academy for State Health Policy</v>
      </c>
      <c r="G543" s="3" t="str">
        <f>IFERROR(__xludf.DUMMYFUNCTION("""COMPUTED_VALUE"""),"https://www.nashp.org/2020-state-reopening-chart/")</f>
        <v>https://www.nashp.org/2020-state-reopening-chart/</v>
      </c>
      <c r="H543" s="1"/>
      <c r="I543" s="1"/>
    </row>
    <row r="544">
      <c r="A544" s="2">
        <f>IFERROR(__xludf.DUMMYFUNCTION("""COMPUTED_VALUE"""),43960.0)</f>
        <v>43960</v>
      </c>
      <c r="B544" s="1" t="str">
        <f>IFERROR(__xludf.DUMMYFUNCTION("""COMPUTED_VALUE"""),"Nevada")</f>
        <v>Nevada</v>
      </c>
      <c r="C544" s="1" t="str">
        <f>IFERROR(__xludf.DUMMYFUNCTION("""COMPUTED_VALUE"""),"Stay-at-Home Order")</f>
        <v>Stay-at-Home Order</v>
      </c>
      <c r="D544" s="1" t="str">
        <f>IFERROR(__xludf.DUMMYFUNCTION("""COMPUTED_VALUE"""),"End")</f>
        <v>End</v>
      </c>
      <c r="E544" s="1" t="str">
        <f>IFERROR(__xludf.DUMMYFUNCTION("""COMPUTED_VALUE"""),"Original stay-at-home order ends")</f>
        <v>Original stay-at-home order ends</v>
      </c>
      <c r="F544" s="1" t="str">
        <f>IFERROR(__xludf.DUMMYFUNCTION("""COMPUTED_VALUE"""),"National Academy for State Health Policy")</f>
        <v>National Academy for State Health Policy</v>
      </c>
      <c r="G544" s="3" t="str">
        <f>IFERROR(__xludf.DUMMYFUNCTION("""COMPUTED_VALUE"""),"https://www.nashp.org/2020-state-reopening-chart/")</f>
        <v>https://www.nashp.org/2020-state-reopening-chart/</v>
      </c>
      <c r="H544" s="1"/>
      <c r="I544" s="1"/>
    </row>
    <row r="545">
      <c r="A545" s="2">
        <f>IFERROR(__xludf.DUMMYFUNCTION("""COMPUTED_VALUE"""),43986.0)</f>
        <v>43986</v>
      </c>
      <c r="B545" s="1" t="str">
        <f>IFERROR(__xludf.DUMMYFUNCTION("""COMPUTED_VALUE"""),"Nevada")</f>
        <v>Nevada</v>
      </c>
      <c r="C545" s="1" t="str">
        <f>IFERROR(__xludf.DUMMYFUNCTION("""COMPUTED_VALUE"""),"State Proclamations ")</f>
        <v>State Proclamations </v>
      </c>
      <c r="D545" s="1" t="str">
        <f>IFERROR(__xludf.DUMMYFUNCTION("""COMPUTED_VALUE"""),"Opening")</f>
        <v>Opening</v>
      </c>
      <c r="E545" s="1" t="str">
        <f>IFERROR(__xludf.DUMMYFUNCTION("""COMPUTED_VALUE"""),"Casinos and gaming resumed.")</f>
        <v>Casinos and gaming resumed.</v>
      </c>
      <c r="F545" s="1" t="str">
        <f>IFERROR(__xludf.DUMMYFUNCTION("""COMPUTED_VALUE"""),"National Academy for State Health Policy")</f>
        <v>National Academy for State Health Policy</v>
      </c>
      <c r="G545" s="3" t="str">
        <f>IFERROR(__xludf.DUMMYFUNCTION("""COMPUTED_VALUE"""),"https://www.nashp.org/2020-state-reopening-chart/")</f>
        <v>https://www.nashp.org/2020-state-reopening-chart/</v>
      </c>
      <c r="H545" s="1"/>
      <c r="I545" s="1"/>
    </row>
    <row r="546">
      <c r="A546" s="2">
        <f>IFERROR(__xludf.DUMMYFUNCTION("""COMPUTED_VALUE"""),43998.0)</f>
        <v>43998</v>
      </c>
      <c r="B546" s="1" t="str">
        <f>IFERROR(__xludf.DUMMYFUNCTION("""COMPUTED_VALUE"""),"Nevada")</f>
        <v>Nevada</v>
      </c>
      <c r="C546" s="1" t="str">
        <f>IFERROR(__xludf.DUMMYFUNCTION("""COMPUTED_VALUE"""),"State Proclamations ")</f>
        <v>State Proclamations </v>
      </c>
      <c r="D546" s="1" t="str">
        <f>IFERROR(__xludf.DUMMYFUNCTION("""COMPUTED_VALUE"""),"Closing")</f>
        <v>Closing</v>
      </c>
      <c r="E546" s="1" t="str">
        <f>IFERROR(__xludf.DUMMYFUNCTION("""COMPUTED_VALUE"""),"Due to an increase in infections, the governor said the state will not move into the next phase of reopening.")</f>
        <v>Due to an increase in infections, the governor said the state will not move into the next phase of reopening.</v>
      </c>
      <c r="F546" s="1" t="str">
        <f>IFERROR(__xludf.DUMMYFUNCTION("""COMPUTED_VALUE"""),"National Academy for State Health Policy")</f>
        <v>National Academy for State Health Policy</v>
      </c>
      <c r="G546" s="3" t="str">
        <f>IFERROR(__xludf.DUMMYFUNCTION("""COMPUTED_VALUE"""),"https://www.nashp.org/2020-state-reopening-chart/")</f>
        <v>https://www.nashp.org/2020-state-reopening-chart/</v>
      </c>
      <c r="H546" s="1"/>
      <c r="I546" s="1"/>
    </row>
    <row r="547">
      <c r="A547" s="2">
        <f>IFERROR(__xludf.DUMMYFUNCTION("""COMPUTED_VALUE"""),44006.0)</f>
        <v>44006</v>
      </c>
      <c r="B547" s="1" t="str">
        <f>IFERROR(__xludf.DUMMYFUNCTION("""COMPUTED_VALUE"""),"Nevada")</f>
        <v>Nevada</v>
      </c>
      <c r="C547" s="1" t="str">
        <f>IFERROR(__xludf.DUMMYFUNCTION("""COMPUTED_VALUE"""),"Mask Mandate")</f>
        <v>Mask Mandate</v>
      </c>
      <c r="D547" s="1" t="str">
        <f>IFERROR(__xludf.DUMMYFUNCTION("""COMPUTED_VALUE"""),"Start")</f>
        <v>Start</v>
      </c>
      <c r="E547" s="1" t="str">
        <f>IFERROR(__xludf.DUMMYFUNCTION("""COMPUTED_VALUE"""),"Nevada requires anyone in any public space to wear a mask. Nevada Gov. Steve Sisolak's office said this includes while using public transportation, in public facing work environments, while patronizing businesses, or interacting with others in any general"&amp;"ly publicly accessible space.")</f>
        <v>Nevada requires anyone in any public space to wear a mask. Nevada Gov. Steve Sisolak's office said this includes while using public transportation, in public facing work environments, while patronizing businesses, or interacting with others in any generally publicly accessible space.</v>
      </c>
      <c r="F547" s="1" t="str">
        <f>IFERROR(__xludf.DUMMYFUNCTION("""COMPUTED_VALUE"""),"CNN")</f>
        <v>CNN</v>
      </c>
      <c r="G547" s="3" t="str">
        <f>IFERROR(__xludf.DUMMYFUNCTION("""COMPUTED_VALUE"""),"https://www.cnn.com/2020/06/19/us/states-face-mask-coronavirus-trnd/index.html")</f>
        <v>https://www.cnn.com/2020/06/19/us/states-face-mask-coronavirus-trnd/index.html</v>
      </c>
      <c r="H547" s="1"/>
      <c r="I547" s="1"/>
    </row>
    <row r="548">
      <c r="A548" s="2">
        <f>IFERROR(__xludf.DUMMYFUNCTION("""COMPUTED_VALUE"""),44092.0)</f>
        <v>44092</v>
      </c>
      <c r="B548" s="1" t="str">
        <f>IFERROR(__xludf.DUMMYFUNCTION("""COMPUTED_VALUE"""),"Nevada")</f>
        <v>Nevada</v>
      </c>
      <c r="C548" s="1" t="str">
        <f>IFERROR(__xludf.DUMMYFUNCTION("""COMPUTED_VALUE"""),"State Proclamations ")</f>
        <v>State Proclamations </v>
      </c>
      <c r="D548" s="1" t="str">
        <f>IFERROR(__xludf.DUMMYFUNCTION("""COMPUTED_VALUE"""),"Opening")</f>
        <v>Opening</v>
      </c>
      <c r="E548" s="1" t="str">
        <f>IFERROR(__xludf.DUMMYFUNCTION("""COMPUTED_VALUE"""),"Bars in Reno were allowed to reopen.")</f>
        <v>Bars in Reno were allowed to reopen.</v>
      </c>
      <c r="F548" s="1" t="str">
        <f>IFERROR(__xludf.DUMMYFUNCTION("""COMPUTED_VALUE"""),"National Academy for State Health Policy")</f>
        <v>National Academy for State Health Policy</v>
      </c>
      <c r="G548" s="3" t="str">
        <f>IFERROR(__xludf.DUMMYFUNCTION("""COMPUTED_VALUE"""),"https://www.nashp.org/2020-state-reopening-chart/")</f>
        <v>https://www.nashp.org/2020-state-reopening-chart/</v>
      </c>
      <c r="H548" s="1"/>
      <c r="I548" s="1"/>
    </row>
    <row r="549">
      <c r="A549" s="2">
        <f>IFERROR(__xludf.DUMMYFUNCTION("""COMPUTED_VALUE"""),44094.0)</f>
        <v>44094</v>
      </c>
      <c r="B549" s="1" t="str">
        <f>IFERROR(__xludf.DUMMYFUNCTION("""COMPUTED_VALUE"""),"Nevada")</f>
        <v>Nevada</v>
      </c>
      <c r="C549" s="1" t="str">
        <f>IFERROR(__xludf.DUMMYFUNCTION("""COMPUTED_VALUE"""),"State Proclamations ")</f>
        <v>State Proclamations </v>
      </c>
      <c r="D549" s="1" t="str">
        <f>IFERROR(__xludf.DUMMYFUNCTION("""COMPUTED_VALUE"""),"Opening")</f>
        <v>Opening</v>
      </c>
      <c r="E549" s="1" t="str">
        <f>IFERROR(__xludf.DUMMYFUNCTION("""COMPUTED_VALUE"""),"Bars in Las Vegas were allowed to reopen.")</f>
        <v>Bars in Las Vegas were allowed to reopen.</v>
      </c>
      <c r="F549" s="1" t="str">
        <f>IFERROR(__xludf.DUMMYFUNCTION("""COMPUTED_VALUE"""),"National Academy for State Health Policy")</f>
        <v>National Academy for State Health Policy</v>
      </c>
      <c r="G549" s="3" t="str">
        <f>IFERROR(__xludf.DUMMYFUNCTION("""COMPUTED_VALUE"""),"https://www.nashp.org/2020-state-reopening-chart/")</f>
        <v>https://www.nashp.org/2020-state-reopening-chart/</v>
      </c>
      <c r="H549" s="1"/>
      <c r="I549" s="1"/>
    </row>
    <row r="550">
      <c r="A550" s="2">
        <f>IFERROR(__xludf.DUMMYFUNCTION("""COMPUTED_VALUE"""),44105.0)</f>
        <v>44105</v>
      </c>
      <c r="B550" s="1" t="str">
        <f>IFERROR(__xludf.DUMMYFUNCTION("""COMPUTED_VALUE"""),"Nevada")</f>
        <v>Nevada</v>
      </c>
      <c r="C550" s="1" t="str">
        <f>IFERROR(__xludf.DUMMYFUNCTION("""COMPUTED_VALUE"""),"State Proclamations ")</f>
        <v>State Proclamations </v>
      </c>
      <c r="D550" s="1" t="str">
        <f>IFERROR(__xludf.DUMMYFUNCTION("""COMPUTED_VALUE"""),"Opening")</f>
        <v>Opening</v>
      </c>
      <c r="E550" s="1" t="str">
        <f>IFERROR(__xludf.DUMMYFUNCTION("""COMPUTED_VALUE"""),"The gathering limit raised from 50 to 250 people, and sports venues with more than 2,500 seats will be permitted to reopen at 10% capacity.")</f>
        <v>The gathering limit raised from 50 to 250 people, and sports venues with more than 2,500 seats will be permitted to reopen at 10% capacity.</v>
      </c>
      <c r="F550" s="1" t="str">
        <f>IFERROR(__xludf.DUMMYFUNCTION("""COMPUTED_VALUE"""),"National Academy for State Health Policy")</f>
        <v>National Academy for State Health Policy</v>
      </c>
      <c r="G550" s="3" t="str">
        <f>IFERROR(__xludf.DUMMYFUNCTION("""COMPUTED_VALUE"""),"https://www.nashp.org/2020-state-reopening-chart/")</f>
        <v>https://www.nashp.org/2020-state-reopening-chart/</v>
      </c>
      <c r="H550" s="1"/>
      <c r="I550" s="1"/>
    </row>
    <row r="551">
      <c r="A551" s="2">
        <f>IFERROR(__xludf.DUMMYFUNCTION("""COMPUTED_VALUE"""),44145.0)</f>
        <v>44145</v>
      </c>
      <c r="B551" s="1" t="str">
        <f>IFERROR(__xludf.DUMMYFUNCTION("""COMPUTED_VALUE"""),"Nevada")</f>
        <v>Nevada</v>
      </c>
      <c r="C551" s="1" t="str">
        <f>IFERROR(__xludf.DUMMYFUNCTION("""COMPUTED_VALUE"""),"State Proclamations ")</f>
        <v>State Proclamations </v>
      </c>
      <c r="D551" s="1" t="str">
        <f>IFERROR(__xludf.DUMMYFUNCTION("""COMPUTED_VALUE"""),"Closing")</f>
        <v>Closing</v>
      </c>
      <c r="E551" s="1" t="str">
        <f>IFERROR(__xludf.DUMMYFUNCTION("""COMPUTED_VALUE"""),"The governor announced Stay at Home 2.0, a campaign aimed at getting Nevadans to limit nonessential activity outside of the home and practice social distancing, mask wearing, and handwashing. If the state does not see a decline in cases, further restricti"&amp;"ons will be implemented.")</f>
        <v>The governor announced Stay at Home 2.0, a campaign aimed at getting Nevadans to limit nonessential activity outside of the home and practice social distancing, mask wearing, and handwashing. If the state does not see a decline in cases, further restrictions will be implemented.</v>
      </c>
      <c r="F551" s="1" t="str">
        <f>IFERROR(__xludf.DUMMYFUNCTION("""COMPUTED_VALUE"""),"National Academy for State Health Policy")</f>
        <v>National Academy for State Health Policy</v>
      </c>
      <c r="G551" s="3" t="str">
        <f>IFERROR(__xludf.DUMMYFUNCTION("""COMPUTED_VALUE"""),"https://www.nashp.org/2020-state-reopening-chart/")</f>
        <v>https://www.nashp.org/2020-state-reopening-chart/</v>
      </c>
      <c r="H551" s="1"/>
      <c r="I551" s="1"/>
    </row>
    <row r="552">
      <c r="A552" s="2">
        <f>IFERROR(__xludf.DUMMYFUNCTION("""COMPUTED_VALUE"""),44159.0)</f>
        <v>44159</v>
      </c>
      <c r="B552" s="1" t="str">
        <f>IFERROR(__xludf.DUMMYFUNCTION("""COMPUTED_VALUE"""),"Nevada")</f>
        <v>Nevada</v>
      </c>
      <c r="C552" s="1" t="str">
        <f>IFERROR(__xludf.DUMMYFUNCTION("""COMPUTED_VALUE"""),"State Proclamations ")</f>
        <v>State Proclamations </v>
      </c>
      <c r="D552" s="1" t="str">
        <f>IFERROR(__xludf.DUMMYFUNCTION("""COMPUTED_VALUE"""),"Closing")</f>
        <v>Closing</v>
      </c>
      <c r="E552" s="1" t="str">
        <f>IFERROR(__xludf.DUMMYFUNCTION("""COMPUTED_VALUE"""),"The gathering limit was reduced to 50, and capacity limits in casinos, restaurants, and bars is reduced to 25%. The order lasts three weeks.")</f>
        <v>The gathering limit was reduced to 50, and capacity limits in casinos, restaurants, and bars is reduced to 25%. The order lasts three weeks.</v>
      </c>
      <c r="F552" s="1" t="str">
        <f>IFERROR(__xludf.DUMMYFUNCTION("""COMPUTED_VALUE"""),"National Academy for State Health Policy")</f>
        <v>National Academy for State Health Policy</v>
      </c>
      <c r="G552" s="3" t="str">
        <f>IFERROR(__xludf.DUMMYFUNCTION("""COMPUTED_VALUE"""),"https://www.nashp.org/2020-state-reopening-chart/")</f>
        <v>https://www.nashp.org/2020-state-reopening-chart/</v>
      </c>
      <c r="H552" s="1"/>
      <c r="I552" s="1"/>
    </row>
    <row r="553">
      <c r="A553" s="2">
        <f>IFERROR(__xludf.DUMMYFUNCTION("""COMPUTED_VALUE"""),44178.0)</f>
        <v>44178</v>
      </c>
      <c r="B553" s="1" t="str">
        <f>IFERROR(__xludf.DUMMYFUNCTION("""COMPUTED_VALUE"""),"Nevada")</f>
        <v>Nevada</v>
      </c>
      <c r="C553" s="1" t="str">
        <f>IFERROR(__xludf.DUMMYFUNCTION("""COMPUTED_VALUE"""),"State Proclamations ")</f>
        <v>State Proclamations </v>
      </c>
      <c r="D553" s="1" t="str">
        <f>IFERROR(__xludf.DUMMYFUNCTION("""COMPUTED_VALUE"""),"Closing")</f>
        <v>Closing</v>
      </c>
      <c r="E553" s="1" t="str">
        <f>IFERROR(__xludf.DUMMYFUNCTION("""COMPUTED_VALUE"""),"The governor limited private and public gatherings and placed a 25% capacity cap on most leisure and entertainment activities until Jan. 15, 2021. In addition, the eviction moratorium was reinstated.")</f>
        <v>The governor limited private and public gatherings and placed a 25% capacity cap on most leisure and entertainment activities until Jan. 15, 2021. In addition, the eviction moratorium was reinstated.</v>
      </c>
      <c r="F553" s="1" t="str">
        <f>IFERROR(__xludf.DUMMYFUNCTION("""COMPUTED_VALUE"""),"National Academy for State Health Policy")</f>
        <v>National Academy for State Health Policy</v>
      </c>
      <c r="G553" s="3" t="str">
        <f>IFERROR(__xludf.DUMMYFUNCTION("""COMPUTED_VALUE"""),"https://www.nashp.org/2020-state-reopening-chart/")</f>
        <v>https://www.nashp.org/2020-state-reopening-chart/</v>
      </c>
      <c r="H553" s="1"/>
      <c r="I553" s="1"/>
    </row>
    <row r="554">
      <c r="A554" s="2">
        <f>IFERROR(__xludf.DUMMYFUNCTION("""COMPUTED_VALUE"""),44207.0)</f>
        <v>44207</v>
      </c>
      <c r="B554" s="1" t="str">
        <f>IFERROR(__xludf.DUMMYFUNCTION("""COMPUTED_VALUE"""),"Nevada")</f>
        <v>Nevada</v>
      </c>
      <c r="C554" s="1" t="str">
        <f>IFERROR(__xludf.DUMMYFUNCTION("""COMPUTED_VALUE"""),"State Proclamations ")</f>
        <v>State Proclamations </v>
      </c>
      <c r="D554" s="1" t="str">
        <f>IFERROR(__xludf.DUMMYFUNCTION("""COMPUTED_VALUE"""),"Closing")</f>
        <v>Closing</v>
      </c>
      <c r="E554" s="1" t="str">
        <f>IFERROR(__xludf.DUMMYFUNCTION("""COMPUTED_VALUE"""),"Gov. Steve Sisolak extended statewide COVID-19 restrictions an additional 30 days. Restrictions include a requirement that businesses - like restaurants, bars, and casinos - operate at no more than 25% capacity.")</f>
        <v>Gov. Steve Sisolak extended statewide COVID-19 restrictions an additional 30 days. Restrictions include a requirement that businesses - like restaurants, bars, and casinos - operate at no more than 25% capacity.</v>
      </c>
      <c r="F554" s="1" t="str">
        <f>IFERROR(__xludf.DUMMYFUNCTION("""COMPUTED_VALUE"""),"National Academy for State Health Policy")</f>
        <v>National Academy for State Health Policy</v>
      </c>
      <c r="G554" s="3" t="str">
        <f>IFERROR(__xludf.DUMMYFUNCTION("""COMPUTED_VALUE"""),"https://www.nashp.org/2021-covid-19-state-restrictions-re-openings-and-mask-requirements/")</f>
        <v>https://www.nashp.org/2021-covid-19-state-restrictions-re-openings-and-mask-requirements/</v>
      </c>
      <c r="H554" s="1"/>
      <c r="I554" s="1"/>
    </row>
    <row r="555">
      <c r="A555" s="2">
        <f>IFERROR(__xludf.DUMMYFUNCTION("""COMPUTED_VALUE"""),44242.0)</f>
        <v>44242</v>
      </c>
      <c r="B555" s="1" t="str">
        <f>IFERROR(__xludf.DUMMYFUNCTION("""COMPUTED_VALUE"""),"Nevada")</f>
        <v>Nevada</v>
      </c>
      <c r="C555" s="1" t="str">
        <f>IFERROR(__xludf.DUMMYFUNCTION("""COMPUTED_VALUE"""),"State Proclamations ")</f>
        <v>State Proclamations </v>
      </c>
      <c r="D555" s="1" t="str">
        <f>IFERROR(__xludf.DUMMYFUNCTION("""COMPUTED_VALUE"""),"Opening")</f>
        <v>Opening</v>
      </c>
      <c r="E555" s="1" t="str">
        <f>IFERROR(__xludf.DUMMYFUNCTION("""COMPUTED_VALUE"""),"The governor began lifting coronavirus restrictions. The capacity limit on bars and restaurants increased from 25% to 35%, and the limit on private outdoor gatherings increased from 10 to 25. Additionally, the new rules allow houses of worship, casino flo"&amp;"ors, and gyms to operate at 35% capacity. The governor will loosen restrictions again on March 15 and May 1.")</f>
        <v>The governor began lifting coronavirus restrictions. The capacity limit on bars and restaurants increased from 25% to 35%, and the limit on private outdoor gatherings increased from 10 to 25. Additionally, the new rules allow houses of worship, casino floors, and gyms to operate at 35% capacity. The governor will loosen restrictions again on March 15 and May 1.</v>
      </c>
      <c r="F555" s="1" t="str">
        <f>IFERROR(__xludf.DUMMYFUNCTION("""COMPUTED_VALUE"""),"National Academy for State Health Policy")</f>
        <v>National Academy for State Health Policy</v>
      </c>
      <c r="G555" s="3" t="str">
        <f>IFERROR(__xludf.DUMMYFUNCTION("""COMPUTED_VALUE"""),"https://www.nashp.org/2021-covid-19-state-restrictions-re-openings-and-mask-requirements/")</f>
        <v>https://www.nashp.org/2021-covid-19-state-restrictions-re-openings-and-mask-requirements/</v>
      </c>
      <c r="H555" s="1"/>
      <c r="I555" s="1"/>
    </row>
    <row r="556">
      <c r="A556" s="2">
        <f>IFERROR(__xludf.DUMMYFUNCTION("""COMPUTED_VALUE"""),44245.0)</f>
        <v>44245</v>
      </c>
      <c r="B556" s="1" t="str">
        <f>IFERROR(__xludf.DUMMYFUNCTION("""COMPUTED_VALUE"""),"Nevada")</f>
        <v>Nevada</v>
      </c>
      <c r="C556" s="1" t="str">
        <f>IFERROR(__xludf.DUMMYFUNCTION("""COMPUTED_VALUE"""),"State Proclamations ")</f>
        <v>State Proclamations </v>
      </c>
      <c r="D556" s="1" t="str">
        <f>IFERROR(__xludf.DUMMYFUNCTION("""COMPUTED_VALUE"""),"Opening")</f>
        <v>Opening</v>
      </c>
      <c r="E556" s="1" t="str">
        <f>IFERROR(__xludf.DUMMYFUNCTION("""COMPUTED_VALUE"""),"Full-contact high school sports regulated by the Nevada Interscholastic Activities Association (NIAA) can resume practices and games. The NIAA must develop a testing and mitigation plan before sports can resume. Additionally, occupancy limits in schools w"&amp;"ill increase from 50% capacity or 50 people to 75% capacity or 250 people.")</f>
        <v>Full-contact high school sports regulated by the Nevada Interscholastic Activities Association (NIAA) can resume practices and games. The NIAA must develop a testing and mitigation plan before sports can resume. Additionally, occupancy limits in schools will increase from 50% capacity or 50 people to 75% capacity or 250 people.</v>
      </c>
      <c r="F556" s="1" t="str">
        <f>IFERROR(__xludf.DUMMYFUNCTION("""COMPUTED_VALUE"""),"National Academy for State Health Policy")</f>
        <v>National Academy for State Health Policy</v>
      </c>
      <c r="G556" s="3" t="str">
        <f>IFERROR(__xludf.DUMMYFUNCTION("""COMPUTED_VALUE"""),"https://www.nashp.org/2021-covid-19-state-restrictions-re-openings-and-mask-requirements/")</f>
        <v>https://www.nashp.org/2021-covid-19-state-restrictions-re-openings-and-mask-requirements/</v>
      </c>
      <c r="H556" s="1"/>
      <c r="I556" s="1"/>
    </row>
    <row r="557">
      <c r="A557" s="2">
        <f>IFERROR(__xludf.DUMMYFUNCTION("""COMPUTED_VALUE"""),44260.0)</f>
        <v>44260</v>
      </c>
      <c r="B557" s="1" t="str">
        <f>IFERROR(__xludf.DUMMYFUNCTION("""COMPUTED_VALUE"""),"Nevada")</f>
        <v>Nevada</v>
      </c>
      <c r="C557" s="1" t="str">
        <f>IFERROR(__xludf.DUMMYFUNCTION("""COMPUTED_VALUE"""),"State Proclamations ")</f>
        <v>State Proclamations </v>
      </c>
      <c r="D557" s="1" t="str">
        <f>IFERROR(__xludf.DUMMYFUNCTION("""COMPUTED_VALUE"""),"Opening")</f>
        <v>Opening</v>
      </c>
      <c r="E557" s="1" t="str">
        <f>IFERROR(__xludf.DUMMYFUNCTION("""COMPUTED_VALUE"""),"Mask-wearing performers must maintain a distance of at least six feet from members of the audience, and performers who remove their masks must maintain a distance of 12 feet. Previously, the minimum distance had been 25 feet.")</f>
        <v>Mask-wearing performers must maintain a distance of at least six feet from members of the audience, and performers who remove their masks must maintain a distance of 12 feet. Previously, the minimum distance had been 25 feet.</v>
      </c>
      <c r="F557" s="1" t="str">
        <f>IFERROR(__xludf.DUMMYFUNCTION("""COMPUTED_VALUE"""),"National Academy for State Health Policy")</f>
        <v>National Academy for State Health Policy</v>
      </c>
      <c r="G557" s="3" t="str">
        <f>IFERROR(__xludf.DUMMYFUNCTION("""COMPUTED_VALUE"""),"https://www.nashp.org/2021-covid-19-state-restrictions-re-openings-and-mask-requirements/")</f>
        <v>https://www.nashp.org/2021-covid-19-state-restrictions-re-openings-and-mask-requirements/</v>
      </c>
      <c r="H557" s="1"/>
      <c r="I557" s="1"/>
    </row>
    <row r="558">
      <c r="A558" s="2">
        <f>IFERROR(__xludf.DUMMYFUNCTION("""COMPUTED_VALUE"""),44270.0)</f>
        <v>44270</v>
      </c>
      <c r="B558" s="1" t="str">
        <f>IFERROR(__xludf.DUMMYFUNCTION("""COMPUTED_VALUE"""),"Nevada")</f>
        <v>Nevada</v>
      </c>
      <c r="C558" s="1" t="str">
        <f>IFERROR(__xludf.DUMMYFUNCTION("""COMPUTED_VALUE"""),"State Proclamations ")</f>
        <v>State Proclamations </v>
      </c>
      <c r="D558" s="1" t="str">
        <f>IFERROR(__xludf.DUMMYFUNCTION("""COMPUTED_VALUE"""),"Opening")</f>
        <v>Opening</v>
      </c>
      <c r="E558" s="1" t="str">
        <f>IFERROR(__xludf.DUMMYFUNCTION("""COMPUTED_VALUE"""),"Gatherings of up to 250 people or 50% of the fire code capacity are permitted. The capacity limit on businesses such as gyms, restaurants, and bars increased from 35% to 50%. Large venues can host events at up to 50% capacity with approval from the Depart"&amp;"ment of Business and Industry. Sports tournaments can resume if a safety plan is submitted to and approved by the NIAA.")</f>
        <v>Gatherings of up to 250 people or 50% of the fire code capacity are permitted. The capacity limit on businesses such as gyms, restaurants, and bars increased from 35% to 50%. Large venues can host events at up to 50% capacity with approval from the Department of Business and Industry. Sports tournaments can resume if a safety plan is submitted to and approved by the NIAA.</v>
      </c>
      <c r="F558" s="1" t="str">
        <f>IFERROR(__xludf.DUMMYFUNCTION("""COMPUTED_VALUE"""),"National Academy for State Health Policy")</f>
        <v>National Academy for State Health Policy</v>
      </c>
      <c r="G558" s="3" t="str">
        <f>IFERROR(__xludf.DUMMYFUNCTION("""COMPUTED_VALUE"""),"https://www.nashp.org/2021-covid-19-state-restrictions-re-openings-and-mask-requirements/")</f>
        <v>https://www.nashp.org/2021-covid-19-state-restrictions-re-openings-and-mask-requirements/</v>
      </c>
      <c r="H558" s="1"/>
      <c r="I558" s="1"/>
    </row>
    <row r="559">
      <c r="A559" s="2">
        <f>IFERROR(__xludf.DUMMYFUNCTION("""COMPUTED_VALUE"""),44285.0)</f>
        <v>44285</v>
      </c>
      <c r="B559" s="1" t="str">
        <f>IFERROR(__xludf.DUMMYFUNCTION("""COMPUTED_VALUE"""),"Nevada")</f>
        <v>Nevada</v>
      </c>
      <c r="C559" s="1" t="str">
        <f>IFERROR(__xludf.DUMMYFUNCTION("""COMPUTED_VALUE"""),"State Proclamations ")</f>
        <v>State Proclamations </v>
      </c>
      <c r="D559" s="1" t="str">
        <f>IFERROR(__xludf.DUMMYFUNCTION("""COMPUTED_VALUE"""),"Opening")</f>
        <v>Opening</v>
      </c>
      <c r="E559" s="1" t="str">
        <f>IFERROR(__xludf.DUMMYFUNCTION("""COMPUTED_VALUE"""),"Full-contact and close-contact sports can resume practices and competitions if they implement a preparedness and safety plan. Full-contact sports must also implement a COVID-19 testing and mitigation plan.")</f>
        <v>Full-contact and close-contact sports can resume practices and competitions if they implement a preparedness and safety plan. Full-contact sports must also implement a COVID-19 testing and mitigation plan.</v>
      </c>
      <c r="F559" s="1" t="str">
        <f>IFERROR(__xludf.DUMMYFUNCTION("""COMPUTED_VALUE"""),"National Academy for State Health Policy")</f>
        <v>National Academy for State Health Policy</v>
      </c>
      <c r="G559" s="3" t="str">
        <f>IFERROR(__xludf.DUMMYFUNCTION("""COMPUTED_VALUE"""),"https://www.nashp.org/2021-covid-19-state-restrictions-re-openings-and-mask-requirements/")</f>
        <v>https://www.nashp.org/2021-covid-19-state-restrictions-re-openings-and-mask-requirements/</v>
      </c>
      <c r="H559" s="1"/>
      <c r="I559" s="1"/>
    </row>
    <row r="560">
      <c r="A560" s="2">
        <f>IFERROR(__xludf.DUMMYFUNCTION("""COMPUTED_VALUE"""),44317.0)</f>
        <v>44317</v>
      </c>
      <c r="B560" s="1" t="str">
        <f>IFERROR(__xludf.DUMMYFUNCTION("""COMPUTED_VALUE"""),"Nevada")</f>
        <v>Nevada</v>
      </c>
      <c r="C560" s="1" t="str">
        <f>IFERROR(__xludf.DUMMYFUNCTION("""COMPUTED_VALUE"""),"State Proclamations ")</f>
        <v>State Proclamations </v>
      </c>
      <c r="D560" s="1" t="str">
        <f>IFERROR(__xludf.DUMMYFUNCTION("""COMPUTED_VALUE"""),"Opening")</f>
        <v>Opening</v>
      </c>
      <c r="E560" s="1" t="str">
        <f>IFERROR(__xludf.DUMMYFUNCTION("""COMPUTED_VALUE"""),"Counties will be permitted to set social distancing measures and restrictions on schools and large events.")</f>
        <v>Counties will be permitted to set social distancing measures and restrictions on schools and large events.</v>
      </c>
      <c r="F560" s="1" t="str">
        <f>IFERROR(__xludf.DUMMYFUNCTION("""COMPUTED_VALUE"""),"National Academy for State Health Policy")</f>
        <v>National Academy for State Health Policy</v>
      </c>
      <c r="G560" s="3" t="str">
        <f>IFERROR(__xludf.DUMMYFUNCTION("""COMPUTED_VALUE"""),"https://www.nashp.org/2021-covid-19-state-restrictions-re-openings-and-mask-requirements/")</f>
        <v>https://www.nashp.org/2021-covid-19-state-restrictions-re-openings-and-mask-requirements/</v>
      </c>
      <c r="H560" s="1"/>
      <c r="I560" s="1"/>
    </row>
    <row r="561">
      <c r="A561" s="2">
        <f>IFERROR(__xludf.DUMMYFUNCTION("""COMPUTED_VALUE"""),44348.0)</f>
        <v>44348</v>
      </c>
      <c r="B561" s="1" t="str">
        <f>IFERROR(__xludf.DUMMYFUNCTION("""COMPUTED_VALUE"""),"Nevada")</f>
        <v>Nevada</v>
      </c>
      <c r="C561" s="1" t="str">
        <f>IFERROR(__xludf.DUMMYFUNCTION("""COMPUTED_VALUE"""),"State Proclamations ")</f>
        <v>State Proclamations </v>
      </c>
      <c r="D561" s="1" t="str">
        <f>IFERROR(__xludf.DUMMYFUNCTION("""COMPUTED_VALUE"""),"Opening")</f>
        <v>Opening</v>
      </c>
      <c r="E561" s="1" t="str">
        <f>IFERROR(__xludf.DUMMYFUNCTION("""COMPUTED_VALUE"""),"The governor will end all statewide mitigation policies, with the exception of the mask mandate.")</f>
        <v>The governor will end all statewide mitigation policies, with the exception of the mask mandate.</v>
      </c>
      <c r="F561" s="1" t="str">
        <f>IFERROR(__xludf.DUMMYFUNCTION("""COMPUTED_VALUE"""),"National Academy for State Health Policy")</f>
        <v>National Academy for State Health Policy</v>
      </c>
      <c r="G561" s="3" t="str">
        <f>IFERROR(__xludf.DUMMYFUNCTION("""COMPUTED_VALUE"""),"https://www.nashp.org/2021-covid-19-state-restrictions-re-openings-and-mask-requirements/")</f>
        <v>https://www.nashp.org/2021-covid-19-state-restrictions-re-openings-and-mask-requirements/</v>
      </c>
      <c r="H561" s="1"/>
      <c r="I561" s="1"/>
    </row>
    <row r="562">
      <c r="A562" s="2">
        <f>IFERROR(__xludf.DUMMYFUNCTION("""COMPUTED_VALUE"""),44441.0)</f>
        <v>44441</v>
      </c>
      <c r="B562" s="1" t="str">
        <f>IFERROR(__xludf.DUMMYFUNCTION("""COMPUTED_VALUE"""),"Nevada")</f>
        <v>Nevada</v>
      </c>
      <c r="C562" s="1" t="str">
        <f>IFERROR(__xludf.DUMMYFUNCTION("""COMPUTED_VALUE"""),"State Proclamations ")</f>
        <v>State Proclamations </v>
      </c>
      <c r="D562" s="1" t="str">
        <f>IFERROR(__xludf.DUMMYFUNCTION("""COMPUTED_VALUE"""),"Opening")</f>
        <v>Opening</v>
      </c>
      <c r="E562" s="1" t="str">
        <f>IFERROR(__xludf.DUMMYFUNCTION("""COMPUTED_VALUE"""),"The governor issued an order allowing conventions with more than 4,000 people not to require masks if all attendees are fully vaccinated.")</f>
        <v>The governor issued an order allowing conventions with more than 4,000 people not to require masks if all attendees are fully vaccinated.</v>
      </c>
      <c r="F562" s="1" t="str">
        <f>IFERROR(__xludf.DUMMYFUNCTION("""COMPUTED_VALUE"""),"National Academy for State Health Policy")</f>
        <v>National Academy for State Health Policy</v>
      </c>
      <c r="G562" s="3" t="str">
        <f>IFERROR(__xludf.DUMMYFUNCTION("""COMPUTED_VALUE"""),"https://www.nashp.org/2021-covid-19-state-restrictions-re-openings-and-mask-requirements/")</f>
        <v>https://www.nashp.org/2021-covid-19-state-restrictions-re-openings-and-mask-requirements/</v>
      </c>
      <c r="H562" s="1"/>
      <c r="I562" s="1"/>
    </row>
    <row r="563">
      <c r="A563" s="2">
        <f>IFERROR(__xludf.DUMMYFUNCTION("""COMPUTED_VALUE"""),43903.0)</f>
        <v>43903</v>
      </c>
      <c r="B563" s="1" t="str">
        <f>IFERROR(__xludf.DUMMYFUNCTION("""COMPUTED_VALUE"""),"New Hampshire")</f>
        <v>New Hampshire</v>
      </c>
      <c r="C563" s="1" t="str">
        <f>IFERROR(__xludf.DUMMYFUNCTION("""COMPUTED_VALUE"""),"State of Emergency")</f>
        <v>State of Emergency</v>
      </c>
      <c r="D563" s="1" t="str">
        <f>IFERROR(__xludf.DUMMYFUNCTION("""COMPUTED_VALUE"""),"Start")</f>
        <v>Start</v>
      </c>
      <c r="E563" s="1" t="str">
        <f>IFERROR(__xludf.DUMMYFUNCTION("""COMPUTED_VALUE"""),"Gov. Chris Sununu declared a state of emergency on March 13.")</f>
        <v>Gov. Chris Sununu declared a state of emergency on March 13.</v>
      </c>
      <c r="F563" s="1" t="str">
        <f>IFERROR(__xludf.DUMMYFUNCTION("""COMPUTED_VALUE"""),"Business Insider")</f>
        <v>Business Insider</v>
      </c>
      <c r="G563" s="3" t="str">
        <f>IFERROR(__xludf.DUMMYFUNCTION("""COMPUTED_VALUE"""),"https://www.businessinsider.com/california-washington-state-of-emergency-coronavirus-what-it-means-2020-3#new-hampshire-32")</f>
        <v>https://www.businessinsider.com/california-washington-state-of-emergency-coronavirus-what-it-means-2020-3#new-hampshire-32</v>
      </c>
      <c r="H563" s="1"/>
      <c r="I563" s="1"/>
    </row>
    <row r="564">
      <c r="A564" s="2">
        <f>IFERROR(__xludf.DUMMYFUNCTION("""COMPUTED_VALUE"""),43917.0)</f>
        <v>43917</v>
      </c>
      <c r="B564" s="1" t="str">
        <f>IFERROR(__xludf.DUMMYFUNCTION("""COMPUTED_VALUE"""),"New Hampshire")</f>
        <v>New Hampshire</v>
      </c>
      <c r="C564" s="1" t="str">
        <f>IFERROR(__xludf.DUMMYFUNCTION("""COMPUTED_VALUE"""),"Stay-at-Home Order")</f>
        <v>Stay-at-Home Order</v>
      </c>
      <c r="D564" s="1" t="str">
        <f>IFERROR(__xludf.DUMMYFUNCTION("""COMPUTED_VALUE"""),"Start")</f>
        <v>Start</v>
      </c>
      <c r="E564" s="1" t="str">
        <f>IFERROR(__xludf.DUMMYFUNCTION("""COMPUTED_VALUE"""),"Original stay-at-home order begins")</f>
        <v>Original stay-at-home order begins</v>
      </c>
      <c r="F564" s="1" t="str">
        <f>IFERROR(__xludf.DUMMYFUNCTION("""COMPUTED_VALUE"""),"National Academy for State Health Policy")</f>
        <v>National Academy for State Health Policy</v>
      </c>
      <c r="G564" s="3" t="str">
        <f>IFERROR(__xludf.DUMMYFUNCTION("""COMPUTED_VALUE"""),"https://www.nashp.org/2020-state-reopening-chart/")</f>
        <v>https://www.nashp.org/2020-state-reopening-chart/</v>
      </c>
      <c r="H564" s="1"/>
      <c r="I564" s="1"/>
    </row>
    <row r="565">
      <c r="A565" s="2">
        <f>IFERROR(__xludf.DUMMYFUNCTION("""COMPUTED_VALUE"""),43955.0)</f>
        <v>43955</v>
      </c>
      <c r="B565" s="1" t="str">
        <f>IFERROR(__xludf.DUMMYFUNCTION("""COMPUTED_VALUE"""),"New Hampshire")</f>
        <v>New Hampshire</v>
      </c>
      <c r="C565" s="1" t="str">
        <f>IFERROR(__xludf.DUMMYFUNCTION("""COMPUTED_VALUE"""),"State Proclamations ")</f>
        <v>State Proclamations </v>
      </c>
      <c r="D565" s="1" t="str">
        <f>IFERROR(__xludf.DUMMYFUNCTION("""COMPUTED_VALUE"""),"Opening")</f>
        <v>Opening</v>
      </c>
      <c r="E565" s="1" t="str">
        <f>IFERROR(__xludf.DUMMYFUNCTION("""COMPUTED_VALUE"""),"New Hampshire has reopened retail stores, restaurant dining, personal care services, libraries, bowling alleys, gyms, and pools. Nonessential medical procedures resumed May 4.")</f>
        <v>New Hampshire has reopened retail stores, restaurant dining, personal care services, libraries, bowling alleys, gyms, and pools. Nonessential medical procedures resumed May 4.</v>
      </c>
      <c r="F565" s="1" t="str">
        <f>IFERROR(__xludf.DUMMYFUNCTION("""COMPUTED_VALUE"""),"National Academy for State Health Policy")</f>
        <v>National Academy for State Health Policy</v>
      </c>
      <c r="G565" s="3" t="str">
        <f>IFERROR(__xludf.DUMMYFUNCTION("""COMPUTED_VALUE"""),"https://www.nashp.org/2020-state-reopening-chart/")</f>
        <v>https://www.nashp.org/2020-state-reopening-chart/</v>
      </c>
      <c r="H565" s="1"/>
      <c r="I565" s="1"/>
    </row>
    <row r="566">
      <c r="A566" s="2">
        <f>IFERROR(__xludf.DUMMYFUNCTION("""COMPUTED_VALUE"""),43997.0)</f>
        <v>43997</v>
      </c>
      <c r="B566" s="1" t="str">
        <f>IFERROR(__xludf.DUMMYFUNCTION("""COMPUTED_VALUE"""),"New Hampshire")</f>
        <v>New Hampshire</v>
      </c>
      <c r="C566" s="1" t="str">
        <f>IFERROR(__xludf.DUMMYFUNCTION("""COMPUTED_VALUE"""),"Stay-at-Home Order")</f>
        <v>Stay-at-Home Order</v>
      </c>
      <c r="D566" s="1" t="str">
        <f>IFERROR(__xludf.DUMMYFUNCTION("""COMPUTED_VALUE"""),"End")</f>
        <v>End</v>
      </c>
      <c r="E566" s="1" t="str">
        <f>IFERROR(__xludf.DUMMYFUNCTION("""COMPUTED_VALUE"""),"Original stay-at-home order ends")</f>
        <v>Original stay-at-home order ends</v>
      </c>
      <c r="F566" s="1" t="str">
        <f>IFERROR(__xludf.DUMMYFUNCTION("""COMPUTED_VALUE"""),"National Academy for State Health Policy")</f>
        <v>National Academy for State Health Policy</v>
      </c>
      <c r="G566" s="3" t="str">
        <f>IFERROR(__xludf.DUMMYFUNCTION("""COMPUTED_VALUE"""),"https://www.nashp.org/2020-state-reopening-chart/")</f>
        <v>https://www.nashp.org/2020-state-reopening-chart/</v>
      </c>
      <c r="H566" s="1"/>
      <c r="I566" s="1"/>
    </row>
    <row r="567">
      <c r="A567" s="2">
        <f>IFERROR(__xludf.DUMMYFUNCTION("""COMPUTED_VALUE"""),43997.0)</f>
        <v>43997</v>
      </c>
      <c r="B567" s="1" t="str">
        <f>IFERROR(__xludf.DUMMYFUNCTION("""COMPUTED_VALUE"""),"New Hampshire")</f>
        <v>New Hampshire</v>
      </c>
      <c r="C567" s="1" t="str">
        <f>IFERROR(__xludf.DUMMYFUNCTION("""COMPUTED_VALUE"""),"State Proclamations ")</f>
        <v>State Proclamations </v>
      </c>
      <c r="D567" s="1" t="str">
        <f>IFERROR(__xludf.DUMMYFUNCTION("""COMPUTED_VALUE"""),"Opening")</f>
        <v>Opening</v>
      </c>
      <c r="E567" s="1" t="str">
        <f>IFERROR(__xludf.DUMMYFUNCTION("""COMPUTED_VALUE"""),"Gyms and other businesses reopened, and restaurants could reopen for indoor dining in some counties. All employees were permitted to return to work.")</f>
        <v>Gyms and other businesses reopened, and restaurants could reopen for indoor dining in some counties. All employees were permitted to return to work.</v>
      </c>
      <c r="F567" s="1" t="str">
        <f>IFERROR(__xludf.DUMMYFUNCTION("""COMPUTED_VALUE"""),"National Academy for State Health Policy")</f>
        <v>National Academy for State Health Policy</v>
      </c>
      <c r="G567" s="3" t="str">
        <f>IFERROR(__xludf.DUMMYFUNCTION("""COMPUTED_VALUE"""),"https://www.nashp.org/2020-state-reopening-chart/")</f>
        <v>https://www.nashp.org/2020-state-reopening-chart/</v>
      </c>
      <c r="H567" s="1"/>
      <c r="I567" s="1"/>
    </row>
    <row r="568">
      <c r="A568" s="2">
        <f>IFERROR(__xludf.DUMMYFUNCTION("""COMPUTED_VALUE"""),44011.0)</f>
        <v>44011</v>
      </c>
      <c r="B568" s="1" t="str">
        <f>IFERROR(__xludf.DUMMYFUNCTION("""COMPUTED_VALUE"""),"New Hampshire")</f>
        <v>New Hampshire</v>
      </c>
      <c r="C568" s="1" t="str">
        <f>IFERROR(__xludf.DUMMYFUNCTION("""COMPUTED_VALUE"""),"State Proclamations ")</f>
        <v>State Proclamations </v>
      </c>
      <c r="D568" s="1" t="str">
        <f>IFERROR(__xludf.DUMMYFUNCTION("""COMPUTED_VALUE"""),"Opening")</f>
        <v>Opening</v>
      </c>
      <c r="E568" s="1" t="str">
        <f>IFERROR(__xludf.DUMMYFUNCTION("""COMPUTED_VALUE"""),"Indoor movie theaters, performing arts centers, and amusement parks could reopen. The 50% capacity limit on large hotels was lifted.")</f>
        <v>Indoor movie theaters, performing arts centers, and amusement parks could reopen. The 50% capacity limit on large hotels was lifted.</v>
      </c>
      <c r="F568" s="1" t="str">
        <f>IFERROR(__xludf.DUMMYFUNCTION("""COMPUTED_VALUE"""),"National Academy for State Health Policy")</f>
        <v>National Academy for State Health Policy</v>
      </c>
      <c r="G568" s="3" t="str">
        <f>IFERROR(__xludf.DUMMYFUNCTION("""COMPUTED_VALUE"""),"https://www.nashp.org/2020-state-reopening-chart/")</f>
        <v>https://www.nashp.org/2020-state-reopening-chart/</v>
      </c>
      <c r="H568" s="1"/>
      <c r="I568" s="1"/>
    </row>
    <row r="569">
      <c r="A569" s="2">
        <f>IFERROR(__xludf.DUMMYFUNCTION("""COMPUTED_VALUE"""),44054.0)</f>
        <v>44054</v>
      </c>
      <c r="B569" s="1" t="str">
        <f>IFERROR(__xludf.DUMMYFUNCTION("""COMPUTED_VALUE"""),"New Hampshire")</f>
        <v>New Hampshire</v>
      </c>
      <c r="C569" s="1" t="str">
        <f>IFERROR(__xludf.DUMMYFUNCTION("""COMPUTED_VALUE"""),"Mask Mandate")</f>
        <v>Mask Mandate</v>
      </c>
      <c r="D569" s="1" t="str">
        <f>IFERROR(__xludf.DUMMYFUNCTION("""COMPUTED_VALUE"""),"Start")</f>
        <v>Start</v>
      </c>
      <c r="E569" s="1" t="str">
        <f>IFERROR(__xludf.DUMMYFUNCTION("""COMPUTED_VALUE"""),"New Hampshire Gov. Chris Sununu issued an order requiring masks to be worn at gatherings of more than 100 people. New Hampshire is the only New England state that does not have a statewide mask mandate in public where social distancing cannot be maintaine"&amp;"d.")</f>
        <v>New Hampshire Gov. Chris Sununu issued an order requiring masks to be worn at gatherings of more than 100 people. New Hampshire is the only New England state that does not have a statewide mask mandate in public where social distancing cannot be maintained.</v>
      </c>
      <c r="F569" s="1" t="str">
        <f>IFERROR(__xludf.DUMMYFUNCTION("""COMPUTED_VALUE"""),"CNN")</f>
        <v>CNN</v>
      </c>
      <c r="G569" s="3" t="str">
        <f>IFERROR(__xludf.DUMMYFUNCTION("""COMPUTED_VALUE"""),"https://www.cnn.com/2020/06/19/us/states-face-mask-coronavirus-trnd/index.html")</f>
        <v>https://www.cnn.com/2020/06/19/us/states-face-mask-coronavirus-trnd/index.html</v>
      </c>
      <c r="H569" s="1"/>
      <c r="I569" s="1"/>
    </row>
    <row r="570">
      <c r="A570" s="2">
        <f>IFERROR(__xludf.DUMMYFUNCTION("""COMPUTED_VALUE"""),44067.0)</f>
        <v>44067</v>
      </c>
      <c r="B570" s="1" t="str">
        <f>IFERROR(__xludf.DUMMYFUNCTION("""COMPUTED_VALUE"""),"New Hampshire")</f>
        <v>New Hampshire</v>
      </c>
      <c r="C570" s="1" t="str">
        <f>IFERROR(__xludf.DUMMYFUNCTION("""COMPUTED_VALUE"""),"State Proclamations ")</f>
        <v>State Proclamations </v>
      </c>
      <c r="D570" s="1" t="str">
        <f>IFERROR(__xludf.DUMMYFUNCTION("""COMPUTED_VALUE"""),"Opening")</f>
        <v>Opening</v>
      </c>
      <c r="E570" s="1" t="str">
        <f>IFERROR(__xludf.DUMMYFUNCTION("""COMPUTED_VALUE"""),"Restaurants in Hillsborough, Rockingham, Strafford, and Merrimack counties could offer dine-in services at 100% capacity.")</f>
        <v>Restaurants in Hillsborough, Rockingham, Strafford, and Merrimack counties could offer dine-in services at 100% capacity.</v>
      </c>
      <c r="F570" s="1" t="str">
        <f>IFERROR(__xludf.DUMMYFUNCTION("""COMPUTED_VALUE"""),"National Academy for State Health Policy")</f>
        <v>National Academy for State Health Policy</v>
      </c>
      <c r="G570" s="3" t="str">
        <f>IFERROR(__xludf.DUMMYFUNCTION("""COMPUTED_VALUE"""),"https://www.nashp.org/2020-state-reopening-chart/")</f>
        <v>https://www.nashp.org/2020-state-reopening-chart/</v>
      </c>
      <c r="H570" s="1"/>
      <c r="I570" s="1"/>
    </row>
    <row r="571">
      <c r="A571" s="2">
        <f>IFERROR(__xludf.DUMMYFUNCTION("""COMPUTED_VALUE"""),44105.0)</f>
        <v>44105</v>
      </c>
      <c r="B571" s="1" t="str">
        <f>IFERROR(__xludf.DUMMYFUNCTION("""COMPUTED_VALUE"""),"New Hampshire")</f>
        <v>New Hampshire</v>
      </c>
      <c r="C571" s="1" t="str">
        <f>IFERROR(__xludf.DUMMYFUNCTION("""COMPUTED_VALUE"""),"State Proclamations ")</f>
        <v>State Proclamations </v>
      </c>
      <c r="D571" s="1" t="str">
        <f>IFERROR(__xludf.DUMMYFUNCTION("""COMPUTED_VALUE"""),"Opening")</f>
        <v>Opening</v>
      </c>
      <c r="E571" s="1" t="str">
        <f>IFERROR(__xludf.DUMMYFUNCTION("""COMPUTED_VALUE"""),"Restaurants may move tables closer than six feet apart if barriers separate them.")</f>
        <v>Restaurants may move tables closer than six feet apart if barriers separate them.</v>
      </c>
      <c r="F571" s="1" t="str">
        <f>IFERROR(__xludf.DUMMYFUNCTION("""COMPUTED_VALUE"""),"National Academy for State Health Policy")</f>
        <v>National Academy for State Health Policy</v>
      </c>
      <c r="G571" s="3" t="str">
        <f>IFERROR(__xludf.DUMMYFUNCTION("""COMPUTED_VALUE"""),"https://www.nashp.org/2020-state-reopening-chart/")</f>
        <v>https://www.nashp.org/2020-state-reopening-chart/</v>
      </c>
      <c r="H571" s="1"/>
      <c r="I571" s="1"/>
    </row>
    <row r="572">
      <c r="A572" s="2">
        <f>IFERROR(__xludf.DUMMYFUNCTION("""COMPUTED_VALUE"""),44113.0)</f>
        <v>44113</v>
      </c>
      <c r="B572" s="1" t="str">
        <f>IFERROR(__xludf.DUMMYFUNCTION("""COMPUTED_VALUE"""),"New Hampshire")</f>
        <v>New Hampshire</v>
      </c>
      <c r="C572" s="1" t="str">
        <f>IFERROR(__xludf.DUMMYFUNCTION("""COMPUTED_VALUE"""),"State Proclamations ")</f>
        <v>State Proclamations </v>
      </c>
      <c r="D572" s="1" t="str">
        <f>IFERROR(__xludf.DUMMYFUNCTION("""COMPUTED_VALUE"""),"Closing")</f>
        <v>Closing</v>
      </c>
      <c r="E572" s="1" t="str">
        <f>IFERROR(__xludf.DUMMYFUNCTION("""COMPUTED_VALUE"""),"The governor extended the state's emergency order by three weeks.")</f>
        <v>The governor extended the state's emergency order by three weeks.</v>
      </c>
      <c r="F572" s="1" t="str">
        <f>IFERROR(__xludf.DUMMYFUNCTION("""COMPUTED_VALUE"""),"National Academy for State Health Policy")</f>
        <v>National Academy for State Health Policy</v>
      </c>
      <c r="G572" s="3" t="str">
        <f>IFERROR(__xludf.DUMMYFUNCTION("""COMPUTED_VALUE"""),"https://www.nashp.org/2020-state-reopening-chart/")</f>
        <v>https://www.nashp.org/2020-state-reopening-chart/</v>
      </c>
      <c r="H572" s="1"/>
      <c r="I572" s="1"/>
    </row>
    <row r="573">
      <c r="A573" s="2">
        <f>IFERROR(__xludf.DUMMYFUNCTION("""COMPUTED_VALUE"""),44176.0)</f>
        <v>44176</v>
      </c>
      <c r="B573" s="1" t="str">
        <f>IFERROR(__xludf.DUMMYFUNCTION("""COMPUTED_VALUE"""),"New Hampshire")</f>
        <v>New Hampshire</v>
      </c>
      <c r="C573" s="1" t="str">
        <f>IFERROR(__xludf.DUMMYFUNCTION("""COMPUTED_VALUE"""),"State Proclamations ")</f>
        <v>State Proclamations </v>
      </c>
      <c r="D573" s="1" t="str">
        <f>IFERROR(__xludf.DUMMYFUNCTION("""COMPUTED_VALUE"""),"Closing")</f>
        <v>Closing</v>
      </c>
      <c r="E573" s="1" t="str">
        <f>IFERROR(__xludf.DUMMYFUNCTION("""COMPUTED_VALUE"""),"The governor extended the state's emergency order an additional 21 days")</f>
        <v>The governor extended the state's emergency order an additional 21 days</v>
      </c>
      <c r="F573" s="1" t="str">
        <f>IFERROR(__xludf.DUMMYFUNCTION("""COMPUTED_VALUE"""),"National Academy for State Health Policy")</f>
        <v>National Academy for State Health Policy</v>
      </c>
      <c r="G573" s="3" t="str">
        <f>IFERROR(__xludf.DUMMYFUNCTION("""COMPUTED_VALUE"""),"https://www.nashp.org/2020-state-reopening-chart/")</f>
        <v>https://www.nashp.org/2020-state-reopening-chart/</v>
      </c>
      <c r="H573" s="1"/>
      <c r="I573" s="1"/>
    </row>
    <row r="574">
      <c r="A574" s="2">
        <f>IFERROR(__xludf.DUMMYFUNCTION("""COMPUTED_VALUE"""),44263.0)</f>
        <v>44263</v>
      </c>
      <c r="B574" s="1" t="str">
        <f>IFERROR(__xludf.DUMMYFUNCTION("""COMPUTED_VALUE"""),"New Hampshire")</f>
        <v>New Hampshire</v>
      </c>
      <c r="C574" s="1" t="str">
        <f>IFERROR(__xludf.DUMMYFUNCTION("""COMPUTED_VALUE"""),"State Proclamations ")</f>
        <v>State Proclamations </v>
      </c>
      <c r="D574" s="1" t="str">
        <f>IFERROR(__xludf.DUMMYFUNCTION("""COMPUTED_VALUE"""),"Opening")</f>
        <v>Opening</v>
      </c>
      <c r="E574" s="1" t="str">
        <f>IFERROR(__xludf.DUMMYFUNCTION("""COMPUTED_VALUE"""),"All schools are required to provide at least two days of in-person classroom instruction per week.")</f>
        <v>All schools are required to provide at least two days of in-person classroom instruction per week.</v>
      </c>
      <c r="F574" s="1" t="str">
        <f>IFERROR(__xludf.DUMMYFUNCTION("""COMPUTED_VALUE"""),"National Academy for State Health Policy")</f>
        <v>National Academy for State Health Policy</v>
      </c>
      <c r="G574" s="3" t="str">
        <f>IFERROR(__xludf.DUMMYFUNCTION("""COMPUTED_VALUE"""),"https://www.nashp.org/2021-covid-19-state-restrictions-re-openings-and-mask-requirements/")</f>
        <v>https://www.nashp.org/2021-covid-19-state-restrictions-re-openings-and-mask-requirements/</v>
      </c>
      <c r="H574" s="1"/>
      <c r="I574" s="1"/>
    </row>
    <row r="575">
      <c r="A575" s="2">
        <f>IFERROR(__xludf.DUMMYFUNCTION("""COMPUTED_VALUE"""),44266.0)</f>
        <v>44266</v>
      </c>
      <c r="B575" s="1" t="str">
        <f>IFERROR(__xludf.DUMMYFUNCTION("""COMPUTED_VALUE"""),"New Hampshire")</f>
        <v>New Hampshire</v>
      </c>
      <c r="C575" s="1" t="str">
        <f>IFERROR(__xludf.DUMMYFUNCTION("""COMPUTED_VALUE"""),"State Proclamations ")</f>
        <v>State Proclamations </v>
      </c>
      <c r="D575" s="1" t="str">
        <f>IFERROR(__xludf.DUMMYFUNCTION("""COMPUTED_VALUE"""),"Opening")</f>
        <v>Opening</v>
      </c>
      <c r="E575" s="1" t="str">
        <f>IFERROR(__xludf.DUMMYFUNCTION("""COMPUTED_VALUE"""),"Retail businesses can operate at 100% capacity, barbershops and salons can allow walk-ins, and bars can allow bands and games, such as pool and darts.")</f>
        <v>Retail businesses can operate at 100% capacity, barbershops and salons can allow walk-ins, and bars can allow bands and games, such as pool and darts.</v>
      </c>
      <c r="F575" s="1" t="str">
        <f>IFERROR(__xludf.DUMMYFUNCTION("""COMPUTED_VALUE"""),"National Academy for State Health Policy")</f>
        <v>National Academy for State Health Policy</v>
      </c>
      <c r="G575" s="3" t="str">
        <f>IFERROR(__xludf.DUMMYFUNCTION("""COMPUTED_VALUE"""),"https://www.nashp.org/2021-covid-19-state-restrictions-re-openings-and-mask-requirements/")</f>
        <v>https://www.nashp.org/2021-covid-19-state-restrictions-re-openings-and-mask-requirements/</v>
      </c>
      <c r="H575" s="1"/>
      <c r="I575" s="1"/>
    </row>
    <row r="576">
      <c r="A576" s="2">
        <f>IFERROR(__xludf.DUMMYFUNCTION("""COMPUTED_VALUE"""),44302.0)</f>
        <v>44302</v>
      </c>
      <c r="B576" s="1" t="str">
        <f>IFERROR(__xludf.DUMMYFUNCTION("""COMPUTED_VALUE"""),"New Hampshire")</f>
        <v>New Hampshire</v>
      </c>
      <c r="C576" s="1" t="str">
        <f>IFERROR(__xludf.DUMMYFUNCTION("""COMPUTED_VALUE"""),"Mask Mandate")</f>
        <v>Mask Mandate</v>
      </c>
      <c r="D576" s="1" t="str">
        <f>IFERROR(__xludf.DUMMYFUNCTION("""COMPUTED_VALUE"""),"End")</f>
        <v>End</v>
      </c>
      <c r="E576" s="1" t="str">
        <f>IFERROR(__xludf.DUMMYFUNCTION("""COMPUTED_VALUE"""),"On April 16, the governor ended the mask mandate")</f>
        <v>On April 16, the governor ended the mask mandate</v>
      </c>
      <c r="F576" s="1" t="str">
        <f>IFERROR(__xludf.DUMMYFUNCTION("""COMPUTED_VALUE"""),"National Academy for State Health Policy")</f>
        <v>National Academy for State Health Policy</v>
      </c>
      <c r="G576" s="3" t="str">
        <f>IFERROR(__xludf.DUMMYFUNCTION("""COMPUTED_VALUE"""),"https://www.nashp.org/2021-covid-19-state-restrictions-re-openings-and-mask-requirements/")</f>
        <v>https://www.nashp.org/2021-covid-19-state-restrictions-re-openings-and-mask-requirements/</v>
      </c>
      <c r="H576" s="1"/>
      <c r="I576" s="1"/>
    </row>
    <row r="577">
      <c r="A577" s="2">
        <f>IFERROR(__xludf.DUMMYFUNCTION("""COMPUTED_VALUE"""),44305.0)</f>
        <v>44305</v>
      </c>
      <c r="B577" s="1" t="str">
        <f>IFERROR(__xludf.DUMMYFUNCTION("""COMPUTED_VALUE"""),"New Hampshire")</f>
        <v>New Hampshire</v>
      </c>
      <c r="C577" s="1" t="str">
        <f>IFERROR(__xludf.DUMMYFUNCTION("""COMPUTED_VALUE"""),"State Proclamations ")</f>
        <v>State Proclamations </v>
      </c>
      <c r="D577" s="1" t="str">
        <f>IFERROR(__xludf.DUMMYFUNCTION("""COMPUTED_VALUE"""),"Opening")</f>
        <v>Opening</v>
      </c>
      <c r="E577" s="1" t="str">
        <f>IFERROR(__xludf.DUMMYFUNCTION("""COMPUTED_VALUE"""),"All K-12 schools must return students to full-time, in-person instruction. Parents will still have the option of requesting remote learning.")</f>
        <v>All K-12 schools must return students to full-time, in-person instruction. Parents will still have the option of requesting remote learning.</v>
      </c>
      <c r="F577" s="1" t="str">
        <f>IFERROR(__xludf.DUMMYFUNCTION("""COMPUTED_VALUE"""),"National Academy for State Health Policy")</f>
        <v>National Academy for State Health Policy</v>
      </c>
      <c r="G577" s="3" t="str">
        <f>IFERROR(__xludf.DUMMYFUNCTION("""COMPUTED_VALUE"""),"https://www.nashp.org/2021-covid-19-state-restrictions-re-openings-and-mask-requirements/")</f>
        <v>https://www.nashp.org/2021-covid-19-state-restrictions-re-openings-and-mask-requirements/</v>
      </c>
      <c r="H577" s="1"/>
      <c r="I577" s="1"/>
    </row>
    <row r="578">
      <c r="A578" s="2">
        <f>IFERROR(__xludf.DUMMYFUNCTION("""COMPUTED_VALUE"""),44359.0)</f>
        <v>44359</v>
      </c>
      <c r="B578" s="1" t="str">
        <f>IFERROR(__xludf.DUMMYFUNCTION("""COMPUTED_VALUE"""),"New Hampshire")</f>
        <v>New Hampshire</v>
      </c>
      <c r="C578" s="1" t="str">
        <f>IFERROR(__xludf.DUMMYFUNCTION("""COMPUTED_VALUE"""),"State of Emergency")</f>
        <v>State of Emergency</v>
      </c>
      <c r="D578" s="1" t="str">
        <f>IFERROR(__xludf.DUMMYFUNCTION("""COMPUTED_VALUE"""),"End")</f>
        <v>End</v>
      </c>
      <c r="E578" s="1" t="str">
        <f>IFERROR(__xludf.DUMMYFUNCTION("""COMPUTED_VALUE"""),"State of Emergency expired June 12, 2021")</f>
        <v>State of Emergency expired June 12, 2021</v>
      </c>
      <c r="F578" s="1" t="str">
        <f>IFERROR(__xludf.DUMMYFUNCTION("""COMPUTED_VALUE"""),"National Academy for State Health Policy")</f>
        <v>National Academy for State Health Policy</v>
      </c>
      <c r="G578" s="3" t="str">
        <f>IFERROR(__xludf.DUMMYFUNCTION("""COMPUTED_VALUE"""),"https://www.nashp.org/2021-covid-19-state-restrictions-re-openings-and-mask-requirements/")</f>
        <v>https://www.nashp.org/2021-covid-19-state-restrictions-re-openings-and-mask-requirements/</v>
      </c>
      <c r="H578" s="1"/>
      <c r="I578" s="1"/>
    </row>
    <row r="579">
      <c r="A579" s="2">
        <f>IFERROR(__xludf.DUMMYFUNCTION("""COMPUTED_VALUE"""),43899.0)</f>
        <v>43899</v>
      </c>
      <c r="B579" s="1" t="str">
        <f>IFERROR(__xludf.DUMMYFUNCTION("""COMPUTED_VALUE"""),"New Jersey")</f>
        <v>New Jersey</v>
      </c>
      <c r="C579" s="1" t="str">
        <f>IFERROR(__xludf.DUMMYFUNCTION("""COMPUTED_VALUE"""),"State of Emergency")</f>
        <v>State of Emergency</v>
      </c>
      <c r="D579" s="1" t="str">
        <f>IFERROR(__xludf.DUMMYFUNCTION("""COMPUTED_VALUE"""),"Start")</f>
        <v>Start</v>
      </c>
      <c r="E579" s="1" t="str">
        <f>IFERROR(__xludf.DUMMYFUNCTION("""COMPUTED_VALUE"""),"Gov. Phil Murphy declared a state of emergency on March 9, after 11 people in New Jersey had tested positive for the virus.")</f>
        <v>Gov. Phil Murphy declared a state of emergency on March 9, after 11 people in New Jersey had tested positive for the virus.</v>
      </c>
      <c r="F579" s="1" t="str">
        <f>IFERROR(__xludf.DUMMYFUNCTION("""COMPUTED_VALUE"""),"Business Insider")</f>
        <v>Business Insider</v>
      </c>
      <c r="G579" s="3" t="str">
        <f>IFERROR(__xludf.DUMMYFUNCTION("""COMPUTED_VALUE"""),"https://www.businessinsider.com/california-washington-state-of-emergency-coronavirus-what-it-means-2020-3#new-jersey-10")</f>
        <v>https://www.businessinsider.com/california-washington-state-of-emergency-coronavirus-what-it-means-2020-3#new-jersey-10</v>
      </c>
      <c r="H579" s="1"/>
      <c r="I579" s="1"/>
    </row>
    <row r="580">
      <c r="A580" s="2">
        <f>IFERROR(__xludf.DUMMYFUNCTION("""COMPUTED_VALUE"""),43911.0)</f>
        <v>43911</v>
      </c>
      <c r="B580" s="1" t="str">
        <f>IFERROR(__xludf.DUMMYFUNCTION("""COMPUTED_VALUE"""),"New Jersey")</f>
        <v>New Jersey</v>
      </c>
      <c r="C580" s="1" t="str">
        <f>IFERROR(__xludf.DUMMYFUNCTION("""COMPUTED_VALUE"""),"Stay-at-Home Order")</f>
        <v>Stay-at-Home Order</v>
      </c>
      <c r="D580" s="1" t="str">
        <f>IFERROR(__xludf.DUMMYFUNCTION("""COMPUTED_VALUE"""),"Start")</f>
        <v>Start</v>
      </c>
      <c r="E580" s="1" t="str">
        <f>IFERROR(__xludf.DUMMYFUNCTION("""COMPUTED_VALUE"""),"Original stay-at-home order begins")</f>
        <v>Original stay-at-home order begins</v>
      </c>
      <c r="F580" s="1" t="str">
        <f>IFERROR(__xludf.DUMMYFUNCTION("""COMPUTED_VALUE"""),"National Academy for State Health Policy")</f>
        <v>National Academy for State Health Policy</v>
      </c>
      <c r="G580" s="3" t="str">
        <f>IFERROR(__xludf.DUMMYFUNCTION("""COMPUTED_VALUE"""),"https://www.nashp.org/2020-state-reopening-chart/")</f>
        <v>https://www.nashp.org/2020-state-reopening-chart/</v>
      </c>
      <c r="H580" s="1"/>
      <c r="I580" s="1"/>
    </row>
    <row r="581">
      <c r="A581" s="2">
        <f>IFERROR(__xludf.DUMMYFUNCTION("""COMPUTED_VALUE"""),43929.0)</f>
        <v>43929</v>
      </c>
      <c r="B581" s="1" t="str">
        <f>IFERROR(__xludf.DUMMYFUNCTION("""COMPUTED_VALUE"""),"New Jersey")</f>
        <v>New Jersey</v>
      </c>
      <c r="C581" s="1" t="str">
        <f>IFERROR(__xludf.DUMMYFUNCTION("""COMPUTED_VALUE"""),"Mask Mandate")</f>
        <v>Mask Mandate</v>
      </c>
      <c r="D581" s="1" t="str">
        <f>IFERROR(__xludf.DUMMYFUNCTION("""COMPUTED_VALUE"""),"Start")</f>
        <v>Start</v>
      </c>
      <c r="E581" s="1" t="str">
        <f>IFERROR(__xludf.DUMMYFUNCTION("""COMPUTED_VALUE"""),"New Jersey was the first state to require customers and employees to wear face coverings at essential businesses and construction sites. Businesses must provide them to employees and deny entry to any customer who refuse to wear them (though customers can"&amp;" still pick up food or medicines in other contact-free ways). Commuters on New Jersey's trains, buses and light rails must wear face coverings. If they refuse, they may be denied entry.")</f>
        <v>New Jersey was the first state to require customers and employees to wear face coverings at essential businesses and construction sites. Businesses must provide them to employees and deny entry to any customer who refuse to wear them (though customers can still pick up food or medicines in other contact-free ways). Commuters on New Jersey's trains, buses and light rails must wear face coverings. If they refuse, they may be denied entry.</v>
      </c>
      <c r="F581" s="1" t="str">
        <f>IFERROR(__xludf.DUMMYFUNCTION("""COMPUTED_VALUE"""),"CNN")</f>
        <v>CNN</v>
      </c>
      <c r="G581" s="3" t="str">
        <f>IFERROR(__xludf.DUMMYFUNCTION("""COMPUTED_VALUE"""),"https://www.cnn.com/2020/06/19/us/states-face-mask-coronavirus-trnd/index.html")</f>
        <v>https://www.cnn.com/2020/06/19/us/states-face-mask-coronavirus-trnd/index.html</v>
      </c>
      <c r="H581" s="1"/>
      <c r="I581" s="1"/>
    </row>
    <row r="582">
      <c r="A582" s="2">
        <f>IFERROR(__xludf.DUMMYFUNCTION("""COMPUTED_VALUE"""),43977.0)</f>
        <v>43977</v>
      </c>
      <c r="B582" s="1" t="str">
        <f>IFERROR(__xludf.DUMMYFUNCTION("""COMPUTED_VALUE"""),"New Jersey")</f>
        <v>New Jersey</v>
      </c>
      <c r="C582" s="1" t="str">
        <f>IFERROR(__xludf.DUMMYFUNCTION("""COMPUTED_VALUE"""),"State Proclamations ")</f>
        <v>State Proclamations </v>
      </c>
      <c r="D582" s="1" t="str">
        <f>IFERROR(__xludf.DUMMYFUNCTION("""COMPUTED_VALUE"""),"Opening")</f>
        <v>Opening</v>
      </c>
      <c r="E582" s="1" t="str">
        <f>IFERROR(__xludf.DUMMYFUNCTION("""COMPUTED_VALUE"""),"New Jersey has reopened retail stores, outdoor dining at restaurants, personal care services, houses of worship, libraries with restrictions, beaches, and pools. Nonessential medical procedures resumed May 26.")</f>
        <v>New Jersey has reopened retail stores, outdoor dining at restaurants, personal care services, houses of worship, libraries with restrictions, beaches, and pools. Nonessential medical procedures resumed May 26.</v>
      </c>
      <c r="F582" s="1" t="str">
        <f>IFERROR(__xludf.DUMMYFUNCTION("""COMPUTED_VALUE"""),"National Academy for State Health Policy")</f>
        <v>National Academy for State Health Policy</v>
      </c>
      <c r="G582" s="3" t="str">
        <f>IFERROR(__xludf.DUMMYFUNCTION("""COMPUTED_VALUE"""),"https://www.nashp.org/2020-state-reopening-chart/")</f>
        <v>https://www.nashp.org/2020-state-reopening-chart/</v>
      </c>
      <c r="H582" s="1"/>
      <c r="I582" s="1"/>
    </row>
    <row r="583">
      <c r="A583" s="2">
        <f>IFERROR(__xludf.DUMMYFUNCTION("""COMPUTED_VALUE"""),43991.0)</f>
        <v>43991</v>
      </c>
      <c r="B583" s="1" t="str">
        <f>IFERROR(__xludf.DUMMYFUNCTION("""COMPUTED_VALUE"""),"New Jersey")</f>
        <v>New Jersey</v>
      </c>
      <c r="C583" s="1" t="str">
        <f>IFERROR(__xludf.DUMMYFUNCTION("""COMPUTED_VALUE"""),"Stay-at-Home Order")</f>
        <v>Stay-at-Home Order</v>
      </c>
      <c r="D583" s="1" t="str">
        <f>IFERROR(__xludf.DUMMYFUNCTION("""COMPUTED_VALUE"""),"End")</f>
        <v>End</v>
      </c>
      <c r="E583" s="1" t="str">
        <f>IFERROR(__xludf.DUMMYFUNCTION("""COMPUTED_VALUE"""),"Original stay-at-home order ends")</f>
        <v>Original stay-at-home order ends</v>
      </c>
      <c r="F583" s="1" t="str">
        <f>IFERROR(__xludf.DUMMYFUNCTION("""COMPUTED_VALUE"""),"National Academy for State Health Policy")</f>
        <v>National Academy for State Health Policy</v>
      </c>
      <c r="G583" s="3" t="str">
        <f>IFERROR(__xludf.DUMMYFUNCTION("""COMPUTED_VALUE"""),"https://www.nashp.org/2020-state-reopening-chart/")</f>
        <v>https://www.nashp.org/2020-state-reopening-chart/</v>
      </c>
      <c r="H583" s="1"/>
      <c r="I583" s="1"/>
    </row>
    <row r="584">
      <c r="A584" s="2">
        <f>IFERROR(__xludf.DUMMYFUNCTION("""COMPUTED_VALUE"""),43997.0)</f>
        <v>43997</v>
      </c>
      <c r="B584" s="1" t="str">
        <f>IFERROR(__xludf.DUMMYFUNCTION("""COMPUTED_VALUE"""),"New Jersey")</f>
        <v>New Jersey</v>
      </c>
      <c r="C584" s="1" t="str">
        <f>IFERROR(__xludf.DUMMYFUNCTION("""COMPUTED_VALUE"""),"State Proclamations ")</f>
        <v>State Proclamations </v>
      </c>
      <c r="D584" s="1" t="str">
        <f>IFERROR(__xludf.DUMMYFUNCTION("""COMPUTED_VALUE"""),"Opening")</f>
        <v>Opening</v>
      </c>
      <c r="E584" s="1" t="str">
        <f>IFERROR(__xludf.DUMMYFUNCTION("""COMPUTED_VALUE"""),"Retail and outdoor dining resumed.")</f>
        <v>Retail and outdoor dining resumed.</v>
      </c>
      <c r="F584" s="1" t="str">
        <f>IFERROR(__xludf.DUMMYFUNCTION("""COMPUTED_VALUE"""),"National Academy for State Health Policy")</f>
        <v>National Academy for State Health Policy</v>
      </c>
      <c r="G584" s="3" t="str">
        <f>IFERROR(__xludf.DUMMYFUNCTION("""COMPUTED_VALUE"""),"https://www.nashp.org/2020-state-reopening-chart/")</f>
        <v>https://www.nashp.org/2020-state-reopening-chart/</v>
      </c>
      <c r="H584" s="1"/>
      <c r="I584" s="1"/>
    </row>
    <row r="585">
      <c r="A585" s="2">
        <f>IFERROR(__xludf.DUMMYFUNCTION("""COMPUTED_VALUE"""),44004.0)</f>
        <v>44004</v>
      </c>
      <c r="B585" s="1" t="str">
        <f>IFERROR(__xludf.DUMMYFUNCTION("""COMPUTED_VALUE"""),"New Jersey")</f>
        <v>New Jersey</v>
      </c>
      <c r="C585" s="1" t="str">
        <f>IFERROR(__xludf.DUMMYFUNCTION("""COMPUTED_VALUE"""),"State Proclamations ")</f>
        <v>State Proclamations </v>
      </c>
      <c r="D585" s="1" t="str">
        <f>IFERROR(__xludf.DUMMYFUNCTION("""COMPUTED_VALUE"""),"Opening")</f>
        <v>Opening</v>
      </c>
      <c r="E585" s="1" t="str">
        <f>IFERROR(__xludf.DUMMYFUNCTION("""COMPUTED_VALUE"""),"Barber shops and salons reopened.")</f>
        <v>Barber shops and salons reopened.</v>
      </c>
      <c r="F585" s="1" t="str">
        <f>IFERROR(__xludf.DUMMYFUNCTION("""COMPUTED_VALUE"""),"National Academy for State Health Policy")</f>
        <v>National Academy for State Health Policy</v>
      </c>
      <c r="G585" s="3" t="str">
        <f>IFERROR(__xludf.DUMMYFUNCTION("""COMPUTED_VALUE"""),"https://www.nashp.org/2020-state-reopening-chart/")</f>
        <v>https://www.nashp.org/2020-state-reopening-chart/</v>
      </c>
      <c r="H585" s="1"/>
      <c r="I585" s="1"/>
    </row>
    <row r="586">
      <c r="A586" s="2">
        <f>IFERROR(__xludf.DUMMYFUNCTION("""COMPUTED_VALUE"""),44011.0)</f>
        <v>44011</v>
      </c>
      <c r="B586" s="1" t="str">
        <f>IFERROR(__xludf.DUMMYFUNCTION("""COMPUTED_VALUE"""),"New Jersey")</f>
        <v>New Jersey</v>
      </c>
      <c r="C586" s="1" t="str">
        <f>IFERROR(__xludf.DUMMYFUNCTION("""COMPUTED_VALUE"""),"State Proclamations ")</f>
        <v>State Proclamations </v>
      </c>
      <c r="D586" s="1" t="str">
        <f>IFERROR(__xludf.DUMMYFUNCTION("""COMPUTED_VALUE"""),"Closing")</f>
        <v>Closing</v>
      </c>
      <c r="E586" s="1" t="str">
        <f>IFERROR(__xludf.DUMMYFUNCTION("""COMPUTED_VALUE"""),"Due to an increase of infections in other states, the governor announced postponement of indoor dining originally set to open on July 27.")</f>
        <v>Due to an increase of infections in other states, the governor announced postponement of indoor dining originally set to open on July 27.</v>
      </c>
      <c r="F586" s="1" t="str">
        <f>IFERROR(__xludf.DUMMYFUNCTION("""COMPUTED_VALUE"""),"National Academy for State Health Policy")</f>
        <v>National Academy for State Health Policy</v>
      </c>
      <c r="G586" s="3" t="str">
        <f>IFERROR(__xludf.DUMMYFUNCTION("""COMPUTED_VALUE"""),"https://www.nashp.org/2020-state-reopening-chart/")</f>
        <v>https://www.nashp.org/2020-state-reopening-chart/</v>
      </c>
      <c r="H586" s="1"/>
      <c r="I586" s="1"/>
    </row>
    <row r="587">
      <c r="A587" s="2">
        <f>IFERROR(__xludf.DUMMYFUNCTION("""COMPUTED_VALUE"""),44032.0)</f>
        <v>44032</v>
      </c>
      <c r="B587" s="1" t="str">
        <f>IFERROR(__xludf.DUMMYFUNCTION("""COMPUTED_VALUE"""),"New Jersey")</f>
        <v>New Jersey</v>
      </c>
      <c r="C587" s="1" t="str">
        <f>IFERROR(__xludf.DUMMYFUNCTION("""COMPUTED_VALUE"""),"State Proclamations ")</f>
        <v>State Proclamations </v>
      </c>
      <c r="D587" s="1" t="str">
        <f>IFERROR(__xludf.DUMMYFUNCTION("""COMPUTED_VALUE"""),"Opening")</f>
        <v>Opening</v>
      </c>
      <c r="E587" s="1" t="str">
        <f>IFERROR(__xludf.DUMMYFUNCTION("""COMPUTED_VALUE"""),"Contact practices and competitions in outdoor settings for organized sports allowed to resume.")</f>
        <v>Contact practices and competitions in outdoor settings for organized sports allowed to resume.</v>
      </c>
      <c r="F587" s="1" t="str">
        <f>IFERROR(__xludf.DUMMYFUNCTION("""COMPUTED_VALUE"""),"National Academy for State Health Policy")</f>
        <v>National Academy for State Health Policy</v>
      </c>
      <c r="G587" s="3" t="str">
        <f>IFERROR(__xludf.DUMMYFUNCTION("""COMPUTED_VALUE"""),"https://www.nashp.org/2020-state-reopening-chart/")</f>
        <v>https://www.nashp.org/2020-state-reopening-chart/</v>
      </c>
      <c r="H587" s="1"/>
      <c r="I587" s="1"/>
    </row>
    <row r="588">
      <c r="A588" s="2">
        <f>IFERROR(__xludf.DUMMYFUNCTION("""COMPUTED_VALUE"""),44075.0)</f>
        <v>44075</v>
      </c>
      <c r="B588" s="1" t="str">
        <f>IFERROR(__xludf.DUMMYFUNCTION("""COMPUTED_VALUE"""),"New Jersey")</f>
        <v>New Jersey</v>
      </c>
      <c r="C588" s="1" t="str">
        <f>IFERROR(__xludf.DUMMYFUNCTION("""COMPUTED_VALUE"""),"State Proclamations ")</f>
        <v>State Proclamations </v>
      </c>
      <c r="D588" s="1" t="str">
        <f>IFERROR(__xludf.DUMMYFUNCTION("""COMPUTED_VALUE"""),"Opening")</f>
        <v>Opening</v>
      </c>
      <c r="E588" s="1" t="str">
        <f>IFERROR(__xludf.DUMMYFUNCTION("""COMPUTED_VALUE"""),"Gyms and health clubs reopened, along with amusement parks and water parks. The limit for indoor gatherings for religious services or celebrations increased to 25% with a maximum for 150 people.")</f>
        <v>Gyms and health clubs reopened, along with amusement parks and water parks. The limit for indoor gatherings for religious services or celebrations increased to 25% with a maximum for 150 people.</v>
      </c>
      <c r="F588" s="1" t="str">
        <f>IFERROR(__xludf.DUMMYFUNCTION("""COMPUTED_VALUE"""),"National Academy for State Health Policy")</f>
        <v>National Academy for State Health Policy</v>
      </c>
      <c r="G588" s="3" t="str">
        <f>IFERROR(__xludf.DUMMYFUNCTION("""COMPUTED_VALUE"""),"https://www.nashp.org/2020-state-reopening-chart/")</f>
        <v>https://www.nashp.org/2020-state-reopening-chart/</v>
      </c>
      <c r="H588" s="1"/>
      <c r="I588" s="1"/>
    </row>
    <row r="589">
      <c r="A589" s="2">
        <f>IFERROR(__xludf.DUMMYFUNCTION("""COMPUTED_VALUE"""),44078.0)</f>
        <v>44078</v>
      </c>
      <c r="B589" s="1" t="str">
        <f>IFERROR(__xludf.DUMMYFUNCTION("""COMPUTED_VALUE"""),"New Jersey")</f>
        <v>New Jersey</v>
      </c>
      <c r="C589" s="1" t="str">
        <f>IFERROR(__xludf.DUMMYFUNCTION("""COMPUTED_VALUE"""),"State Proclamations ")</f>
        <v>State Proclamations </v>
      </c>
      <c r="D589" s="1" t="str">
        <f>IFERROR(__xludf.DUMMYFUNCTION("""COMPUTED_VALUE"""),"Opening")</f>
        <v>Opening</v>
      </c>
      <c r="E589" s="1" t="str">
        <f>IFERROR(__xludf.DUMMYFUNCTION("""COMPUTED_VALUE"""),"Restaurants resumed indoor dining at limited capacity, and theaters and indoor performance venues reopened at 25% capacity with a maximum of 150 people.")</f>
        <v>Restaurants resumed indoor dining at limited capacity, and theaters and indoor performance venues reopened at 25% capacity with a maximum of 150 people.</v>
      </c>
      <c r="F589" s="1" t="str">
        <f>IFERROR(__xludf.DUMMYFUNCTION("""COMPUTED_VALUE"""),"National Academy for State Health Policy")</f>
        <v>National Academy for State Health Policy</v>
      </c>
      <c r="G589" s="3" t="str">
        <f>IFERROR(__xludf.DUMMYFUNCTION("""COMPUTED_VALUE"""),"https://www.nashp.org/2020-state-reopening-chart/")</f>
        <v>https://www.nashp.org/2020-state-reopening-chart/</v>
      </c>
      <c r="H589" s="1"/>
      <c r="I589" s="1"/>
    </row>
    <row r="590">
      <c r="A590" s="2">
        <f>IFERROR(__xludf.DUMMYFUNCTION("""COMPUTED_VALUE"""),44117.0)</f>
        <v>44117</v>
      </c>
      <c r="B590" s="1" t="str">
        <f>IFERROR(__xludf.DUMMYFUNCTION("""COMPUTED_VALUE"""),"New Jersey")</f>
        <v>New Jersey</v>
      </c>
      <c r="C590" s="1" t="str">
        <f>IFERROR(__xludf.DUMMYFUNCTION("""COMPUTED_VALUE"""),"State Proclamations ")</f>
        <v>State Proclamations </v>
      </c>
      <c r="D590" s="1" t="str">
        <f>IFERROR(__xludf.DUMMYFUNCTION("""COMPUTED_VALUE"""),"Opening")</f>
        <v>Opening</v>
      </c>
      <c r="E590" s="1" t="str">
        <f>IFERROR(__xludf.DUMMYFUNCTION("""COMPUTED_VALUE"""),"State-classified medium- and high-risk sports practices and games resumed in indoor venues with capacity limits.")</f>
        <v>State-classified medium- and high-risk sports practices and games resumed in indoor venues with capacity limits.</v>
      </c>
      <c r="F590" s="1" t="str">
        <f>IFERROR(__xludf.DUMMYFUNCTION("""COMPUTED_VALUE"""),"National Academy for State Health Policy")</f>
        <v>National Academy for State Health Policy</v>
      </c>
      <c r="G590" s="3" t="str">
        <f>IFERROR(__xludf.DUMMYFUNCTION("""COMPUTED_VALUE"""),"https://www.nashp.org/2020-state-reopening-chart/")</f>
        <v>https://www.nashp.org/2020-state-reopening-chart/</v>
      </c>
      <c r="H590" s="1"/>
      <c r="I590" s="1"/>
    </row>
    <row r="591">
      <c r="A591" s="2">
        <f>IFERROR(__xludf.DUMMYFUNCTION("""COMPUTED_VALUE"""),44130.0)</f>
        <v>44130</v>
      </c>
      <c r="B591" s="1" t="str">
        <f>IFERROR(__xludf.DUMMYFUNCTION("""COMPUTED_VALUE"""),"New Jersey")</f>
        <v>New Jersey</v>
      </c>
      <c r="C591" s="1" t="str">
        <f>IFERROR(__xludf.DUMMYFUNCTION("""COMPUTED_VALUE"""),"State Proclamations ")</f>
        <v>State Proclamations </v>
      </c>
      <c r="D591" s="1" t="str">
        <f>IFERROR(__xludf.DUMMYFUNCTION("""COMPUTED_VALUE"""),"Closing")</f>
        <v>Closing</v>
      </c>
      <c r="E591" s="1" t="str">
        <f>IFERROR(__xludf.DUMMYFUNCTION("""COMPUTED_VALUE"""),"The mayor of Newark ordered nonessential businesses and restaurants to close. Beauty salons, nail salons, and barbershops will only be able to offer their services by appointment, and gyms must be closed for at least 30 minutes eaech day for sanitization.")</f>
        <v>The mayor of Newark ordered nonessential businesses and restaurants to close. Beauty salons, nail salons, and barbershops will only be able to offer their services by appointment, and gyms must be closed for at least 30 minutes eaech day for sanitization.</v>
      </c>
      <c r="F591" s="1" t="str">
        <f>IFERROR(__xludf.DUMMYFUNCTION("""COMPUTED_VALUE"""),"National Academy for State Health Policy")</f>
        <v>National Academy for State Health Policy</v>
      </c>
      <c r="G591" s="3" t="str">
        <f>IFERROR(__xludf.DUMMYFUNCTION("""COMPUTED_VALUE"""),"https://www.nashp.org/2020-state-reopening-chart/")</f>
        <v>https://www.nashp.org/2020-state-reopening-chart/</v>
      </c>
      <c r="H591" s="1"/>
      <c r="I591" s="1"/>
    </row>
    <row r="592">
      <c r="A592" s="2">
        <f>IFERROR(__xludf.DUMMYFUNCTION("""COMPUTED_VALUE"""),44147.0)</f>
        <v>44147</v>
      </c>
      <c r="B592" s="1" t="str">
        <f>IFERROR(__xludf.DUMMYFUNCTION("""COMPUTED_VALUE"""),"New Jersey")</f>
        <v>New Jersey</v>
      </c>
      <c r="C592" s="1" t="str">
        <f>IFERROR(__xludf.DUMMYFUNCTION("""COMPUTED_VALUE"""),"State Proclamations ")</f>
        <v>State Proclamations </v>
      </c>
      <c r="D592" s="1" t="str">
        <f>IFERROR(__xludf.DUMMYFUNCTION("""COMPUTED_VALUE"""),"Closing")</f>
        <v>Closing</v>
      </c>
      <c r="E592" s="1" t="str">
        <f>IFERROR(__xludf.DUMMYFUNCTION("""COMPUTED_VALUE"""),"All restaurants, bars, clubs, and lounges that serve food and drink must close their indoor premises for business by 10 p.m. each day and cannot open until at least 5 a.m. the following day. Outdoor dining, take-out, and delivery services may continue pas"&amp;"t 10 p.m. Casinos must stop food beverage service between 10 p.m. and 5 a.m., and retail, recreational, and entertainment businesses must prohibit consumption of food or beverages indoors between 10 p.m. and 5 a.m. Towns and counties will have the discret"&amp;"ion to close bars, restaurants and other businesses by 8 p.m.")</f>
        <v>All restaurants, bars, clubs, and lounges that serve food and drink must close their indoor premises for business by 10 p.m. each day and cannot open until at least 5 a.m. the following day. Outdoor dining, take-out, and delivery services may continue past 10 p.m. Casinos must stop food beverage service between 10 p.m. and 5 a.m., and retail, recreational, and entertainment businesses must prohibit consumption of food or beverages indoors between 10 p.m. and 5 a.m. Towns and counties will have the discretion to close bars, restaurants and other businesses by 8 p.m.</v>
      </c>
      <c r="F592" s="1" t="str">
        <f>IFERROR(__xludf.DUMMYFUNCTION("""COMPUTED_VALUE"""),"National Academy for State Health Policy")</f>
        <v>National Academy for State Health Policy</v>
      </c>
      <c r="G592" s="3" t="str">
        <f>IFERROR(__xludf.DUMMYFUNCTION("""COMPUTED_VALUE"""),"https://www.nashp.org/2020-state-reopening-chart/")</f>
        <v>https://www.nashp.org/2020-state-reopening-chart/</v>
      </c>
      <c r="H592" s="1"/>
      <c r="I592" s="1"/>
    </row>
    <row r="593">
      <c r="A593" s="2">
        <f>IFERROR(__xludf.DUMMYFUNCTION("""COMPUTED_VALUE"""),44151.0)</f>
        <v>44151</v>
      </c>
      <c r="B593" s="1" t="str">
        <f>IFERROR(__xludf.DUMMYFUNCTION("""COMPUTED_VALUE"""),"New Jersey")</f>
        <v>New Jersey</v>
      </c>
      <c r="C593" s="1" t="str">
        <f>IFERROR(__xludf.DUMMYFUNCTION("""COMPUTED_VALUE"""),"State Proclamations ")</f>
        <v>State Proclamations </v>
      </c>
      <c r="D593" s="1" t="str">
        <f>IFERROR(__xludf.DUMMYFUNCTION("""COMPUTED_VALUE"""),"Closing")</f>
        <v>Closing</v>
      </c>
      <c r="E593" s="1" t="str">
        <f>IFERROR(__xludf.DUMMYFUNCTION("""COMPUTED_VALUE"""),"The governor lowered indoor gathering limits from 25 people to 10 people.")</f>
        <v>The governor lowered indoor gathering limits from 25 people to 10 people.</v>
      </c>
      <c r="F593" s="1" t="str">
        <f>IFERROR(__xludf.DUMMYFUNCTION("""COMPUTED_VALUE"""),"National Academy for State Health Policy")</f>
        <v>National Academy for State Health Policy</v>
      </c>
      <c r="G593" s="3" t="str">
        <f>IFERROR(__xludf.DUMMYFUNCTION("""COMPUTED_VALUE"""),"https://www.nashp.org/2020-state-reopening-chart/")</f>
        <v>https://www.nashp.org/2020-state-reopening-chart/</v>
      </c>
      <c r="H593" s="1"/>
      <c r="I593" s="1"/>
    </row>
    <row r="594">
      <c r="A594" s="2">
        <f>IFERROR(__xludf.DUMMYFUNCTION("""COMPUTED_VALUE"""),44158.0)</f>
        <v>44158</v>
      </c>
      <c r="B594" s="1" t="str">
        <f>IFERROR(__xludf.DUMMYFUNCTION("""COMPUTED_VALUE"""),"New Jersey")</f>
        <v>New Jersey</v>
      </c>
      <c r="C594" s="1" t="str">
        <f>IFERROR(__xludf.DUMMYFUNCTION("""COMPUTED_VALUE"""),"State Proclamations ")</f>
        <v>State Proclamations </v>
      </c>
      <c r="D594" s="1" t="str">
        <f>IFERROR(__xludf.DUMMYFUNCTION("""COMPUTED_VALUE"""),"Closing")</f>
        <v>Closing</v>
      </c>
      <c r="E594" s="1" t="str">
        <f>IFERROR(__xludf.DUMMYFUNCTION("""COMPUTED_VALUE"""),"Outdoor gatherings will be limited to 150 people.")</f>
        <v>Outdoor gatherings will be limited to 150 people.</v>
      </c>
      <c r="F594" s="1" t="str">
        <f>IFERROR(__xludf.DUMMYFUNCTION("""COMPUTED_VALUE"""),"National Academy for State Health Policy")</f>
        <v>National Academy for State Health Policy</v>
      </c>
      <c r="G594" s="3" t="str">
        <f>IFERROR(__xludf.DUMMYFUNCTION("""COMPUTED_VALUE"""),"https://www.nashp.org/2020-state-reopening-chart/")</f>
        <v>https://www.nashp.org/2020-state-reopening-chart/</v>
      </c>
      <c r="H594" s="1"/>
      <c r="I594" s="1"/>
    </row>
    <row r="595">
      <c r="A595" s="2">
        <f>IFERROR(__xludf.DUMMYFUNCTION("""COMPUTED_VALUE"""),44170.0)</f>
        <v>44170</v>
      </c>
      <c r="B595" s="1" t="str">
        <f>IFERROR(__xludf.DUMMYFUNCTION("""COMPUTED_VALUE"""),"New Jersey")</f>
        <v>New Jersey</v>
      </c>
      <c r="C595" s="1" t="str">
        <f>IFERROR(__xludf.DUMMYFUNCTION("""COMPUTED_VALUE"""),"State Proclamations ")</f>
        <v>State Proclamations </v>
      </c>
      <c r="D595" s="1" t="str">
        <f>IFERROR(__xludf.DUMMYFUNCTION("""COMPUTED_VALUE"""),"Closing")</f>
        <v>Closing</v>
      </c>
      <c r="E595" s="1" t="str">
        <f>IFERROR(__xludf.DUMMYFUNCTION("""COMPUTED_VALUE"""),"All high school and youth sports will be banned through at least Jan. 2, 2021.")</f>
        <v>All high school and youth sports will be banned through at least Jan. 2, 2021.</v>
      </c>
      <c r="F595" s="1" t="str">
        <f>IFERROR(__xludf.DUMMYFUNCTION("""COMPUTED_VALUE"""),"National Academy for State Health Policy")</f>
        <v>National Academy for State Health Policy</v>
      </c>
      <c r="G595" s="3" t="str">
        <f>IFERROR(__xludf.DUMMYFUNCTION("""COMPUTED_VALUE"""),"https://www.nashp.org/2020-state-reopening-chart/")</f>
        <v>https://www.nashp.org/2020-state-reopening-chart/</v>
      </c>
      <c r="H595" s="1"/>
      <c r="I595" s="1"/>
    </row>
    <row r="596">
      <c r="A596" s="2">
        <f>IFERROR(__xludf.DUMMYFUNCTION("""COMPUTED_VALUE"""),44172.0)</f>
        <v>44172</v>
      </c>
      <c r="B596" s="1" t="str">
        <f>IFERROR(__xludf.DUMMYFUNCTION("""COMPUTED_VALUE"""),"New Jersey")</f>
        <v>New Jersey</v>
      </c>
      <c r="C596" s="1" t="str">
        <f>IFERROR(__xludf.DUMMYFUNCTION("""COMPUTED_VALUE"""),"State Proclamations ")</f>
        <v>State Proclamations </v>
      </c>
      <c r="D596" s="1" t="str">
        <f>IFERROR(__xludf.DUMMYFUNCTION("""COMPUTED_VALUE"""),"Closing")</f>
        <v>Closing</v>
      </c>
      <c r="E596" s="1" t="str">
        <f>IFERROR(__xludf.DUMMYFUNCTION("""COMPUTED_VALUE"""),"Outdoor gatherings are limited to 25 people.")</f>
        <v>Outdoor gatherings are limited to 25 people.</v>
      </c>
      <c r="F596" s="1" t="str">
        <f>IFERROR(__xludf.DUMMYFUNCTION("""COMPUTED_VALUE"""),"National Academy for State Health Policy")</f>
        <v>National Academy for State Health Policy</v>
      </c>
      <c r="G596" s="3" t="str">
        <f>IFERROR(__xludf.DUMMYFUNCTION("""COMPUTED_VALUE"""),"https://www.nashp.org/2020-state-reopening-chart/")</f>
        <v>https://www.nashp.org/2020-state-reopening-chart/</v>
      </c>
      <c r="H596" s="1"/>
      <c r="I596" s="1"/>
    </row>
    <row r="597">
      <c r="A597" s="2">
        <f>IFERROR(__xludf.DUMMYFUNCTION("""COMPUTED_VALUE"""),44186.0)</f>
        <v>44186</v>
      </c>
      <c r="B597" s="1" t="str">
        <f>IFERROR(__xludf.DUMMYFUNCTION("""COMPUTED_VALUE"""),"New Jersey")</f>
        <v>New Jersey</v>
      </c>
      <c r="C597" s="1" t="str">
        <f>IFERROR(__xludf.DUMMYFUNCTION("""COMPUTED_VALUE"""),"State Proclamations ")</f>
        <v>State Proclamations </v>
      </c>
      <c r="D597" s="1" t="str">
        <f>IFERROR(__xludf.DUMMYFUNCTION("""COMPUTED_VALUE"""),"Closing")</f>
        <v>Closing</v>
      </c>
      <c r="E597" s="1" t="str">
        <f>IFERROR(__xludf.DUMMYFUNCTION("""COMPUTED_VALUE"""),"The governor extended the state’s coronavirus emergency order through Jan. 20, 2021.")</f>
        <v>The governor extended the state’s coronavirus emergency order through Jan. 20, 2021.</v>
      </c>
      <c r="F597" s="1" t="str">
        <f>IFERROR(__xludf.DUMMYFUNCTION("""COMPUTED_VALUE"""),"National Academy for State Health Policy")</f>
        <v>National Academy for State Health Policy</v>
      </c>
      <c r="G597" s="3" t="str">
        <f>IFERROR(__xludf.DUMMYFUNCTION("""COMPUTED_VALUE"""),"https://www.nashp.org/2020-state-reopening-chart/")</f>
        <v>https://www.nashp.org/2020-state-reopening-chart/</v>
      </c>
      <c r="H597" s="1"/>
      <c r="I597" s="1"/>
    </row>
    <row r="598">
      <c r="A598" s="2">
        <f>IFERROR(__xludf.DUMMYFUNCTION("""COMPUTED_VALUE"""),44232.0)</f>
        <v>44232</v>
      </c>
      <c r="B598" s="1" t="str">
        <f>IFERROR(__xludf.DUMMYFUNCTION("""COMPUTED_VALUE"""),"New Jersey")</f>
        <v>New Jersey</v>
      </c>
      <c r="C598" s="1" t="str">
        <f>IFERROR(__xludf.DUMMYFUNCTION("""COMPUTED_VALUE"""),"State Proclamations ")</f>
        <v>State Proclamations </v>
      </c>
      <c r="D598" s="1" t="str">
        <f>IFERROR(__xludf.DUMMYFUNCTION("""COMPUTED_VALUE"""),"Opening")</f>
        <v>Opening</v>
      </c>
      <c r="E598" s="1" t="str">
        <f>IFERROR(__xludf.DUMMYFUNCTION("""COMPUTED_VALUE"""),"Food and drink establishments and entertainment and recreational venues (such as casinos and gyms) can increase capacity from 25% to 35%, and the 10 p.m. indoor dining curfew is lifted.")</f>
        <v>Food and drink establishments and entertainment and recreational venues (such as casinos and gyms) can increase capacity from 25% to 35%, and the 10 p.m. indoor dining curfew is lifted.</v>
      </c>
      <c r="F598" s="1" t="str">
        <f>IFERROR(__xludf.DUMMYFUNCTION("""COMPUTED_VALUE"""),"National Academy for State Health Policy")</f>
        <v>National Academy for State Health Policy</v>
      </c>
      <c r="G598" s="3" t="str">
        <f>IFERROR(__xludf.DUMMYFUNCTION("""COMPUTED_VALUE"""),"https://www.nashp.org/2021-covid-19-state-restrictions-re-openings-and-mask-requirements/")</f>
        <v>https://www.nashp.org/2021-covid-19-state-restrictions-re-openings-and-mask-requirements/</v>
      </c>
      <c r="H598" s="1"/>
      <c r="I598" s="1"/>
    </row>
    <row r="599">
      <c r="A599" s="2">
        <f>IFERROR(__xludf.DUMMYFUNCTION("""COMPUTED_VALUE"""),44239.0)</f>
        <v>44239</v>
      </c>
      <c r="B599" s="1" t="str">
        <f>IFERROR(__xludf.DUMMYFUNCTION("""COMPUTED_VALUE"""),"New Jersey")</f>
        <v>New Jersey</v>
      </c>
      <c r="C599" s="1" t="str">
        <f>IFERROR(__xludf.DUMMYFUNCTION("""COMPUTED_VALUE"""),"State Proclamations ")</f>
        <v>State Proclamations </v>
      </c>
      <c r="D599" s="1" t="str">
        <f>IFERROR(__xludf.DUMMYFUNCTION("""COMPUTED_VALUE"""),"Opening")</f>
        <v>Opening</v>
      </c>
      <c r="E599" s="1" t="str">
        <f>IFERROR(__xludf.DUMMYFUNCTION("""COMPUTED_VALUE"""),"Gov. Phil Murphy issued an order allowing limited spectators at youth sporting events. Two parents or legal guardians are allowed to attend per athlete, and total attendance can never exceed the lesser of 35% capacity or 150 people.")</f>
        <v>Gov. Phil Murphy issued an order allowing limited spectators at youth sporting events. Two parents or legal guardians are allowed to attend per athlete, and total attendance can never exceed the lesser of 35% capacity or 150 people.</v>
      </c>
      <c r="F599" s="1" t="str">
        <f>IFERROR(__xludf.DUMMYFUNCTION("""COMPUTED_VALUE"""),"National Academy for State Health Policy")</f>
        <v>National Academy for State Health Policy</v>
      </c>
      <c r="G599" s="3" t="str">
        <f>IFERROR(__xludf.DUMMYFUNCTION("""COMPUTED_VALUE"""),"https://www.nashp.org/2021-covid-19-state-restrictions-re-openings-and-mask-requirements/")</f>
        <v>https://www.nashp.org/2021-covid-19-state-restrictions-re-openings-and-mask-requirements/</v>
      </c>
      <c r="H599" s="1"/>
      <c r="I599" s="1"/>
    </row>
    <row r="600">
      <c r="A600" s="2">
        <f>IFERROR(__xludf.DUMMYFUNCTION("""COMPUTED_VALUE"""),44249.0)</f>
        <v>44249</v>
      </c>
      <c r="B600" s="1" t="str">
        <f>IFERROR(__xludf.DUMMYFUNCTION("""COMPUTED_VALUE"""),"New Jersey")</f>
        <v>New Jersey</v>
      </c>
      <c r="C600" s="1" t="str">
        <f>IFERROR(__xludf.DUMMYFUNCTION("""COMPUTED_VALUE"""),"State Proclamations ")</f>
        <v>State Proclamations </v>
      </c>
      <c r="D600" s="1" t="str">
        <f>IFERROR(__xludf.DUMMYFUNCTION("""COMPUTED_VALUE"""),"Opening")</f>
        <v>Opening</v>
      </c>
      <c r="E600" s="1" t="str">
        <f>IFERROR(__xludf.DUMMYFUNCTION("""COMPUTED_VALUE"""),"Religious services can operate at 50% of a room’s capacity. Previously, religious services were limited to the lesser of 35% capacity or 150 individuals. Additionally, up to two parents per student can attend collegiate sports practices and competitions, "&amp;"as long as the number of spectators does not exceed 35% of the indoor event room’s capacity. Sports stadiums and entertainment venues with a capacity of 5,000 people or more can operate at 10% capacity indoors or 15% outdoors.")</f>
        <v>Religious services can operate at 50% of a room’s capacity. Previously, religious services were limited to the lesser of 35% capacity or 150 individuals. Additionally, up to two parents per student can attend collegiate sports practices and competitions, as long as the number of spectators does not exceed 35% of the indoor event room’s capacity. Sports stadiums and entertainment venues with a capacity of 5,000 people or more can operate at 10% capacity indoors or 15% outdoors.</v>
      </c>
      <c r="F600" s="1" t="str">
        <f>IFERROR(__xludf.DUMMYFUNCTION("""COMPUTED_VALUE"""),"National Academy for State Health Policy")</f>
        <v>National Academy for State Health Policy</v>
      </c>
      <c r="G600" s="3" t="str">
        <f>IFERROR(__xludf.DUMMYFUNCTION("""COMPUTED_VALUE"""),"https://www.nashp.org/2021-covid-19-state-restrictions-re-openings-and-mask-requirements/")</f>
        <v>https://www.nashp.org/2021-covid-19-state-restrictions-re-openings-and-mask-requirements/</v>
      </c>
      <c r="H600" s="1"/>
      <c r="I600" s="1"/>
    </row>
    <row r="601">
      <c r="A601" s="2">
        <f>IFERROR(__xludf.DUMMYFUNCTION("""COMPUTED_VALUE"""),44260.0)</f>
        <v>44260</v>
      </c>
      <c r="B601" s="1" t="str">
        <f>IFERROR(__xludf.DUMMYFUNCTION("""COMPUTED_VALUE"""),"New Jersey")</f>
        <v>New Jersey</v>
      </c>
      <c r="C601" s="1" t="str">
        <f>IFERROR(__xludf.DUMMYFUNCTION("""COMPUTED_VALUE"""),"State Proclamations ")</f>
        <v>State Proclamations </v>
      </c>
      <c r="D601" s="1" t="str">
        <f>IFERROR(__xludf.DUMMYFUNCTION("""COMPUTED_VALUE"""),"Opening")</f>
        <v>Opening</v>
      </c>
      <c r="E601" s="1" t="str">
        <f>IFERROR(__xludf.DUMMYFUNCTION("""COMPUTED_VALUE"""),"Indoor wedding receptions can expand to the lesser of 35% of venue capacity or 150 people, and outdoor receptions of up to 150 people will also be permitted.")</f>
        <v>Indoor wedding receptions can expand to the lesser of 35% of venue capacity or 150 people, and outdoor receptions of up to 150 people will also be permitted.</v>
      </c>
      <c r="F601" s="1" t="str">
        <f>IFERROR(__xludf.DUMMYFUNCTION("""COMPUTED_VALUE"""),"National Academy for State Health Policy")</f>
        <v>National Academy for State Health Policy</v>
      </c>
      <c r="G601" s="3" t="str">
        <f>IFERROR(__xludf.DUMMYFUNCTION("""COMPUTED_VALUE"""),"https://www.nashp.org/2021-covid-19-state-restrictions-re-openings-and-mask-requirements/")</f>
        <v>https://www.nashp.org/2021-covid-19-state-restrictions-re-openings-and-mask-requirements/</v>
      </c>
      <c r="H601" s="1"/>
      <c r="I601" s="1"/>
    </row>
    <row r="602">
      <c r="A602" s="2">
        <f>IFERROR(__xludf.DUMMYFUNCTION("""COMPUTED_VALUE"""),44274.0)</f>
        <v>44274</v>
      </c>
      <c r="B602" s="1" t="str">
        <f>IFERROR(__xludf.DUMMYFUNCTION("""COMPUTED_VALUE"""),"New Jersey")</f>
        <v>New Jersey</v>
      </c>
      <c r="C602" s="1" t="str">
        <f>IFERROR(__xludf.DUMMYFUNCTION("""COMPUTED_VALUE"""),"State Proclamations ")</f>
        <v>State Proclamations </v>
      </c>
      <c r="D602" s="1" t="str">
        <f>IFERROR(__xludf.DUMMYFUNCTION("""COMPUTED_VALUE"""),"Opening")</f>
        <v>Opening</v>
      </c>
      <c r="E602" s="1" t="str">
        <f>IFERROR(__xludf.DUMMYFUNCTION("""COMPUTED_VALUE"""),"Businesses such as restaurants, bars, personal care service providers, and state-defined indoor recreation businesses can expand from 35% to 50% capacity. The indoor gathering limit will expand from 10 to 25 people, and outdoor gatherings can expand from "&amp;"25 to 50 people. Outdoor interstate youth sports competitions may also resume")</f>
        <v>Businesses such as restaurants, bars, personal care service providers, and state-defined indoor recreation businesses can expand from 35% to 50% capacity. The indoor gathering limit will expand from 10 to 25 people, and outdoor gatherings can expand from 25 to 50 people. Outdoor interstate youth sports competitions may also resume</v>
      </c>
      <c r="F602" s="1" t="str">
        <f>IFERROR(__xludf.DUMMYFUNCTION("""COMPUTED_VALUE"""),"National Academy for State Health Policy")</f>
        <v>National Academy for State Health Policy</v>
      </c>
      <c r="G602" s="3" t="str">
        <f>IFERROR(__xludf.DUMMYFUNCTION("""COMPUTED_VALUE"""),"https://www.nashp.org/2021-covid-19-state-restrictions-re-openings-and-mask-requirements/")</f>
        <v>https://www.nashp.org/2021-covid-19-state-restrictions-re-openings-and-mask-requirements/</v>
      </c>
      <c r="H602" s="1"/>
      <c r="I602" s="1"/>
    </row>
    <row r="603">
      <c r="A603" s="2">
        <f>IFERROR(__xludf.DUMMYFUNCTION("""COMPUTED_VALUE"""),44277.0)</f>
        <v>44277</v>
      </c>
      <c r="B603" s="1" t="str">
        <f>IFERROR(__xludf.DUMMYFUNCTION("""COMPUTED_VALUE"""),"New Jersey")</f>
        <v>New Jersey</v>
      </c>
      <c r="C603" s="1" t="str">
        <f>IFERROR(__xludf.DUMMYFUNCTION("""COMPUTED_VALUE"""),"State Proclamations ")</f>
        <v>State Proclamations </v>
      </c>
      <c r="D603" s="1" t="str">
        <f>IFERROR(__xludf.DUMMYFUNCTION("""COMPUTED_VALUE"""),"Closing")</f>
        <v>Closing</v>
      </c>
      <c r="E603" s="1" t="str">
        <f>IFERROR(__xludf.DUMMYFUNCTION("""COMPUTED_VALUE"""),"In response to a more than 10% jump in cases from the previous week, the governor announced a pause in reopening.")</f>
        <v>In response to a more than 10% jump in cases from the previous week, the governor announced a pause in reopening.</v>
      </c>
      <c r="F603" s="1" t="str">
        <f>IFERROR(__xludf.DUMMYFUNCTION("""COMPUTED_VALUE"""),"National Academy for State Health Policy")</f>
        <v>National Academy for State Health Policy</v>
      </c>
      <c r="G603" s="3" t="str">
        <f>IFERROR(__xludf.DUMMYFUNCTION("""COMPUTED_VALUE"""),"https://www.nashp.org/2021-covid-19-state-restrictions-re-openings-and-mask-requirements/")</f>
        <v>https://www.nashp.org/2021-covid-19-state-restrictions-re-openings-and-mask-requirements/</v>
      </c>
      <c r="H603" s="1"/>
      <c r="I603" s="1"/>
    </row>
    <row r="604">
      <c r="A604" s="2">
        <f>IFERROR(__xludf.DUMMYFUNCTION("""COMPUTED_VALUE"""),44288.0)</f>
        <v>44288</v>
      </c>
      <c r="B604" s="1" t="str">
        <f>IFERROR(__xludf.DUMMYFUNCTION("""COMPUTED_VALUE"""),"New Jersey")</f>
        <v>New Jersey</v>
      </c>
      <c r="C604" s="1" t="str">
        <f>IFERROR(__xludf.DUMMYFUNCTION("""COMPUTED_VALUE"""),"State Proclamations ")</f>
        <v>State Proclamations </v>
      </c>
      <c r="D604" s="1" t="str">
        <f>IFERROR(__xludf.DUMMYFUNCTION("""COMPUTED_VALUE"""),"Opening")</f>
        <v>Opening</v>
      </c>
      <c r="E604" s="1" t="str">
        <f>IFERROR(__xludf.DUMMYFUNCTION("""COMPUTED_VALUE"""),"The outdoor gathering limit expanded to 200 people, and large venues with seating capacity 2,500 or greater can operate at 20% capacity indoors or 30% outdoors.")</f>
        <v>The outdoor gathering limit expanded to 200 people, and large venues with seating capacity 2,500 or greater can operate at 20% capacity indoors or 30% outdoors.</v>
      </c>
      <c r="F604" s="1" t="str">
        <f>IFERROR(__xludf.DUMMYFUNCTION("""COMPUTED_VALUE"""),"National Academy for State Health Policy")</f>
        <v>National Academy for State Health Policy</v>
      </c>
      <c r="G604" s="3" t="str">
        <f>IFERROR(__xludf.DUMMYFUNCTION("""COMPUTED_VALUE"""),"https://www.nashp.org/2021-covid-19-state-restrictions-re-openings-and-mask-requirements/")</f>
        <v>https://www.nashp.org/2021-covid-19-state-restrictions-re-openings-and-mask-requirements/</v>
      </c>
      <c r="H604" s="1"/>
      <c r="I604" s="1"/>
    </row>
    <row r="605">
      <c r="A605" s="2">
        <f>IFERROR(__xludf.DUMMYFUNCTION("""COMPUTED_VALUE"""),44314.0)</f>
        <v>44314</v>
      </c>
      <c r="B605" s="1" t="str">
        <f>IFERROR(__xludf.DUMMYFUNCTION("""COMPUTED_VALUE"""),"New Jersey")</f>
        <v>New Jersey</v>
      </c>
      <c r="C605" s="1" t="str">
        <f>IFERROR(__xludf.DUMMYFUNCTION("""COMPUTED_VALUE"""),"State Proclamations ")</f>
        <v>State Proclamations </v>
      </c>
      <c r="D605" s="1" t="str">
        <f>IFERROR(__xludf.DUMMYFUNCTION("""COMPUTED_VALUE"""),"Opening")</f>
        <v>Opening</v>
      </c>
      <c r="E605" s="1" t="str">
        <f>IFERROR(__xludf.DUMMYFUNCTION("""COMPUTED_VALUE"""),"Summer Youth Overnight and Day Camps may resume.")</f>
        <v>Summer Youth Overnight and Day Camps may resume.</v>
      </c>
      <c r="F605" s="1" t="str">
        <f>IFERROR(__xludf.DUMMYFUNCTION("""COMPUTED_VALUE"""),"National Academy for State Health Policy")</f>
        <v>National Academy for State Health Policy</v>
      </c>
      <c r="G605" s="3" t="str">
        <f>IFERROR(__xludf.DUMMYFUNCTION("""COMPUTED_VALUE"""),"https://www.nashp.org/2021-covid-19-state-restrictions-re-openings-and-mask-requirements/")</f>
        <v>https://www.nashp.org/2021-covid-19-state-restrictions-re-openings-and-mask-requirements/</v>
      </c>
      <c r="H605" s="1"/>
      <c r="I605" s="1"/>
    </row>
    <row r="606">
      <c r="A606" s="2">
        <f>IFERROR(__xludf.DUMMYFUNCTION("""COMPUTED_VALUE"""),44326.0)</f>
        <v>44326</v>
      </c>
      <c r="B606" s="1" t="str">
        <f>IFERROR(__xludf.DUMMYFUNCTION("""COMPUTED_VALUE"""),"New Jersey")</f>
        <v>New Jersey</v>
      </c>
      <c r="C606" s="1" t="str">
        <f>IFERROR(__xludf.DUMMYFUNCTION("""COMPUTED_VALUE"""),"State Proclamations ")</f>
        <v>State Proclamations </v>
      </c>
      <c r="D606" s="1" t="str">
        <f>IFERROR(__xludf.DUMMYFUNCTION("""COMPUTED_VALUE"""),"Opening")</f>
        <v>Opening</v>
      </c>
      <c r="E606" s="1" t="str">
        <f>IFERROR(__xludf.DUMMYFUNCTION("""COMPUTED_VALUE"""),"The outdoor gathering limit is expanded to 500 people, and large outdoor sports and entertainment venues with more than 1,000 fixed seats can operate at 50% capacity. Indoor catered events can expand to the lesser of 50% capacity or 250 people and will be"&amp;" allowed to have dance floors with social distancing and mask-wearing.")</f>
        <v>The outdoor gathering limit is expanded to 500 people, and large outdoor sports and entertainment venues with more than 1,000 fixed seats can operate at 50% capacity. Indoor catered events can expand to the lesser of 50% capacity or 250 people and will be allowed to have dance floors with social distancing and mask-wearing.</v>
      </c>
      <c r="F606" s="1" t="str">
        <f>IFERROR(__xludf.DUMMYFUNCTION("""COMPUTED_VALUE"""),"National Academy for State Health Policy")</f>
        <v>National Academy for State Health Policy</v>
      </c>
      <c r="G606" s="3" t="str">
        <f>IFERROR(__xludf.DUMMYFUNCTION("""COMPUTED_VALUE"""),"https://www.nashp.org/2021-covid-19-state-restrictions-re-openings-and-mask-requirements/")</f>
        <v>https://www.nashp.org/2021-covid-19-state-restrictions-re-openings-and-mask-requirements/</v>
      </c>
      <c r="H606" s="1"/>
      <c r="I606" s="1"/>
    </row>
    <row r="607">
      <c r="A607" s="2">
        <f>IFERROR(__xludf.DUMMYFUNCTION("""COMPUTED_VALUE"""),44333.0)</f>
        <v>44333</v>
      </c>
      <c r="B607" s="1" t="str">
        <f>IFERROR(__xludf.DUMMYFUNCTION("""COMPUTED_VALUE"""),"New Jersey")</f>
        <v>New Jersey</v>
      </c>
      <c r="C607" s="1" t="str">
        <f>IFERROR(__xludf.DUMMYFUNCTION("""COMPUTED_VALUE"""),"State Proclamations ")</f>
        <v>State Proclamations </v>
      </c>
      <c r="D607" s="1" t="str">
        <f>IFERROR(__xludf.DUMMYFUNCTION("""COMPUTED_VALUE"""),"Opening")</f>
        <v>Opening</v>
      </c>
      <c r="E607" s="1" t="str">
        <f>IFERROR(__xludf.DUMMYFUNCTION("""COMPUTED_VALUE"""),"The governor announced that all public schools will have to offer full-time in-person instruction during the 2021-2022 school year.")</f>
        <v>The governor announced that all public schools will have to offer full-time in-person instruction during the 2021-2022 school year.</v>
      </c>
      <c r="F607" s="1" t="str">
        <f>IFERROR(__xludf.DUMMYFUNCTION("""COMPUTED_VALUE"""),"National Academy for State Health Policy")</f>
        <v>National Academy for State Health Policy</v>
      </c>
      <c r="G607" s="3" t="str">
        <f>IFERROR(__xludf.DUMMYFUNCTION("""COMPUTED_VALUE"""),"https://www.nashp.org/2021-covid-19-state-restrictions-re-openings-and-mask-requirements/")</f>
        <v>https://www.nashp.org/2021-covid-19-state-restrictions-re-openings-and-mask-requirements/</v>
      </c>
      <c r="H607" s="1"/>
      <c r="I607" s="1"/>
    </row>
    <row r="608">
      <c r="A608" s="2">
        <f>IFERROR(__xludf.DUMMYFUNCTION("""COMPUTED_VALUE"""),44335.0)</f>
        <v>44335</v>
      </c>
      <c r="B608" s="1" t="str">
        <f>IFERROR(__xludf.DUMMYFUNCTION("""COMPUTED_VALUE"""),"New Jersey")</f>
        <v>New Jersey</v>
      </c>
      <c r="C608" s="1" t="str">
        <f>IFERROR(__xludf.DUMMYFUNCTION("""COMPUTED_VALUE"""),"State Proclamations ")</f>
        <v>State Proclamations </v>
      </c>
      <c r="D608" s="1" t="str">
        <f>IFERROR(__xludf.DUMMYFUNCTION("""COMPUTED_VALUE"""),"Opening")</f>
        <v>Opening</v>
      </c>
      <c r="E608" s="1" t="str">
        <f>IFERROR(__xludf.DUMMYFUNCTION("""COMPUTED_VALUE"""),"The outdoor gathering limit will end, and the private indoor gathering limit will expand to 50 people. Capacity restrictions on most businesses will end, though six-feet of social distancing will still be required. Large indoor venues can expand to 30% ca"&amp;"pacity. Indoor catered events will still be limited to 250 people but no longer have to observe 50% capacity restrictions.")</f>
        <v>The outdoor gathering limit will end, and the private indoor gathering limit will expand to 50 people. Capacity restrictions on most businesses will end, though six-feet of social distancing will still be required. Large indoor venues can expand to 30% capacity. Indoor catered events will still be limited to 250 people but no longer have to observe 50% capacity restrictions.</v>
      </c>
      <c r="F608" s="1" t="str">
        <f>IFERROR(__xludf.DUMMYFUNCTION("""COMPUTED_VALUE"""),"National Academy for State Health Policy")</f>
        <v>National Academy for State Health Policy</v>
      </c>
      <c r="G608" s="3" t="str">
        <f>IFERROR(__xludf.DUMMYFUNCTION("""COMPUTED_VALUE"""),"https://www.nashp.org/2021-covid-19-state-restrictions-re-openings-and-mask-requirements/")</f>
        <v>https://www.nashp.org/2021-covid-19-state-restrictions-re-openings-and-mask-requirements/</v>
      </c>
      <c r="H608" s="1"/>
      <c r="I608" s="1"/>
    </row>
    <row r="609">
      <c r="A609" s="2">
        <f>IFERROR(__xludf.DUMMYFUNCTION("""COMPUTED_VALUE"""),44344.0)</f>
        <v>44344</v>
      </c>
      <c r="B609" s="1" t="str">
        <f>IFERROR(__xludf.DUMMYFUNCTION("""COMPUTED_VALUE"""),"New Jersey")</f>
        <v>New Jersey</v>
      </c>
      <c r="C609" s="1" t="str">
        <f>IFERROR(__xludf.DUMMYFUNCTION("""COMPUTED_VALUE"""),"Mask Mandate")</f>
        <v>Mask Mandate</v>
      </c>
      <c r="D609" s="1" t="str">
        <f>IFERROR(__xludf.DUMMYFUNCTION("""COMPUTED_VALUE"""),"End")</f>
        <v>End</v>
      </c>
      <c r="E609" s="1" t="str">
        <f>IFERROR(__xludf.DUMMYFUNCTION("""COMPUTED_VALUE"""),"On May 28, the governor lifted the mask mandate for most indoor spaces")</f>
        <v>On May 28, the governor lifted the mask mandate for most indoor spaces</v>
      </c>
      <c r="F609" s="1" t="str">
        <f>IFERROR(__xludf.DUMMYFUNCTION("""COMPUTED_VALUE"""),"National Academy for State Health Policy")</f>
        <v>National Academy for State Health Policy</v>
      </c>
      <c r="G609" s="3" t="str">
        <f>IFERROR(__xludf.DUMMYFUNCTION("""COMPUTED_VALUE"""),"https://www.nashp.org/2021-covid-19-state-restrictions-re-openings-and-mask-requirements/")</f>
        <v>https://www.nashp.org/2021-covid-19-state-restrictions-re-openings-and-mask-requirements/</v>
      </c>
      <c r="H609" s="1"/>
      <c r="I609" s="1"/>
    </row>
    <row r="610">
      <c r="A610" s="2">
        <f>IFERROR(__xludf.DUMMYFUNCTION("""COMPUTED_VALUE"""),44344.0)</f>
        <v>44344</v>
      </c>
      <c r="B610" s="1" t="str">
        <f>IFERROR(__xludf.DUMMYFUNCTION("""COMPUTED_VALUE"""),"New Jersey")</f>
        <v>New Jersey</v>
      </c>
      <c r="C610" s="1" t="str">
        <f>IFERROR(__xludf.DUMMYFUNCTION("""COMPUTED_VALUE"""),"State Proclamations ")</f>
        <v>State Proclamations </v>
      </c>
      <c r="D610" s="1" t="str">
        <f>IFERROR(__xludf.DUMMYFUNCTION("""COMPUTED_VALUE"""),"Opening")</f>
        <v>Opening</v>
      </c>
      <c r="E610" s="1" t="str">
        <f>IFERROR(__xludf.DUMMYFUNCTION("""COMPUTED_VALUE"""),"The governor will lift social distancing requirements for all indoor and outdoor settings. Dance floors and standing service at bars and restaurants will reopen.")</f>
        <v>The governor will lift social distancing requirements for all indoor and outdoor settings. Dance floors and standing service at bars and restaurants will reopen.</v>
      </c>
      <c r="F610" s="1" t="str">
        <f>IFERROR(__xludf.DUMMYFUNCTION("""COMPUTED_VALUE"""),"National Academy for State Health Policy")</f>
        <v>National Academy for State Health Policy</v>
      </c>
      <c r="G610" s="3" t="str">
        <f>IFERROR(__xludf.DUMMYFUNCTION("""COMPUTED_VALUE"""),"https://www.nashp.org/2021-covid-19-state-restrictions-re-openings-and-mask-requirements/")</f>
        <v>https://www.nashp.org/2021-covid-19-state-restrictions-re-openings-and-mask-requirements/</v>
      </c>
      <c r="H610" s="1"/>
      <c r="I610" s="1"/>
    </row>
    <row r="611">
      <c r="A611" s="2">
        <f>IFERROR(__xludf.DUMMYFUNCTION("""COMPUTED_VALUE"""),44351.0)</f>
        <v>44351</v>
      </c>
      <c r="B611" s="1" t="str">
        <f>IFERROR(__xludf.DUMMYFUNCTION("""COMPUTED_VALUE"""),"New Jersey")</f>
        <v>New Jersey</v>
      </c>
      <c r="C611" s="1" t="str">
        <f>IFERROR(__xludf.DUMMYFUNCTION("""COMPUTED_VALUE"""),"State of Emergency")</f>
        <v>State of Emergency</v>
      </c>
      <c r="D611" s="1" t="str">
        <f>IFERROR(__xludf.DUMMYFUNCTION("""COMPUTED_VALUE"""),"End ")</f>
        <v>End </v>
      </c>
      <c r="E611" s="1" t="str">
        <f>IFERROR(__xludf.DUMMYFUNCTION("""COMPUTED_VALUE"""),"State of Emergency ended June 4, 2021")</f>
        <v>State of Emergency ended June 4, 2021</v>
      </c>
      <c r="F611" s="1" t="str">
        <f>IFERROR(__xludf.DUMMYFUNCTION("""COMPUTED_VALUE"""),"National Academy for State Health Policy")</f>
        <v>National Academy for State Health Policy</v>
      </c>
      <c r="G611" s="3" t="str">
        <f>IFERROR(__xludf.DUMMYFUNCTION("""COMPUTED_VALUE"""),"https://www.nashp.org/2021-covid-19-state-restrictions-re-openings-and-mask-requirements/")</f>
        <v>https://www.nashp.org/2021-covid-19-state-restrictions-re-openings-and-mask-requirements/</v>
      </c>
      <c r="H611" s="1"/>
      <c r="I611" s="1"/>
    </row>
    <row r="612">
      <c r="A612" s="2">
        <f>IFERROR(__xludf.DUMMYFUNCTION("""COMPUTED_VALUE"""),44351.0)</f>
        <v>44351</v>
      </c>
      <c r="B612" s="1" t="str">
        <f>IFERROR(__xludf.DUMMYFUNCTION("""COMPUTED_VALUE"""),"New Jersey")</f>
        <v>New Jersey</v>
      </c>
      <c r="C612" s="1" t="str">
        <f>IFERROR(__xludf.DUMMYFUNCTION("""COMPUTED_VALUE"""),"State Proclamations ")</f>
        <v>State Proclamations </v>
      </c>
      <c r="D612" s="1" t="str">
        <f>IFERROR(__xludf.DUMMYFUNCTION("""COMPUTED_VALUE"""),"Opening")</f>
        <v>Opening</v>
      </c>
      <c r="E612" s="1" t="str">
        <f>IFERROR(__xludf.DUMMYFUNCTION("""COMPUTED_VALUE"""),"All gathering limits and capacity restrictions on large indoor venues were lifted.")</f>
        <v>All gathering limits and capacity restrictions on large indoor venues were lifted.</v>
      </c>
      <c r="F612" s="1" t="str">
        <f>IFERROR(__xludf.DUMMYFUNCTION("""COMPUTED_VALUE"""),"National Academy for State Health Policy")</f>
        <v>National Academy for State Health Policy</v>
      </c>
      <c r="G612" s="3" t="str">
        <f>IFERROR(__xludf.DUMMYFUNCTION("""COMPUTED_VALUE"""),"https://www.nashp.org/2021-covid-19-state-restrictions-re-openings-and-mask-requirements/")</f>
        <v>https://www.nashp.org/2021-covid-19-state-restrictions-re-openings-and-mask-requirements/</v>
      </c>
      <c r="H612" s="1"/>
      <c r="I612" s="1"/>
    </row>
    <row r="613">
      <c r="A613" s="2">
        <f>IFERROR(__xludf.DUMMYFUNCTION("""COMPUTED_VALUE"""),43901.0)</f>
        <v>43901</v>
      </c>
      <c r="B613" s="1" t="str">
        <f>IFERROR(__xludf.DUMMYFUNCTION("""COMPUTED_VALUE"""),"New Mexico")</f>
        <v>New Mexico</v>
      </c>
      <c r="C613" s="1" t="str">
        <f>IFERROR(__xludf.DUMMYFUNCTION("""COMPUTED_VALUE"""),"State of Emergency")</f>
        <v>State of Emergency</v>
      </c>
      <c r="D613" s="1" t="str">
        <f>IFERROR(__xludf.DUMMYFUNCTION("""COMPUTED_VALUE"""),"Start")</f>
        <v>Start</v>
      </c>
      <c r="E613" s="1" t="str">
        <f>IFERROR(__xludf.DUMMYFUNCTION("""COMPUTED_VALUE"""),"Gov. Michelle Lujan Grisham declared a state of emergency on March 11, local news agencies reported.")</f>
        <v>Gov. Michelle Lujan Grisham declared a state of emergency on March 11, local news agencies reported.</v>
      </c>
      <c r="F613" s="1" t="str">
        <f>IFERROR(__xludf.DUMMYFUNCTION("""COMPUTED_VALUE"""),"Business Insider")</f>
        <v>Business Insider</v>
      </c>
      <c r="G613" s="3" t="str">
        <f>IFERROR(__xludf.DUMMYFUNCTION("""COMPUTED_VALUE"""),"https://www.businessinsider.com/california-washington-state-of-emergency-coronavirus-what-it-means-2020-3#new-mexico-40")</f>
        <v>https://www.businessinsider.com/california-washington-state-of-emergency-coronavirus-what-it-means-2020-3#new-mexico-40</v>
      </c>
      <c r="H613" s="1"/>
      <c r="I613" s="1"/>
    </row>
    <row r="614">
      <c r="A614" s="2">
        <f>IFERROR(__xludf.DUMMYFUNCTION("""COMPUTED_VALUE"""),43914.0)</f>
        <v>43914</v>
      </c>
      <c r="B614" s="1" t="str">
        <f>IFERROR(__xludf.DUMMYFUNCTION("""COMPUTED_VALUE"""),"New Mexico")</f>
        <v>New Mexico</v>
      </c>
      <c r="C614" s="1" t="str">
        <f>IFERROR(__xludf.DUMMYFUNCTION("""COMPUTED_VALUE"""),"Stay-at-Home Order")</f>
        <v>Stay-at-Home Order</v>
      </c>
      <c r="D614" s="1" t="str">
        <f>IFERROR(__xludf.DUMMYFUNCTION("""COMPUTED_VALUE"""),"Start")</f>
        <v>Start</v>
      </c>
      <c r="E614" s="1" t="str">
        <f>IFERROR(__xludf.DUMMYFUNCTION("""COMPUTED_VALUE"""),"Original stay-at-home order begins")</f>
        <v>Original stay-at-home order begins</v>
      </c>
      <c r="F614" s="1" t="str">
        <f>IFERROR(__xludf.DUMMYFUNCTION("""COMPUTED_VALUE"""),"National Academy for State Health Policy")</f>
        <v>National Academy for State Health Policy</v>
      </c>
      <c r="G614" s="3" t="str">
        <f>IFERROR(__xludf.DUMMYFUNCTION("""COMPUTED_VALUE"""),"https://www.nashp.org/2020-state-reopening-chart/")</f>
        <v>https://www.nashp.org/2020-state-reopening-chart/</v>
      </c>
      <c r="H614" s="1"/>
      <c r="I614" s="1"/>
    </row>
    <row r="615">
      <c r="A615" s="2">
        <f>IFERROR(__xludf.DUMMYFUNCTION("""COMPUTED_VALUE"""),43967.0)</f>
        <v>43967</v>
      </c>
      <c r="B615" s="1" t="str">
        <f>IFERROR(__xludf.DUMMYFUNCTION("""COMPUTED_VALUE"""),"New Mexico")</f>
        <v>New Mexico</v>
      </c>
      <c r="C615" s="1" t="str">
        <f>IFERROR(__xludf.DUMMYFUNCTION("""COMPUTED_VALUE"""),"Mask Mandate")</f>
        <v>Mask Mandate</v>
      </c>
      <c r="D615" s="1" t="str">
        <f>IFERROR(__xludf.DUMMYFUNCTION("""COMPUTED_VALUE"""),"Start")</f>
        <v>Start</v>
      </c>
      <c r="E615" s="1" t="str">
        <f>IFERROR(__xludf.DUMMYFUNCTION("""COMPUTED_VALUE"""),"Adults are required to wear masks in all public settings, except while eating, drinking, exercising or for medical reasons. Masks are recommended for children 3 and older, and children 5 and under must have adult supervision.")</f>
        <v>Adults are required to wear masks in all public settings, except while eating, drinking, exercising or for medical reasons. Masks are recommended for children 3 and older, and children 5 and under must have adult supervision.</v>
      </c>
      <c r="F615" s="1" t="str">
        <f>IFERROR(__xludf.DUMMYFUNCTION("""COMPUTED_VALUE"""),"CNN")</f>
        <v>CNN</v>
      </c>
      <c r="G615" s="3" t="str">
        <f>IFERROR(__xludf.DUMMYFUNCTION("""COMPUTED_VALUE"""),"https://www.cnn.com/2020/06/19/us/states-face-mask-coronavirus-trnd/index.html")</f>
        <v>https://www.cnn.com/2020/06/19/us/states-face-mask-coronavirus-trnd/index.html</v>
      </c>
      <c r="H615" s="1"/>
      <c r="I615" s="1"/>
    </row>
    <row r="616">
      <c r="A616" s="2">
        <f>IFERROR(__xludf.DUMMYFUNCTION("""COMPUTED_VALUE"""),43973.0)</f>
        <v>43973</v>
      </c>
      <c r="B616" s="1" t="str">
        <f>IFERROR(__xludf.DUMMYFUNCTION("""COMPUTED_VALUE"""),"New Mexico")</f>
        <v>New Mexico</v>
      </c>
      <c r="C616" s="1" t="str">
        <f>IFERROR(__xludf.DUMMYFUNCTION("""COMPUTED_VALUE"""),"State Proclamations ")</f>
        <v>State Proclamations </v>
      </c>
      <c r="D616" s="1" t="str">
        <f>IFERROR(__xludf.DUMMYFUNCTION("""COMPUTED_VALUE"""),"Opening")</f>
        <v>Opening</v>
      </c>
      <c r="E616" s="1" t="str">
        <f>IFERROR(__xludf.DUMMYFUNCTION("""COMPUTED_VALUE"""),"New Mexico has reopened retail stores, malls, restaurants, breweries, personal care services, houses of worship, gyms, pools, and offices. Nonessential medical procedures resumed May 22.")</f>
        <v>New Mexico has reopened retail stores, malls, restaurants, breweries, personal care services, houses of worship, gyms, pools, and offices. Nonessential medical procedures resumed May 22.</v>
      </c>
      <c r="F616" s="1" t="str">
        <f>IFERROR(__xludf.DUMMYFUNCTION("""COMPUTED_VALUE"""),"National Academy for State Health Policy")</f>
        <v>National Academy for State Health Policy</v>
      </c>
      <c r="G616" s="3" t="str">
        <f>IFERROR(__xludf.DUMMYFUNCTION("""COMPUTED_VALUE"""),"https://www.nashp.org/2020-state-reopening-chart/")</f>
        <v>https://www.nashp.org/2020-state-reopening-chart/</v>
      </c>
      <c r="H616" s="1"/>
      <c r="I616" s="1"/>
    </row>
    <row r="617">
      <c r="A617" s="2">
        <f>IFERROR(__xludf.DUMMYFUNCTION("""COMPUTED_VALUE"""),43982.0)</f>
        <v>43982</v>
      </c>
      <c r="B617" s="1" t="str">
        <f>IFERROR(__xludf.DUMMYFUNCTION("""COMPUTED_VALUE"""),"New Mexico")</f>
        <v>New Mexico</v>
      </c>
      <c r="C617" s="1" t="str">
        <f>IFERROR(__xludf.DUMMYFUNCTION("""COMPUTED_VALUE"""),"Stay-at-Home Order")</f>
        <v>Stay-at-Home Order</v>
      </c>
      <c r="D617" s="1" t="str">
        <f>IFERROR(__xludf.DUMMYFUNCTION("""COMPUTED_VALUE"""),"End")</f>
        <v>End</v>
      </c>
      <c r="E617" s="1" t="str">
        <f>IFERROR(__xludf.DUMMYFUNCTION("""COMPUTED_VALUE"""),"Original stay-at-home order ends")</f>
        <v>Original stay-at-home order ends</v>
      </c>
      <c r="F617" s="1" t="str">
        <f>IFERROR(__xludf.DUMMYFUNCTION("""COMPUTED_VALUE"""),"National Academy for State Health Policy")</f>
        <v>National Academy for State Health Policy</v>
      </c>
      <c r="G617" s="3" t="str">
        <f>IFERROR(__xludf.DUMMYFUNCTION("""COMPUTED_VALUE"""),"https://www.nashp.org/2020-state-reopening-chart/")</f>
        <v>https://www.nashp.org/2020-state-reopening-chart/</v>
      </c>
      <c r="H617" s="1"/>
      <c r="I617" s="1"/>
    </row>
    <row r="618">
      <c r="A618" s="2">
        <f>IFERROR(__xludf.DUMMYFUNCTION("""COMPUTED_VALUE"""),44007.0)</f>
        <v>44007</v>
      </c>
      <c r="B618" s="1" t="str">
        <f>IFERROR(__xludf.DUMMYFUNCTION("""COMPUTED_VALUE"""),"New Mexico")</f>
        <v>New Mexico</v>
      </c>
      <c r="C618" s="1" t="str">
        <f>IFERROR(__xludf.DUMMYFUNCTION("""COMPUTED_VALUE"""),"State Proclamations ")</f>
        <v>State Proclamations </v>
      </c>
      <c r="D618" s="1" t="str">
        <f>IFERROR(__xludf.DUMMYFUNCTION("""COMPUTED_VALUE"""),"Closing")</f>
        <v>Closing</v>
      </c>
      <c r="E618" s="1" t="str">
        <f>IFERROR(__xludf.DUMMYFUNCTION("""COMPUTED_VALUE"""),"Due to an increase in infections, the governor said the state will not move into the next phase of reopening for an indefinite period. This may delay restrictions on gatherings and businesses that were scheduled to be lifted July 1.")</f>
        <v>Due to an increase in infections, the governor said the state will not move into the next phase of reopening for an indefinite period. This may delay restrictions on gatherings and businesses that were scheduled to be lifted July 1.</v>
      </c>
      <c r="F618" s="1" t="str">
        <f>IFERROR(__xludf.DUMMYFUNCTION("""COMPUTED_VALUE"""),"National Academy for State Health Policy")</f>
        <v>National Academy for State Health Policy</v>
      </c>
      <c r="G618" s="3" t="str">
        <f>IFERROR(__xludf.DUMMYFUNCTION("""COMPUTED_VALUE"""),"https://www.nashp.org/2020-state-reopening-chart/")</f>
        <v>https://www.nashp.org/2020-state-reopening-chart/</v>
      </c>
      <c r="H618" s="1"/>
      <c r="I618" s="1"/>
    </row>
    <row r="619">
      <c r="A619" s="2">
        <f>IFERROR(__xludf.DUMMYFUNCTION("""COMPUTED_VALUE"""),44025.0)</f>
        <v>44025</v>
      </c>
      <c r="B619" s="1" t="str">
        <f>IFERROR(__xludf.DUMMYFUNCTION("""COMPUTED_VALUE"""),"New Mexico")</f>
        <v>New Mexico</v>
      </c>
      <c r="C619" s="1" t="str">
        <f>IFERROR(__xludf.DUMMYFUNCTION("""COMPUTED_VALUE"""),"State Proclamations ")</f>
        <v>State Proclamations </v>
      </c>
      <c r="D619" s="1" t="str">
        <f>IFERROR(__xludf.DUMMYFUNCTION("""COMPUTED_VALUE"""),"Closing")</f>
        <v>Closing</v>
      </c>
      <c r="E619" s="1" t="str">
        <f>IFERROR(__xludf.DUMMYFUNCTION("""COMPUTED_VALUE"""),"In response to surging infections in neighboring states, the governor paused indoor restaurant service, closed state parks to nonresidents, and suspended fall contact sports at schools.")</f>
        <v>In response to surging infections in neighboring states, the governor paused indoor restaurant service, closed state parks to nonresidents, and suspended fall contact sports at schools.</v>
      </c>
      <c r="F619" s="1" t="str">
        <f>IFERROR(__xludf.DUMMYFUNCTION("""COMPUTED_VALUE"""),"National Academy for State Health Policy")</f>
        <v>National Academy for State Health Policy</v>
      </c>
      <c r="G619" s="3" t="str">
        <f>IFERROR(__xludf.DUMMYFUNCTION("""COMPUTED_VALUE"""),"https://www.nashp.org/2020-state-reopening-chart/")</f>
        <v>https://www.nashp.org/2020-state-reopening-chart/</v>
      </c>
      <c r="H619" s="1"/>
      <c r="I619" s="1"/>
    </row>
    <row r="620">
      <c r="A620" s="2">
        <f>IFERROR(__xludf.DUMMYFUNCTION("""COMPUTED_VALUE"""),44072.0)</f>
        <v>44072</v>
      </c>
      <c r="B620" s="1" t="str">
        <f>IFERROR(__xludf.DUMMYFUNCTION("""COMPUTED_VALUE"""),"New Mexico")</f>
        <v>New Mexico</v>
      </c>
      <c r="C620" s="1" t="str">
        <f>IFERROR(__xludf.DUMMYFUNCTION("""COMPUTED_VALUE"""),"State Proclamations ")</f>
        <v>State Proclamations </v>
      </c>
      <c r="D620" s="1" t="str">
        <f>IFERROR(__xludf.DUMMYFUNCTION("""COMPUTED_VALUE"""),"Opening")</f>
        <v>Opening</v>
      </c>
      <c r="E620" s="1" t="str">
        <f>IFERROR(__xludf.DUMMYFUNCTION("""COMPUTED_VALUE"""),"Food and drink establishments opened for indoor dining at 25% maximum capacity and for outdoor dining at 75%. Maximum occupancy for houses or worship increased from 15% to 40%, and museums opened at 25% capacity.")</f>
        <v>Food and drink establishments opened for indoor dining at 25% maximum capacity and for outdoor dining at 75%. Maximum occupancy for houses or worship increased from 15% to 40%, and museums opened at 25% capacity.</v>
      </c>
      <c r="F620" s="1" t="str">
        <f>IFERROR(__xludf.DUMMYFUNCTION("""COMPUTED_VALUE"""),"National Academy for State Health Policy")</f>
        <v>National Academy for State Health Policy</v>
      </c>
      <c r="G620" s="3" t="str">
        <f>IFERROR(__xludf.DUMMYFUNCTION("""COMPUTED_VALUE"""),"https://www.nashp.org/2020-state-reopening-chart/")</f>
        <v>https://www.nashp.org/2020-state-reopening-chart/</v>
      </c>
      <c r="H620" s="1"/>
      <c r="I620" s="1"/>
    </row>
    <row r="621">
      <c r="A621" s="2">
        <f>IFERROR(__xludf.DUMMYFUNCTION("""COMPUTED_VALUE"""),44078.0)</f>
        <v>44078</v>
      </c>
      <c r="B621" s="1" t="str">
        <f>IFERROR(__xludf.DUMMYFUNCTION("""COMPUTED_VALUE"""),"New Mexico")</f>
        <v>New Mexico</v>
      </c>
      <c r="C621" s="1" t="str">
        <f>IFERROR(__xludf.DUMMYFUNCTION("""COMPUTED_VALUE"""),"State Proclamations ")</f>
        <v>State Proclamations </v>
      </c>
      <c r="D621" s="1" t="str">
        <f>IFERROR(__xludf.DUMMYFUNCTION("""COMPUTED_VALUE"""),"Opening")</f>
        <v>Opening</v>
      </c>
      <c r="E621" s="1" t="str">
        <f>IFERROR(__xludf.DUMMYFUNCTION("""COMPUTED_VALUE"""),"Hotels that have been safe-certified may expand their maximum occupancy to 75%.")</f>
        <v>Hotels that have been safe-certified may expand their maximum occupancy to 75%.</v>
      </c>
      <c r="F621" s="1" t="str">
        <f>IFERROR(__xludf.DUMMYFUNCTION("""COMPUTED_VALUE"""),"National Academy for State Health Policy")</f>
        <v>National Academy for State Health Policy</v>
      </c>
      <c r="G621" s="3" t="str">
        <f>IFERROR(__xludf.DUMMYFUNCTION("""COMPUTED_VALUE"""),"https://www.nashp.org/2020-state-reopening-chart/")</f>
        <v>https://www.nashp.org/2020-state-reopening-chart/</v>
      </c>
      <c r="H621" s="1"/>
      <c r="I621" s="1"/>
    </row>
    <row r="622">
      <c r="A622" s="2">
        <f>IFERROR(__xludf.DUMMYFUNCTION("""COMPUTED_VALUE"""),44120.0)</f>
        <v>44120</v>
      </c>
      <c r="B622" s="1" t="str">
        <f>IFERROR(__xludf.DUMMYFUNCTION("""COMPUTED_VALUE"""),"New Mexico")</f>
        <v>New Mexico</v>
      </c>
      <c r="C622" s="1" t="str">
        <f>IFERROR(__xludf.DUMMYFUNCTION("""COMPUTED_VALUE"""),"State Proclamations ")</f>
        <v>State Proclamations </v>
      </c>
      <c r="D622" s="1" t="str">
        <f>IFERROR(__xludf.DUMMYFUNCTION("""COMPUTED_VALUE"""),"Closing")</f>
        <v>Closing</v>
      </c>
      <c r="E622" s="1" t="str">
        <f>IFERROR(__xludf.DUMMYFUNCTION("""COMPUTED_VALUE"""),"Bars and restaurants that serve alcohol must close by 10 p.m. each evening and gatherings must be limited to five people.")</f>
        <v>Bars and restaurants that serve alcohol must close by 10 p.m. each evening and gatherings must be limited to five people.</v>
      </c>
      <c r="F622" s="1" t="str">
        <f>IFERROR(__xludf.DUMMYFUNCTION("""COMPUTED_VALUE"""),"National Academy for State Health Policy")</f>
        <v>National Academy for State Health Policy</v>
      </c>
      <c r="G622" s="3" t="str">
        <f>IFERROR(__xludf.DUMMYFUNCTION("""COMPUTED_VALUE"""),"https://www.nashp.org/2020-state-reopening-chart/")</f>
        <v>https://www.nashp.org/2020-state-reopening-chart/</v>
      </c>
      <c r="H622" s="1"/>
      <c r="I622" s="1"/>
    </row>
    <row r="623">
      <c r="A623" s="2">
        <f>IFERROR(__xludf.DUMMYFUNCTION("""COMPUTED_VALUE"""),44127.0)</f>
        <v>44127</v>
      </c>
      <c r="B623" s="1" t="str">
        <f>IFERROR(__xludf.DUMMYFUNCTION("""COMPUTED_VALUE"""),"New Mexico")</f>
        <v>New Mexico</v>
      </c>
      <c r="C623" s="1" t="str">
        <f>IFERROR(__xludf.DUMMYFUNCTION("""COMPUTED_VALUE"""),"State Proclamations ")</f>
        <v>State Proclamations </v>
      </c>
      <c r="D623" s="1" t="str">
        <f>IFERROR(__xludf.DUMMYFUNCTION("""COMPUTED_VALUE"""),"Closing")</f>
        <v>Closing</v>
      </c>
      <c r="E623" s="1" t="str">
        <f>IFERROR(__xludf.DUMMYFUNCTION("""COMPUTED_VALUE"""),"The governor released an executive order required restaurants to complete a safety certification training program no later than Oct. 30 if they wish to continue offering indoor dining at 25% capacity. Restaurants that do not complete the certification wil"&amp;"l still be able to offer outdoor service at 75% capacity. Retail establishments must close by 10 p.m., and state museums and historical sites must shut down.")</f>
        <v>The governor released an executive order required restaurants to complete a safety certification training program no later than Oct. 30 if they wish to continue offering indoor dining at 25% capacity. Restaurants that do not complete the certification will still be able to offer outdoor service at 75% capacity. Retail establishments must close by 10 p.m., and state museums and historical sites must shut down.</v>
      </c>
      <c r="F623" s="1" t="str">
        <f>IFERROR(__xludf.DUMMYFUNCTION("""COMPUTED_VALUE"""),"National Academy for State Health Policy")</f>
        <v>National Academy for State Health Policy</v>
      </c>
      <c r="G623" s="3" t="str">
        <f>IFERROR(__xludf.DUMMYFUNCTION("""COMPUTED_VALUE"""),"https://www.nashp.org/2020-state-reopening-chart/")</f>
        <v>https://www.nashp.org/2020-state-reopening-chart/</v>
      </c>
      <c r="H623" s="1"/>
      <c r="I623" s="1"/>
    </row>
    <row r="624">
      <c r="A624" s="2">
        <f>IFERROR(__xludf.DUMMYFUNCTION("""COMPUTED_VALUE"""),44148.0)</f>
        <v>44148</v>
      </c>
      <c r="B624" s="1" t="str">
        <f>IFERROR(__xludf.DUMMYFUNCTION("""COMPUTED_VALUE"""),"New Mexico")</f>
        <v>New Mexico</v>
      </c>
      <c r="C624" s="1" t="str">
        <f>IFERROR(__xludf.DUMMYFUNCTION("""COMPUTED_VALUE"""),"State Proclamations ")</f>
        <v>State Proclamations </v>
      </c>
      <c r="D624" s="1" t="str">
        <f>IFERROR(__xludf.DUMMYFUNCTION("""COMPUTED_VALUE"""),"CLosing")</f>
        <v>CLosing</v>
      </c>
      <c r="E624" s="1" t="str">
        <f>IFERROR(__xludf.DUMMYFUNCTION("""COMPUTED_VALUE"""),"Bars and restaurants with a liquor license must close by 10 pm, and indoor gatherings at private homes are limited to no more than 10 people.")</f>
        <v>Bars and restaurants with a liquor license must close by 10 pm, and indoor gatherings at private homes are limited to no more than 10 people.</v>
      </c>
      <c r="F624" s="1" t="str">
        <f>IFERROR(__xludf.DUMMYFUNCTION("""COMPUTED_VALUE"""),"National Academy for State Health Policy")</f>
        <v>National Academy for State Health Policy</v>
      </c>
      <c r="G624" s="3" t="str">
        <f>IFERROR(__xludf.DUMMYFUNCTION("""COMPUTED_VALUE"""),"https://www.nashp.org/2020-state-reopening-chart/")</f>
        <v>https://www.nashp.org/2020-state-reopening-chart/</v>
      </c>
      <c r="H624" s="1"/>
      <c r="I624" s="1"/>
    </row>
    <row r="625">
      <c r="A625" s="2">
        <f>IFERROR(__xludf.DUMMYFUNCTION("""COMPUTED_VALUE"""),44151.0)</f>
        <v>44151</v>
      </c>
      <c r="B625" s="1" t="str">
        <f>IFERROR(__xludf.DUMMYFUNCTION("""COMPUTED_VALUE"""),"New Mexico")</f>
        <v>New Mexico</v>
      </c>
      <c r="C625" s="1" t="str">
        <f>IFERROR(__xludf.DUMMYFUNCTION("""COMPUTED_VALUE"""),"State Proclamations ")</f>
        <v>State Proclamations </v>
      </c>
      <c r="D625" s="1" t="str">
        <f>IFERROR(__xludf.DUMMYFUNCTION("""COMPUTED_VALUE"""),"Closing")</f>
        <v>Closing</v>
      </c>
      <c r="E625" s="1" t="str">
        <f>IFERROR(__xludf.DUMMYFUNCTION("""COMPUTED_VALUE"""),"The governor issued a “stay-at-home” order lasting two weeks that asks people to shelter in place except for essential trips. Nonessential businesses and nonprofits must cease in-person activities")</f>
        <v>The governor issued a “stay-at-home” order lasting two weeks that asks people to shelter in place except for essential trips. Nonessential businesses and nonprofits must cease in-person activities</v>
      </c>
      <c r="F625" s="1" t="str">
        <f>IFERROR(__xludf.DUMMYFUNCTION("""COMPUTED_VALUE"""),"National Academy for State Health Policy")</f>
        <v>National Academy for State Health Policy</v>
      </c>
      <c r="G625" s="3" t="str">
        <f>IFERROR(__xludf.DUMMYFUNCTION("""COMPUTED_VALUE"""),"https://www.nashp.org/2020-state-reopening-chart/")</f>
        <v>https://www.nashp.org/2020-state-reopening-chart/</v>
      </c>
      <c r="H625" s="1"/>
      <c r="I625" s="1"/>
    </row>
    <row r="626">
      <c r="A626" s="2">
        <f>IFERROR(__xludf.DUMMYFUNCTION("""COMPUTED_VALUE"""),44181.0)</f>
        <v>44181</v>
      </c>
      <c r="B626" s="1" t="str">
        <f>IFERROR(__xludf.DUMMYFUNCTION("""COMPUTED_VALUE"""),"New Mexico")</f>
        <v>New Mexico</v>
      </c>
      <c r="C626" s="1" t="str">
        <f>IFERROR(__xludf.DUMMYFUNCTION("""COMPUTED_VALUE"""),"State Proclamations ")</f>
        <v>State Proclamations </v>
      </c>
      <c r="D626" s="1" t="str">
        <f>IFERROR(__xludf.DUMMYFUNCTION("""COMPUTED_VALUE"""),"Closing")</f>
        <v>Closing</v>
      </c>
      <c r="E626" s="1" t="str">
        <f>IFERROR(__xludf.DUMMYFUNCTION("""COMPUTED_VALUE"""),"All counties were placed in the most restrictive reopening tier, which prohibits indoor dining, until Dec. 30.")</f>
        <v>All counties were placed in the most restrictive reopening tier, which prohibits indoor dining, until Dec. 30.</v>
      </c>
      <c r="F626" s="1" t="str">
        <f>IFERROR(__xludf.DUMMYFUNCTION("""COMPUTED_VALUE"""),"National Academy for State Health Policy")</f>
        <v>National Academy for State Health Policy</v>
      </c>
      <c r="G626" s="3" t="str">
        <f>IFERROR(__xludf.DUMMYFUNCTION("""COMPUTED_VALUE"""),"https://www.nashp.org/2020-state-reopening-chart/")</f>
        <v>https://www.nashp.org/2020-state-reopening-chart/</v>
      </c>
      <c r="H626" s="1"/>
      <c r="I626" s="1"/>
    </row>
    <row r="627">
      <c r="A627" s="2">
        <f>IFERROR(__xludf.DUMMYFUNCTION("""COMPUTED_VALUE"""),44200.0)</f>
        <v>44200</v>
      </c>
      <c r="B627" s="1" t="str">
        <f>IFERROR(__xludf.DUMMYFUNCTION("""COMPUTED_VALUE"""),"New Mexico")</f>
        <v>New Mexico</v>
      </c>
      <c r="C627" s="1" t="str">
        <f>IFERROR(__xludf.DUMMYFUNCTION("""COMPUTED_VALUE"""),"State Proclamations ")</f>
        <v>State Proclamations </v>
      </c>
      <c r="D627" s="1" t="str">
        <f>IFERROR(__xludf.DUMMYFUNCTION("""COMPUTED_VALUE"""),"Closing")</f>
        <v>Closing</v>
      </c>
      <c r="E627" s="1" t="str">
        <f>IFERROR(__xludf.DUMMYFUNCTION("""COMPUTED_VALUE"""),"Schools are prohibited from providing in-person instruction until Jan. 15 to reduce virus spread.")</f>
        <v>Schools are prohibited from providing in-person instruction until Jan. 15 to reduce virus spread.</v>
      </c>
      <c r="F627" s="1" t="str">
        <f>IFERROR(__xludf.DUMMYFUNCTION("""COMPUTED_VALUE"""),"National Academy for State Health Policy")</f>
        <v>National Academy for State Health Policy</v>
      </c>
      <c r="G627" s="3" t="str">
        <f>IFERROR(__xludf.DUMMYFUNCTION("""COMPUTED_VALUE"""),"https://www.nashp.org/2021-covid-19-state-restrictions-re-openings-and-mask-requirements/")</f>
        <v>https://www.nashp.org/2021-covid-19-state-restrictions-re-openings-and-mask-requirements/</v>
      </c>
      <c r="H627" s="1"/>
      <c r="I627" s="1"/>
    </row>
    <row r="628">
      <c r="A628" s="2">
        <f>IFERROR(__xludf.DUMMYFUNCTION("""COMPUTED_VALUE"""),44202.0)</f>
        <v>44202</v>
      </c>
      <c r="B628" s="1" t="str">
        <f>IFERROR(__xludf.DUMMYFUNCTION("""COMPUTED_VALUE"""),"New Mexico")</f>
        <v>New Mexico</v>
      </c>
      <c r="C628" s="1" t="str">
        <f>IFERROR(__xludf.DUMMYFUNCTION("""COMPUTED_VALUE"""),"State Proclamations ")</f>
        <v>State Proclamations </v>
      </c>
      <c r="D628" s="1" t="str">
        <f>IFERROR(__xludf.DUMMYFUNCTION("""COMPUTED_VALUE"""),"Opening")</f>
        <v>Opening</v>
      </c>
      <c r="E628" s="1" t="str">
        <f>IFERROR(__xludf.DUMMYFUNCTION("""COMPUTED_VALUE"""),"Professional sports teams cannot have games if their county is “red,” but may still hold practices.")</f>
        <v>Professional sports teams cannot have games if their county is “red,” but may still hold practices.</v>
      </c>
      <c r="F628" s="1" t="str">
        <f>IFERROR(__xludf.DUMMYFUNCTION("""COMPUTED_VALUE"""),"National Academy for State Health Policy")</f>
        <v>National Academy for State Health Policy</v>
      </c>
      <c r="G628" s="3" t="str">
        <f>IFERROR(__xludf.DUMMYFUNCTION("""COMPUTED_VALUE"""),"https://www.nashp.org/2021-covid-19-state-restrictions-re-openings-and-mask-requirements/")</f>
        <v>https://www.nashp.org/2021-covid-19-state-restrictions-re-openings-and-mask-requirements/</v>
      </c>
      <c r="H628" s="1"/>
      <c r="I628" s="1"/>
    </row>
    <row r="629">
      <c r="A629" s="2">
        <f>IFERROR(__xludf.DUMMYFUNCTION("""COMPUTED_VALUE"""),44232.0)</f>
        <v>44232</v>
      </c>
      <c r="B629" s="1" t="str">
        <f>IFERROR(__xludf.DUMMYFUNCTION("""COMPUTED_VALUE"""),"New Mexico")</f>
        <v>New Mexico</v>
      </c>
      <c r="C629" s="1" t="str">
        <f>IFERROR(__xludf.DUMMYFUNCTION("""COMPUTED_VALUE"""),"State Proclamations ")</f>
        <v>State Proclamations </v>
      </c>
      <c r="D629" s="1" t="str">
        <f>IFERROR(__xludf.DUMMYFUNCTION("""COMPUTED_VALUE"""),"Closing")</f>
        <v>Closing</v>
      </c>
      <c r="E629" s="1" t="str">
        <f>IFERROR(__xludf.DUMMYFUNCTION("""COMPUTED_VALUE"""),"Gov. Michelle Lujan Grisham extended the public health emergency until March 5.")</f>
        <v>Gov. Michelle Lujan Grisham extended the public health emergency until March 5.</v>
      </c>
      <c r="F629" s="1" t="str">
        <f>IFERROR(__xludf.DUMMYFUNCTION("""COMPUTED_VALUE"""),"National Academy for State Health Policy")</f>
        <v>National Academy for State Health Policy</v>
      </c>
      <c r="G629" s="3" t="str">
        <f>IFERROR(__xludf.DUMMYFUNCTION("""COMPUTED_VALUE"""),"https://www.nashp.org/2021-covid-19-state-restrictions-re-openings-and-mask-requirements/")</f>
        <v>https://www.nashp.org/2021-covid-19-state-restrictions-re-openings-and-mask-requirements/</v>
      </c>
      <c r="H629" s="1"/>
      <c r="I629" s="1"/>
    </row>
    <row r="630">
      <c r="A630" s="2">
        <f>IFERROR(__xludf.DUMMYFUNCTION("""COMPUTED_VALUE"""),44251.0)</f>
        <v>44251</v>
      </c>
      <c r="B630" s="1" t="str">
        <f>IFERROR(__xludf.DUMMYFUNCTION("""COMPUTED_VALUE"""),"New Mexico")</f>
        <v>New Mexico</v>
      </c>
      <c r="C630" s="1" t="str">
        <f>IFERROR(__xludf.DUMMYFUNCTION("""COMPUTED_VALUE"""),"State Proclamations ")</f>
        <v>State Proclamations </v>
      </c>
      <c r="D630" s="1" t="str">
        <f>IFERROR(__xludf.DUMMYFUNCTION("""COMPUTED_VALUE"""),"Closing")</f>
        <v>Closing</v>
      </c>
      <c r="E630" s="1" t="str">
        <f>IFERROR(__xludf.DUMMYFUNCTION("""COMPUTED_VALUE"""),"The state added the Turquoise Level (the new least-restrictive level) to its red-yellow-green risk level classification system. The state also made the Red, Yellow, and Green levels less restrictive. Bars and clubs can now operate in the Green and Turquoi"&amp;"se levels, and recreational facilities can reopen in all risk levels. Large entertainment venues can open in Yellow, Green, and Turquoise levels. Previously, all of the above industries were closed statewide, regardless of county risk level. State parks a"&amp;"lso opened to camping and out-of-state visitors. Additionally, four counties will have Red Level restrictions, 19 will be Yellow, six will be Green, and four will be Turquoise for a two-week period.")</f>
        <v>The state added the Turquoise Level (the new least-restrictive level) to its red-yellow-green risk level classification system. The state also made the Red, Yellow, and Green levels less restrictive. Bars and clubs can now operate in the Green and Turquoise levels, and recreational facilities can reopen in all risk levels. Large entertainment venues can open in Yellow, Green, and Turquoise levels. Previously, all of the above industries were closed statewide, regardless of county risk level. State parks also opened to camping and out-of-state visitors. Additionally, four counties will have Red Level restrictions, 19 will be Yellow, six will be Green, and four will be Turquoise for a two-week period.</v>
      </c>
      <c r="F630" s="1" t="str">
        <f>IFERROR(__xludf.DUMMYFUNCTION("""COMPUTED_VALUE"""),"National Academy for State Health Policy")</f>
        <v>National Academy for State Health Policy</v>
      </c>
      <c r="G630" s="3" t="str">
        <f>IFERROR(__xludf.DUMMYFUNCTION("""COMPUTED_VALUE"""),"https://www.nashp.org/2021-covid-19-state-restrictions-re-openings-and-mask-requirements/")</f>
        <v>https://www.nashp.org/2021-covid-19-state-restrictions-re-openings-and-mask-requirements/</v>
      </c>
      <c r="H630" s="1"/>
      <c r="I630" s="1"/>
    </row>
    <row r="631">
      <c r="A631" s="2">
        <f>IFERROR(__xludf.DUMMYFUNCTION("""COMPUTED_VALUE"""),44265.0)</f>
        <v>44265</v>
      </c>
      <c r="B631" s="1" t="str">
        <f>IFERROR(__xludf.DUMMYFUNCTION("""COMPUTED_VALUE"""),"New Mexico")</f>
        <v>New Mexico</v>
      </c>
      <c r="C631" s="1" t="str">
        <f>IFERROR(__xludf.DUMMYFUNCTION("""COMPUTED_VALUE"""),"State Proclamations ")</f>
        <v>State Proclamations </v>
      </c>
      <c r="D631" s="1" t="str">
        <f>IFERROR(__xludf.DUMMYFUNCTION("""COMPUTED_VALUE"""),"Opening")</f>
        <v>Opening</v>
      </c>
      <c r="E631" s="1" t="str">
        <f>IFERROR(__xludf.DUMMYFUNCTION("""COMPUTED_VALUE"""),"One county has Red Level restrictions, 18 are Yellow, seven are Green, and seven are Turquoise for a two-week period.")</f>
        <v>One county has Red Level restrictions, 18 are Yellow, seven are Green, and seven are Turquoise for a two-week period.</v>
      </c>
      <c r="F631" s="1" t="str">
        <f>IFERROR(__xludf.DUMMYFUNCTION("""COMPUTED_VALUE"""),"National Academy for State Health Policy")</f>
        <v>National Academy for State Health Policy</v>
      </c>
      <c r="G631" s="3" t="str">
        <f>IFERROR(__xludf.DUMMYFUNCTION("""COMPUTED_VALUE"""),"https://www.nashp.org/2021-covid-19-state-restrictions-re-openings-and-mask-requirements/")</f>
        <v>https://www.nashp.org/2021-covid-19-state-restrictions-re-openings-and-mask-requirements/</v>
      </c>
      <c r="H631" s="1"/>
      <c r="I631" s="1"/>
    </row>
    <row r="632">
      <c r="A632" s="2">
        <f>IFERROR(__xludf.DUMMYFUNCTION("""COMPUTED_VALUE"""),44279.0)</f>
        <v>44279</v>
      </c>
      <c r="B632" s="1" t="str">
        <f>IFERROR(__xludf.DUMMYFUNCTION("""COMPUTED_VALUE"""),"New Mexico")</f>
        <v>New Mexico</v>
      </c>
      <c r="C632" s="1" t="str">
        <f>IFERROR(__xludf.DUMMYFUNCTION("""COMPUTED_VALUE"""),"State Proclamations ")</f>
        <v>State Proclamations </v>
      </c>
      <c r="D632" s="1" t="str">
        <f>IFERROR(__xludf.DUMMYFUNCTION("""COMPUTED_VALUE"""),"Opening")</f>
        <v>Opening</v>
      </c>
      <c r="E632" s="1" t="str">
        <f>IFERROR(__xludf.DUMMYFUNCTION("""COMPUTED_VALUE"""),"Ten counties have Yellow Level restrictions, 10 are Green, and 13 are Turquoise for a two-week period.")</f>
        <v>Ten counties have Yellow Level restrictions, 10 are Green, and 13 are Turquoise for a two-week period.</v>
      </c>
      <c r="F632" s="1" t="str">
        <f>IFERROR(__xludf.DUMMYFUNCTION("""COMPUTED_VALUE"""),"National Academy for State Health Policy")</f>
        <v>National Academy for State Health Policy</v>
      </c>
      <c r="G632" s="3" t="str">
        <f>IFERROR(__xludf.DUMMYFUNCTION("""COMPUTED_VALUE"""),"https://www.nashp.org/2021-covid-19-state-restrictions-re-openings-and-mask-requirements/")</f>
        <v>https://www.nashp.org/2021-covid-19-state-restrictions-re-openings-and-mask-requirements/</v>
      </c>
      <c r="H632" s="1"/>
      <c r="I632" s="1"/>
    </row>
    <row r="633">
      <c r="A633" s="2">
        <f>IFERROR(__xludf.DUMMYFUNCTION("""COMPUTED_VALUE"""),44314.0)</f>
        <v>44314</v>
      </c>
      <c r="B633" s="1" t="str">
        <f>IFERROR(__xludf.DUMMYFUNCTION("""COMPUTED_VALUE"""),"New Mexico")</f>
        <v>New Mexico</v>
      </c>
      <c r="C633" s="1" t="str">
        <f>IFERROR(__xludf.DUMMYFUNCTION("""COMPUTED_VALUE"""),"State Proclamations ")</f>
        <v>State Proclamations </v>
      </c>
      <c r="D633" s="1" t="str">
        <f>IFERROR(__xludf.DUMMYFUNCTION("""COMPUTED_VALUE"""),"Opening")</f>
        <v>Opening</v>
      </c>
      <c r="E633" s="1" t="str">
        <f>IFERROR(__xludf.DUMMYFUNCTION("""COMPUTED_VALUE"""),"The state amended the states criteria for moving through their tier system. Criteria now include a per-capita rate of new COVID-19 cases of 10 per 100,000 residents or less over 14 days; a positivity rate of 7.5% or less over 14 days; and a target percent"&amp;"age of fully vaccinated residents that will start at 35% on April 30, increase to 40% on May 5, and increase by 5% every two weeks afterward. Counties that meet none of the three criteria will be in the red (most restrictive) phase. Counties can move to y"&amp;"ellow if they meet one of the benchmarks, green if they meet two, and turquoise if they meet all three. Counties that stay green in two consecutive biweekly map updates can also move to turquoise. Once a county moves to turquoise, its data is only reviewe"&amp;"d every four weeks rather than biweekly.")</f>
        <v>The state amended the states criteria for moving through their tier system. Criteria now include a per-capita rate of new COVID-19 cases of 10 per 100,000 residents or less over 14 days; a positivity rate of 7.5% or less over 14 days; and a target percentage of fully vaccinated residents that will start at 35% on April 30, increase to 40% on May 5, and increase by 5% every two weeks afterward. Counties that meet none of the three criteria will be in the red (most restrictive) phase. Counties can move to yellow if they meet one of the benchmarks, green if they meet two, and turquoise if they meet all three. Counties that stay green in two consecutive biweekly map updates can also move to turquoise. Once a county moves to turquoise, its data is only reviewed every four weeks rather than biweekly.</v>
      </c>
      <c r="F633" s="1" t="str">
        <f>IFERROR(__xludf.DUMMYFUNCTION("""COMPUTED_VALUE"""),"National Academy for State Health Policy")</f>
        <v>National Academy for State Health Policy</v>
      </c>
      <c r="G633" s="3" t="str">
        <f>IFERROR(__xludf.DUMMYFUNCTION("""COMPUTED_VALUE"""),"https://www.nashp.org/2021-covid-19-state-restrictions-re-openings-and-mask-requirements/")</f>
        <v>https://www.nashp.org/2021-covid-19-state-restrictions-re-openings-and-mask-requirements/</v>
      </c>
      <c r="H633" s="1"/>
      <c r="I633" s="1"/>
    </row>
    <row r="634">
      <c r="A634" s="2">
        <f>IFERROR(__xludf.DUMMYFUNCTION("""COMPUTED_VALUE"""),44316.0)</f>
        <v>44316</v>
      </c>
      <c r="B634" s="1" t="str">
        <f>IFERROR(__xludf.DUMMYFUNCTION("""COMPUTED_VALUE"""),"New Mexico")</f>
        <v>New Mexico</v>
      </c>
      <c r="C634" s="1" t="str">
        <f>IFERROR(__xludf.DUMMYFUNCTION("""COMPUTED_VALUE"""),"State Proclamations ")</f>
        <v>State Proclamations </v>
      </c>
      <c r="D634" s="1" t="str">
        <f>IFERROR(__xludf.DUMMYFUNCTION("""COMPUTED_VALUE"""),"Opening")</f>
        <v>Opening</v>
      </c>
      <c r="E634" s="1" t="str">
        <f>IFERROR(__xludf.DUMMYFUNCTION("""COMPUTED_VALUE"""),"Three counties have yellow level restrictions, six are green, and 24 are turquoise for a two-week period.")</f>
        <v>Three counties have yellow level restrictions, six are green, and 24 are turquoise for a two-week period.</v>
      </c>
      <c r="F634" s="1" t="str">
        <f>IFERROR(__xludf.DUMMYFUNCTION("""COMPUTED_VALUE"""),"National Academy for State Health Policy")</f>
        <v>National Academy for State Health Policy</v>
      </c>
      <c r="G634" s="3" t="str">
        <f>IFERROR(__xludf.DUMMYFUNCTION("""COMPUTED_VALUE"""),"https://www.nashp.org/2021-covid-19-state-restrictions-re-openings-and-mask-requirements/")</f>
        <v>https://www.nashp.org/2021-covid-19-state-restrictions-re-openings-and-mask-requirements/</v>
      </c>
      <c r="H634" s="1"/>
      <c r="I634" s="1"/>
    </row>
    <row r="635">
      <c r="A635" s="2">
        <f>IFERROR(__xludf.DUMMYFUNCTION("""COMPUTED_VALUE"""),44330.0)</f>
        <v>44330</v>
      </c>
      <c r="B635" s="1" t="str">
        <f>IFERROR(__xludf.DUMMYFUNCTION("""COMPUTED_VALUE"""),"New Mexico")</f>
        <v>New Mexico</v>
      </c>
      <c r="C635" s="1" t="str">
        <f>IFERROR(__xludf.DUMMYFUNCTION("""COMPUTED_VALUE"""),"Mask Mandate")</f>
        <v>Mask Mandate</v>
      </c>
      <c r="D635" s="1" t="str">
        <f>IFERROR(__xludf.DUMMYFUNCTION("""COMPUTED_VALUE"""),"End")</f>
        <v>End</v>
      </c>
      <c r="E635" s="1" t="str">
        <f>IFERROR(__xludf.DUMMYFUNCTION("""COMPUTED_VALUE"""),"On May 14, 2021, fully vaccinated individuals did not need to wear masks. Masks were still required for unvaccinated people in public spaces.")</f>
        <v>On May 14, 2021, fully vaccinated individuals did not need to wear masks. Masks were still required for unvaccinated people in public spaces.</v>
      </c>
      <c r="F635" s="1" t="str">
        <f>IFERROR(__xludf.DUMMYFUNCTION("""COMPUTED_VALUE"""),"National Academy for State Health Policy")</f>
        <v>National Academy for State Health Policy</v>
      </c>
      <c r="G635" s="3" t="str">
        <f>IFERROR(__xludf.DUMMYFUNCTION("""COMPUTED_VALUE"""),"https://www.nashp.org/2021-covid-19-state-restrictions-re-openings-and-mask-requirements/")</f>
        <v>https://www.nashp.org/2021-covid-19-state-restrictions-re-openings-and-mask-requirements/</v>
      </c>
      <c r="H635" s="1"/>
      <c r="I635" s="1"/>
    </row>
    <row r="636">
      <c r="A636" s="2">
        <f>IFERROR(__xludf.DUMMYFUNCTION("""COMPUTED_VALUE"""),44349.0)</f>
        <v>44349</v>
      </c>
      <c r="B636" s="1" t="str">
        <f>IFERROR(__xludf.DUMMYFUNCTION("""COMPUTED_VALUE"""),"New Mexico")</f>
        <v>New Mexico</v>
      </c>
      <c r="C636" s="1" t="str">
        <f>IFERROR(__xludf.DUMMYFUNCTION("""COMPUTED_VALUE"""),"State Proclamations ")</f>
        <v>State Proclamations </v>
      </c>
      <c r="D636" s="1" t="str">
        <f>IFERROR(__xludf.DUMMYFUNCTION("""COMPUTED_VALUE"""),"Opening")</f>
        <v>Opening</v>
      </c>
      <c r="E636" s="1" t="str">
        <f>IFERROR(__xludf.DUMMYFUNCTION("""COMPUTED_VALUE"""),"All counties have turquoise level restrictions.")</f>
        <v>All counties have turquoise level restrictions.</v>
      </c>
      <c r="F636" s="1" t="str">
        <f>IFERROR(__xludf.DUMMYFUNCTION("""COMPUTED_VALUE"""),"National Academy for State Health Policy")</f>
        <v>National Academy for State Health Policy</v>
      </c>
      <c r="G636" s="3" t="str">
        <f>IFERROR(__xludf.DUMMYFUNCTION("""COMPUTED_VALUE"""),"https://www.nashp.org/2021-covid-19-state-restrictions-re-openings-and-mask-requirements/")</f>
        <v>https://www.nashp.org/2021-covid-19-state-restrictions-re-openings-and-mask-requirements/</v>
      </c>
      <c r="H636" s="1"/>
      <c r="I636" s="1"/>
    </row>
    <row r="637">
      <c r="A637" s="2">
        <f>IFERROR(__xludf.DUMMYFUNCTION("""COMPUTED_VALUE"""),44378.0)</f>
        <v>44378</v>
      </c>
      <c r="B637" s="1" t="str">
        <f>IFERROR(__xludf.DUMMYFUNCTION("""COMPUTED_VALUE"""),"New Mexico")</f>
        <v>New Mexico</v>
      </c>
      <c r="C637" s="1" t="str">
        <f>IFERROR(__xludf.DUMMYFUNCTION("""COMPUTED_VALUE"""),"State Proclamations ")</f>
        <v>State Proclamations </v>
      </c>
      <c r="D637" s="1" t="str">
        <f>IFERROR(__xludf.DUMMYFUNCTION("""COMPUTED_VALUE"""),"Opening")</f>
        <v>Opening</v>
      </c>
      <c r="E637" s="1" t="str">
        <f>IFERROR(__xludf.DUMMYFUNCTION("""COMPUTED_VALUE"""),"The state ended its color-coded and county-by-county restriction system. All business capacity restrictions are lifted across the state, along with limitations on mass gatherings.")</f>
        <v>The state ended its color-coded and county-by-county restriction system. All business capacity restrictions are lifted across the state, along with limitations on mass gatherings.</v>
      </c>
      <c r="F637" s="1" t="str">
        <f>IFERROR(__xludf.DUMMYFUNCTION("""COMPUTED_VALUE"""),"National Academy for State Health Policy")</f>
        <v>National Academy for State Health Policy</v>
      </c>
      <c r="G637" s="3" t="str">
        <f>IFERROR(__xludf.DUMMYFUNCTION("""COMPUTED_VALUE"""),"https://www.nashp.org/2021-covid-19-state-restrictions-re-openings-and-mask-requirements/")</f>
        <v>https://www.nashp.org/2021-covid-19-state-restrictions-re-openings-and-mask-requirements/</v>
      </c>
      <c r="H637" s="1"/>
      <c r="I637" s="1"/>
    </row>
    <row r="638">
      <c r="A638" s="2">
        <f>IFERROR(__xludf.DUMMYFUNCTION("""COMPUTED_VALUE"""),44425.0)</f>
        <v>44425</v>
      </c>
      <c r="B638" s="1" t="str">
        <f>IFERROR(__xludf.DUMMYFUNCTION("""COMPUTED_VALUE"""),"New Mexico")</f>
        <v>New Mexico</v>
      </c>
      <c r="C638" s="1" t="str">
        <f>IFERROR(__xludf.DUMMYFUNCTION("""COMPUTED_VALUE"""),"Mask Mandate")</f>
        <v>Mask Mandate</v>
      </c>
      <c r="D638" s="1" t="str">
        <f>IFERROR(__xludf.DUMMYFUNCTION("""COMPUTED_VALUE"""),"Start")</f>
        <v>Start</v>
      </c>
      <c r="E638" s="1" t="str">
        <f>IFERROR(__xludf.DUMMYFUNCTION("""COMPUTED_VALUE"""),"On Aug. 17, 2021, Gov. Michelle Lujan Grisham and the Department of Health reinstated the indoor mask mandate for vaccinated individuals.")</f>
        <v>On Aug. 17, 2021, Gov. Michelle Lujan Grisham and the Department of Health reinstated the indoor mask mandate for vaccinated individuals.</v>
      </c>
      <c r="F638" s="1" t="str">
        <f>IFERROR(__xludf.DUMMYFUNCTION("""COMPUTED_VALUE"""),"National Academy for State Health Policy")</f>
        <v>National Academy for State Health Policy</v>
      </c>
      <c r="G638" s="3" t="str">
        <f>IFERROR(__xludf.DUMMYFUNCTION("""COMPUTED_VALUE"""),"https://www.nashp.org/2021-covid-19-state-restrictions-re-openings-and-mask-requirements/")</f>
        <v>https://www.nashp.org/2021-covid-19-state-restrictions-re-openings-and-mask-requirements/</v>
      </c>
      <c r="H638" s="1"/>
      <c r="I638" s="1"/>
    </row>
    <row r="639">
      <c r="A639" s="2">
        <f>IFERROR(__xludf.DUMMYFUNCTION("""COMPUTED_VALUE"""),44454.0)</f>
        <v>44454</v>
      </c>
      <c r="B639" s="1" t="str">
        <f>IFERROR(__xludf.DUMMYFUNCTION("""COMPUTED_VALUE"""),"New Mexico")</f>
        <v>New Mexico</v>
      </c>
      <c r="C639" s="1" t="str">
        <f>IFERROR(__xludf.DUMMYFUNCTION("""COMPUTED_VALUE"""),"State of Emergency")</f>
        <v>State of Emergency</v>
      </c>
      <c r="D639" s="1" t="str">
        <f>IFERROR(__xludf.DUMMYFUNCTION("""COMPUTED_VALUE"""),"End")</f>
        <v>End</v>
      </c>
      <c r="E639" s="1" t="str">
        <f>IFERROR(__xludf.DUMMYFUNCTION("""COMPUTED_VALUE"""),"State of Emergency ended September 15, 2021")</f>
        <v>State of Emergency ended September 15, 2021</v>
      </c>
      <c r="F639" s="1" t="str">
        <f>IFERROR(__xludf.DUMMYFUNCTION("""COMPUTED_VALUE"""),"National Academy for State Health Policy")</f>
        <v>National Academy for State Health Policy</v>
      </c>
      <c r="G639" s="3" t="str">
        <f>IFERROR(__xludf.DUMMYFUNCTION("""COMPUTED_VALUE"""),"https://www.nashp.org/2021-covid-19-state-restrictions-re-openings-and-mask-requirements/")</f>
        <v>https://www.nashp.org/2021-covid-19-state-restrictions-re-openings-and-mask-requirements/</v>
      </c>
      <c r="H639" s="1"/>
      <c r="I639" s="1"/>
    </row>
    <row r="640">
      <c r="A640" s="2">
        <f>IFERROR(__xludf.DUMMYFUNCTION("""COMPUTED_VALUE"""),44532.0)</f>
        <v>44532</v>
      </c>
      <c r="B640" s="1" t="str">
        <f>IFERROR(__xludf.DUMMYFUNCTION("""COMPUTED_VALUE"""),"New Mexico")</f>
        <v>New Mexico</v>
      </c>
      <c r="C640" s="1" t="str">
        <f>IFERROR(__xludf.DUMMYFUNCTION("""COMPUTED_VALUE"""),"State Proclamations ")</f>
        <v>State Proclamations </v>
      </c>
      <c r="D640" s="1" t="str">
        <f>IFERROR(__xludf.DUMMYFUNCTION("""COMPUTED_VALUE"""),"Opening")</f>
        <v>Opening</v>
      </c>
      <c r="E640" s="1" t="str">
        <f>IFERROR(__xludf.DUMMYFUNCTION("""COMPUTED_VALUE"""),"The governor signed an amendment to the emergency public health order to require booster shots for those who work in higher-risk environments, including workers in all health care settings, congregate care settings, and in public schools, as well as for s"&amp;"tate employees.")</f>
        <v>The governor signed an amendment to the emergency public health order to require booster shots for those who work in higher-risk environments, including workers in all health care settings, congregate care settings, and in public schools, as well as for state employees.</v>
      </c>
      <c r="F640" s="1" t="str">
        <f>IFERROR(__xludf.DUMMYFUNCTION("""COMPUTED_VALUE"""),"National Academy for State Health Policy")</f>
        <v>National Academy for State Health Policy</v>
      </c>
      <c r="G640" s="3" t="str">
        <f>IFERROR(__xludf.DUMMYFUNCTION("""COMPUTED_VALUE"""),"https://www.nashp.org/2021-covid-19-state-restrictions-re-openings-and-mask-requirements/")</f>
        <v>https://www.nashp.org/2021-covid-19-state-restrictions-re-openings-and-mask-requirements/</v>
      </c>
      <c r="H640" s="1"/>
      <c r="I640" s="1"/>
    </row>
    <row r="641">
      <c r="A641" s="2">
        <f>IFERROR(__xludf.DUMMYFUNCTION("""COMPUTED_VALUE"""),43897.0)</f>
        <v>43897</v>
      </c>
      <c r="B641" s="1" t="str">
        <f>IFERROR(__xludf.DUMMYFUNCTION("""COMPUTED_VALUE"""),"New York")</f>
        <v>New York</v>
      </c>
      <c r="C641" s="1" t="str">
        <f>IFERROR(__xludf.DUMMYFUNCTION("""COMPUTED_VALUE"""),"State of Emergency")</f>
        <v>State of Emergency</v>
      </c>
      <c r="D641" s="1" t="str">
        <f>IFERROR(__xludf.DUMMYFUNCTION("""COMPUTED_VALUE"""),"Start")</f>
        <v>Start</v>
      </c>
      <c r="E641" s="1" t="str">
        <f>IFERROR(__xludf.DUMMYFUNCTION("""COMPUTED_VALUE"""),"During a briefing on the novel coronavirus, Governor Andrew M. Cuomo today declared a state of emergency to help New York more quickly and effectively contain the spread of the virus.")</f>
        <v>During a briefing on the novel coronavirus, Governor Andrew M. Cuomo today declared a state of emergency to help New York more quickly and effectively contain the spread of the virus.</v>
      </c>
      <c r="F641" s="1" t="str">
        <f>IFERROR(__xludf.DUMMYFUNCTION("""COMPUTED_VALUE"""),"New York State")</f>
        <v>New York State</v>
      </c>
      <c r="G641" s="3" t="str">
        <f>IFERROR(__xludf.DUMMYFUNCTION("""COMPUTED_VALUE"""),"https://www.governor.ny.gov/news/novel-coronavirus-briefing-governor-cuomo-declares-state-emergency-contain-spread-virus")</f>
        <v>https://www.governor.ny.gov/news/novel-coronavirus-briefing-governor-cuomo-declares-state-emergency-contain-spread-virus</v>
      </c>
      <c r="H641" s="1"/>
      <c r="I641" s="1"/>
    </row>
    <row r="642">
      <c r="A642" s="2">
        <f>IFERROR(__xludf.DUMMYFUNCTION("""COMPUTED_VALUE"""),43912.0)</f>
        <v>43912</v>
      </c>
      <c r="B642" s="1" t="str">
        <f>IFERROR(__xludf.DUMMYFUNCTION("""COMPUTED_VALUE"""),"New York")</f>
        <v>New York</v>
      </c>
      <c r="C642" s="1" t="str">
        <f>IFERROR(__xludf.DUMMYFUNCTION("""COMPUTED_VALUE"""),"Stay-at-Home Order")</f>
        <v>Stay-at-Home Order</v>
      </c>
      <c r="D642" s="1" t="str">
        <f>IFERROR(__xludf.DUMMYFUNCTION("""COMPUTED_VALUE"""),"Start")</f>
        <v>Start</v>
      </c>
      <c r="E642" s="1" t="str">
        <f>IFERROR(__xludf.DUMMYFUNCTION("""COMPUTED_VALUE"""),"Original stay-at-home order begins")</f>
        <v>Original stay-at-home order begins</v>
      </c>
      <c r="F642" s="1" t="str">
        <f>IFERROR(__xludf.DUMMYFUNCTION("""COMPUTED_VALUE"""),"National Academy for State Health Policy")</f>
        <v>National Academy for State Health Policy</v>
      </c>
      <c r="G642" s="3" t="str">
        <f>IFERROR(__xludf.DUMMYFUNCTION("""COMPUTED_VALUE"""),"https://www.nashp.org/2020-state-reopening-chart/")</f>
        <v>https://www.nashp.org/2020-state-reopening-chart/</v>
      </c>
      <c r="H642" s="1"/>
      <c r="I642" s="1"/>
    </row>
    <row r="643">
      <c r="A643" s="2">
        <f>IFERROR(__xludf.DUMMYFUNCTION("""COMPUTED_VALUE"""),43936.0)</f>
        <v>43936</v>
      </c>
      <c r="B643" s="1" t="str">
        <f>IFERROR(__xludf.DUMMYFUNCTION("""COMPUTED_VALUE"""),"New York")</f>
        <v>New York</v>
      </c>
      <c r="C643" s="1" t="str">
        <f>IFERROR(__xludf.DUMMYFUNCTION("""COMPUTED_VALUE"""),"Mask Mandate")</f>
        <v>Mask Mandate</v>
      </c>
      <c r="D643" s="1" t="str">
        <f>IFERROR(__xludf.DUMMYFUNCTION("""COMPUTED_VALUE"""),"Start")</f>
        <v>Start</v>
      </c>
      <c r="E643" s="1" t="str">
        <f>IFERROR(__xludf.DUMMYFUNCTION("""COMPUTED_VALUE"""),"All residents over age 2 must wear masks or face coverings when in public and social distancing is impossible.")</f>
        <v>All residents over age 2 must wear masks or face coverings when in public and social distancing is impossible.</v>
      </c>
      <c r="F643" s="1" t="str">
        <f>IFERROR(__xludf.DUMMYFUNCTION("""COMPUTED_VALUE"""),"CNN")</f>
        <v>CNN</v>
      </c>
      <c r="G643" s="3" t="str">
        <f>IFERROR(__xludf.DUMMYFUNCTION("""COMPUTED_VALUE"""),"https://www.cnn.com/2020/06/19/us/states-face-mask-coronavirus-trnd/index.html")</f>
        <v>https://www.cnn.com/2020/06/19/us/states-face-mask-coronavirus-trnd/index.html</v>
      </c>
      <c r="H643" s="1"/>
      <c r="I643" s="1"/>
    </row>
    <row r="644">
      <c r="A644" s="2">
        <f>IFERROR(__xludf.DUMMYFUNCTION("""COMPUTED_VALUE"""),43949.0)</f>
        <v>43949</v>
      </c>
      <c r="B644" s="1" t="str">
        <f>IFERROR(__xludf.DUMMYFUNCTION("""COMPUTED_VALUE"""),"New York")</f>
        <v>New York</v>
      </c>
      <c r="C644" s="1" t="str">
        <f>IFERROR(__xludf.DUMMYFUNCTION("""COMPUTED_VALUE"""),"State Proclamations ")</f>
        <v>State Proclamations </v>
      </c>
      <c r="D644" s="1" t="str">
        <f>IFERROR(__xludf.DUMMYFUNCTION("""COMPUTED_VALUE"""),"Opening")</f>
        <v>Opening</v>
      </c>
      <c r="E644" s="1" t="str">
        <f>IFERROR(__xludf.DUMMYFUNCTION("""COMPUTED_VALUE"""),"New York has reopened retail stores, outdoor dining at restaurants in certain counties, personal care services, houses of worship, beaches, public pools, and offices in certain counties. Nonessential medical procedures resumed April 28.")</f>
        <v>New York has reopened retail stores, outdoor dining at restaurants in certain counties, personal care services, houses of worship, beaches, public pools, and offices in certain counties. Nonessential medical procedures resumed April 28.</v>
      </c>
      <c r="F644" s="1" t="str">
        <f>IFERROR(__xludf.DUMMYFUNCTION("""COMPUTED_VALUE"""),"National Academy for State Health Policy")</f>
        <v>National Academy for State Health Policy</v>
      </c>
      <c r="G644" s="3" t="str">
        <f>IFERROR(__xludf.DUMMYFUNCTION("""COMPUTED_VALUE"""),"https://www.nashp.org/2020-state-reopening-chart/")</f>
        <v>https://www.nashp.org/2020-state-reopening-chart/</v>
      </c>
      <c r="H644" s="1"/>
      <c r="I644" s="1"/>
    </row>
    <row r="645">
      <c r="A645" s="2">
        <f>IFERROR(__xludf.DUMMYFUNCTION("""COMPUTED_VALUE"""),43979.0)</f>
        <v>43979</v>
      </c>
      <c r="B645" s="1" t="str">
        <f>IFERROR(__xludf.DUMMYFUNCTION("""COMPUTED_VALUE"""),"New York")</f>
        <v>New York</v>
      </c>
      <c r="C645" s="1" t="str">
        <f>IFERROR(__xludf.DUMMYFUNCTION("""COMPUTED_VALUE"""),"Stay-at-Home Order")</f>
        <v>Stay-at-Home Order</v>
      </c>
      <c r="D645" s="1" t="str">
        <f>IFERROR(__xludf.DUMMYFUNCTION("""COMPUTED_VALUE"""),"End")</f>
        <v>End</v>
      </c>
      <c r="E645" s="1" t="str">
        <f>IFERROR(__xludf.DUMMYFUNCTION("""COMPUTED_VALUE"""),"Original stay-at-home order ends")</f>
        <v>Original stay-at-home order ends</v>
      </c>
      <c r="F645" s="1" t="str">
        <f>IFERROR(__xludf.DUMMYFUNCTION("""COMPUTED_VALUE"""),"National Academy for State Health Policy")</f>
        <v>National Academy for State Health Policy</v>
      </c>
      <c r="G645" s="3" t="str">
        <f>IFERROR(__xludf.DUMMYFUNCTION("""COMPUTED_VALUE"""),"https://www.nashp.org/2020-state-reopening-chart/")</f>
        <v>https://www.nashp.org/2020-state-reopening-chart/</v>
      </c>
      <c r="H645" s="1"/>
      <c r="I645" s="1"/>
    </row>
    <row r="646">
      <c r="A646" s="2">
        <f>IFERROR(__xludf.DUMMYFUNCTION("""COMPUTED_VALUE"""),43990.0)</f>
        <v>43990</v>
      </c>
      <c r="B646" s="1" t="str">
        <f>IFERROR(__xludf.DUMMYFUNCTION("""COMPUTED_VALUE"""),"New York")</f>
        <v>New York</v>
      </c>
      <c r="C646" s="1" t="str">
        <f>IFERROR(__xludf.DUMMYFUNCTION("""COMPUTED_VALUE"""),"State Proclamations ")</f>
        <v>State Proclamations </v>
      </c>
      <c r="D646" s="1" t="str">
        <f>IFERROR(__xludf.DUMMYFUNCTION("""COMPUTED_VALUE"""),"Opening")</f>
        <v>Opening</v>
      </c>
      <c r="E646" s="1" t="str">
        <f>IFERROR(__xludf.DUMMYFUNCTION("""COMPUTED_VALUE"""),"New York City moves into its first phase of reopening.")</f>
        <v>New York City moves into its first phase of reopening.</v>
      </c>
      <c r="F646" s="1" t="str">
        <f>IFERROR(__xludf.DUMMYFUNCTION("""COMPUTED_VALUE"""),"National Academy for State Health Policy")</f>
        <v>National Academy for State Health Policy</v>
      </c>
      <c r="G646" s="3" t="str">
        <f>IFERROR(__xludf.DUMMYFUNCTION("""COMPUTED_VALUE"""),"https://www.nashp.org/2020-state-reopening-chart/")</f>
        <v>https://www.nashp.org/2020-state-reopening-chart/</v>
      </c>
      <c r="H646" s="1"/>
      <c r="I646" s="1"/>
    </row>
    <row r="647">
      <c r="A647" s="2">
        <f>IFERROR(__xludf.DUMMYFUNCTION("""COMPUTED_VALUE"""),44006.0)</f>
        <v>44006</v>
      </c>
      <c r="B647" s="1" t="str">
        <f>IFERROR(__xludf.DUMMYFUNCTION("""COMPUTED_VALUE"""),"New York")</f>
        <v>New York</v>
      </c>
      <c r="C647" s="1" t="str">
        <f>IFERROR(__xludf.DUMMYFUNCTION("""COMPUTED_VALUE"""),"State Proclamations ")</f>
        <v>State Proclamations </v>
      </c>
      <c r="D647" s="1" t="str">
        <f>IFERROR(__xludf.DUMMYFUNCTION("""COMPUTED_VALUE"""),"Opening")</f>
        <v>Opening</v>
      </c>
      <c r="E647" s="1" t="str">
        <f>IFERROR(__xludf.DUMMYFUNCTION("""COMPUTED_VALUE"""),"Everywhere except New York City entered Stage 3, which permits gatherings of up to 25 people.")</f>
        <v>Everywhere except New York City entered Stage 3, which permits gatherings of up to 25 people.</v>
      </c>
      <c r="F647" s="1" t="str">
        <f>IFERROR(__xludf.DUMMYFUNCTION("""COMPUTED_VALUE"""),"National Academy for State Health Policy")</f>
        <v>National Academy for State Health Policy</v>
      </c>
      <c r="G647" s="3" t="str">
        <f>IFERROR(__xludf.DUMMYFUNCTION("""COMPUTED_VALUE"""),"https://www.nashp.org/2020-state-reopening-chart/")</f>
        <v>https://www.nashp.org/2020-state-reopening-chart/</v>
      </c>
      <c r="H647" s="1"/>
      <c r="I647" s="1"/>
    </row>
    <row r="648">
      <c r="A648" s="2">
        <f>IFERROR(__xludf.DUMMYFUNCTION("""COMPUTED_VALUE"""),44013.0)</f>
        <v>44013</v>
      </c>
      <c r="B648" s="1" t="str">
        <f>IFERROR(__xludf.DUMMYFUNCTION("""COMPUTED_VALUE"""),"New York")</f>
        <v>New York</v>
      </c>
      <c r="C648" s="1" t="str">
        <f>IFERROR(__xludf.DUMMYFUNCTION("""COMPUTED_VALUE"""),"State Proclamations ")</f>
        <v>State Proclamations </v>
      </c>
      <c r="D648" s="1" t="str">
        <f>IFERROR(__xludf.DUMMYFUNCTION("""COMPUTED_VALUE"""),"Closing")</f>
        <v>Closing</v>
      </c>
      <c r="E648" s="1" t="str">
        <f>IFERROR(__xludf.DUMMYFUNCTION("""COMPUTED_VALUE"""),"In an attempt to keep cases down, the mayor of New York City announced that the city will not resume indoor dining at restaurants on July 6, the originally scheduled date.")</f>
        <v>In an attempt to keep cases down, the mayor of New York City announced that the city will not resume indoor dining at restaurants on July 6, the originally scheduled date.</v>
      </c>
      <c r="F648" s="1" t="str">
        <f>IFERROR(__xludf.DUMMYFUNCTION("""COMPUTED_VALUE"""),"National Academy for State Health Policy")</f>
        <v>National Academy for State Health Policy</v>
      </c>
      <c r="G648" s="3" t="str">
        <f>IFERROR(__xludf.DUMMYFUNCTION("""COMPUTED_VALUE"""),"https://www.nashp.org/2020-state-reopening-chart/")</f>
        <v>https://www.nashp.org/2020-state-reopening-chart/</v>
      </c>
      <c r="H648" s="1"/>
      <c r="I648" s="1"/>
    </row>
    <row r="649">
      <c r="A649" s="2">
        <f>IFERROR(__xludf.DUMMYFUNCTION("""COMPUTED_VALUE"""),44022.0)</f>
        <v>44022</v>
      </c>
      <c r="B649" s="1" t="str">
        <f>IFERROR(__xludf.DUMMYFUNCTION("""COMPUTED_VALUE"""),"New York")</f>
        <v>New York</v>
      </c>
      <c r="C649" s="1" t="str">
        <f>IFERROR(__xludf.DUMMYFUNCTION("""COMPUTED_VALUE"""),"State Proclamations ")</f>
        <v>State Proclamations </v>
      </c>
      <c r="D649" s="1" t="str">
        <f>IFERROR(__xludf.DUMMYFUNCTION("""COMPUTED_VALUE"""),"Opening")</f>
        <v>Opening</v>
      </c>
      <c r="E649" s="1" t="str">
        <f>IFERROR(__xludf.DUMMYFUNCTION("""COMPUTED_VALUE"""),"Malls reopened with additional guidelines in regions in the fourth phase of reopening.")</f>
        <v>Malls reopened with additional guidelines in regions in the fourth phase of reopening.</v>
      </c>
      <c r="F649" s="1" t="str">
        <f>IFERROR(__xludf.DUMMYFUNCTION("""COMPUTED_VALUE"""),"National Academy for State Health Policy")</f>
        <v>National Academy for State Health Policy</v>
      </c>
      <c r="G649" s="3" t="str">
        <f>IFERROR(__xludf.DUMMYFUNCTION("""COMPUTED_VALUE"""),"https://www.nashp.org/2020-state-reopening-chart/")</f>
        <v>https://www.nashp.org/2020-state-reopening-chart/</v>
      </c>
      <c r="H649" s="1"/>
      <c r="I649" s="1"/>
    </row>
    <row r="650">
      <c r="A650" s="2">
        <f>IFERROR(__xludf.DUMMYFUNCTION("""COMPUTED_VALUE"""),44032.0)</f>
        <v>44032</v>
      </c>
      <c r="B650" s="1" t="str">
        <f>IFERROR(__xludf.DUMMYFUNCTION("""COMPUTED_VALUE"""),"New York")</f>
        <v>New York</v>
      </c>
      <c r="C650" s="1" t="str">
        <f>IFERROR(__xludf.DUMMYFUNCTION("""COMPUTED_VALUE"""),"State Proclamations ")</f>
        <v>State Proclamations </v>
      </c>
      <c r="D650" s="1" t="str">
        <f>IFERROR(__xludf.DUMMYFUNCTION("""COMPUTED_VALUE"""),"Opening")</f>
        <v>Opening</v>
      </c>
      <c r="E650" s="1" t="str">
        <f>IFERROR(__xludf.DUMMYFUNCTION("""COMPUTED_VALUE"""),"New York City moved into Phase 4 of reopening.")</f>
        <v>New York City moved into Phase 4 of reopening.</v>
      </c>
      <c r="F650" s="1" t="str">
        <f>IFERROR(__xludf.DUMMYFUNCTION("""COMPUTED_VALUE"""),"National Academy for State Health Policy")</f>
        <v>National Academy for State Health Policy</v>
      </c>
      <c r="G650" s="3" t="str">
        <f>IFERROR(__xludf.DUMMYFUNCTION("""COMPUTED_VALUE"""),"https://www.nashp.org/2020-state-reopening-chart/")</f>
        <v>https://www.nashp.org/2020-state-reopening-chart/</v>
      </c>
      <c r="H650" s="1"/>
      <c r="I650" s="1"/>
    </row>
    <row r="651">
      <c r="A651" s="2">
        <f>IFERROR(__xludf.DUMMYFUNCTION("""COMPUTED_VALUE"""),44053.0)</f>
        <v>44053</v>
      </c>
      <c r="B651" s="1" t="str">
        <f>IFERROR(__xludf.DUMMYFUNCTION("""COMPUTED_VALUE"""),"New York")</f>
        <v>New York</v>
      </c>
      <c r="C651" s="1" t="str">
        <f>IFERROR(__xludf.DUMMYFUNCTION("""COMPUTED_VALUE"""),"State Proclamations ")</f>
        <v>State Proclamations </v>
      </c>
      <c r="D651" s="1" t="str">
        <f>IFERROR(__xludf.DUMMYFUNCTION("""COMPUTED_VALUE"""),"Opening")</f>
        <v>Opening</v>
      </c>
      <c r="E651" s="1" t="str">
        <f>IFERROR(__xludf.DUMMYFUNCTION("""COMPUTED_VALUE"""),"New York City's mayor said that he plans to welcome 700,000 students back to school buildings for in-person instruction for the start of the academic year in September.")</f>
        <v>New York City's mayor said that he plans to welcome 700,000 students back to school buildings for in-person instruction for the start of the academic year in September.</v>
      </c>
      <c r="F651" s="1" t="str">
        <f>IFERROR(__xludf.DUMMYFUNCTION("""COMPUTED_VALUE"""),"National Academy for State Health Policy")</f>
        <v>National Academy for State Health Policy</v>
      </c>
      <c r="G651" s="3" t="str">
        <f>IFERROR(__xludf.DUMMYFUNCTION("""COMPUTED_VALUE"""),"https://www.nashp.org/2020-state-reopening-chart/")</f>
        <v>https://www.nashp.org/2020-state-reopening-chart/</v>
      </c>
      <c r="H651" s="1"/>
      <c r="I651" s="1"/>
    </row>
    <row r="652">
      <c r="A652" s="2">
        <f>IFERROR(__xludf.DUMMYFUNCTION("""COMPUTED_VALUE"""),44067.0)</f>
        <v>44067</v>
      </c>
      <c r="B652" s="1" t="str">
        <f>IFERROR(__xludf.DUMMYFUNCTION("""COMPUTED_VALUE"""),"New York")</f>
        <v>New York</v>
      </c>
      <c r="C652" s="1" t="str">
        <f>IFERROR(__xludf.DUMMYFUNCTION("""COMPUTED_VALUE"""),"State Proclamations ")</f>
        <v>State Proclamations </v>
      </c>
      <c r="D652" s="1" t="str">
        <f>IFERROR(__xludf.DUMMYFUNCTION("""COMPUTED_VALUE"""),"Opening")</f>
        <v>Opening</v>
      </c>
      <c r="E652" s="1" t="str">
        <f>IFERROR(__xludf.DUMMYFUNCTION("""COMPUTED_VALUE"""),"Gyms and fitness centers allowed to begin reopening with additional guidelines.")</f>
        <v>Gyms and fitness centers allowed to begin reopening with additional guidelines.</v>
      </c>
      <c r="F652" s="1" t="str">
        <f>IFERROR(__xludf.DUMMYFUNCTION("""COMPUTED_VALUE"""),"National Academy for State Health Policy")</f>
        <v>National Academy for State Health Policy</v>
      </c>
      <c r="G652" s="3" t="str">
        <f>IFERROR(__xludf.DUMMYFUNCTION("""COMPUTED_VALUE"""),"https://www.nashp.org/2020-state-reopening-chart/")</f>
        <v>https://www.nashp.org/2020-state-reopening-chart/</v>
      </c>
      <c r="H652" s="1"/>
      <c r="I652" s="1"/>
    </row>
    <row r="653">
      <c r="A653" s="2">
        <f>IFERROR(__xludf.DUMMYFUNCTION("""COMPUTED_VALUE"""),44103.0)</f>
        <v>44103</v>
      </c>
      <c r="B653" s="1" t="str">
        <f>IFERROR(__xludf.DUMMYFUNCTION("""COMPUTED_VALUE"""),"New York")</f>
        <v>New York</v>
      </c>
      <c r="C653" s="1" t="str">
        <f>IFERROR(__xludf.DUMMYFUNCTION("""COMPUTED_VALUE"""),"State Proclamations ")</f>
        <v>State Proclamations </v>
      </c>
      <c r="D653" s="1" t="str">
        <f>IFERROR(__xludf.DUMMYFUNCTION("""COMPUTED_VALUE"""),"Opening")</f>
        <v>Opening</v>
      </c>
      <c r="E653" s="1" t="str">
        <f>IFERROR(__xludf.DUMMYFUNCTION("""COMPUTED_VALUE"""),"Schools in New York City reopened.")</f>
        <v>Schools in New York City reopened.</v>
      </c>
      <c r="F653" s="1" t="str">
        <f>IFERROR(__xludf.DUMMYFUNCTION("""COMPUTED_VALUE"""),"National Academy for State Health Policy")</f>
        <v>National Academy for State Health Policy</v>
      </c>
      <c r="G653" s="3" t="str">
        <f>IFERROR(__xludf.DUMMYFUNCTION("""COMPUTED_VALUE"""),"https://www.nashp.org/2020-state-reopening-chart/")</f>
        <v>https://www.nashp.org/2020-state-reopening-chart/</v>
      </c>
      <c r="H653" s="1"/>
      <c r="I653" s="1"/>
    </row>
    <row r="654">
      <c r="A654" s="2">
        <f>IFERROR(__xludf.DUMMYFUNCTION("""COMPUTED_VALUE"""),44104.0)</f>
        <v>44104</v>
      </c>
      <c r="B654" s="1" t="str">
        <f>IFERROR(__xludf.DUMMYFUNCTION("""COMPUTED_VALUE"""),"New York")</f>
        <v>New York</v>
      </c>
      <c r="C654" s="1" t="str">
        <f>IFERROR(__xludf.DUMMYFUNCTION("""COMPUTED_VALUE"""),"State Proclamations ")</f>
        <v>State Proclamations </v>
      </c>
      <c r="D654" s="1" t="str">
        <f>IFERROR(__xludf.DUMMYFUNCTION("""COMPUTED_VALUE"""),"Opening")</f>
        <v>Opening</v>
      </c>
      <c r="E654" s="1" t="str">
        <f>IFERROR(__xludf.DUMMYFUNCTION("""COMPUTED_VALUE"""),"Indoor dining in New York City reopened.")</f>
        <v>Indoor dining in New York City reopened.</v>
      </c>
      <c r="F654" s="1" t="str">
        <f>IFERROR(__xludf.DUMMYFUNCTION("""COMPUTED_VALUE"""),"National Academy for State Health Policy")</f>
        <v>National Academy for State Health Policy</v>
      </c>
      <c r="G654" s="3" t="str">
        <f>IFERROR(__xludf.DUMMYFUNCTION("""COMPUTED_VALUE"""),"https://www.nashp.org/2020-state-reopening-chart/")</f>
        <v>https://www.nashp.org/2020-state-reopening-chart/</v>
      </c>
      <c r="H654" s="1"/>
      <c r="I654" s="1"/>
    </row>
    <row r="655">
      <c r="A655" s="2">
        <f>IFERROR(__xludf.DUMMYFUNCTION("""COMPUTED_VALUE"""),44110.0)</f>
        <v>44110</v>
      </c>
      <c r="B655" s="1" t="str">
        <f>IFERROR(__xludf.DUMMYFUNCTION("""COMPUTED_VALUE"""),"New York")</f>
        <v>New York</v>
      </c>
      <c r="C655" s="1" t="str">
        <f>IFERROR(__xludf.DUMMYFUNCTION("""COMPUTED_VALUE"""),"State Proclamations ")</f>
        <v>State Proclamations </v>
      </c>
      <c r="D655" s="1" t="str">
        <f>IFERROR(__xludf.DUMMYFUNCTION("""COMPUTED_VALUE"""),"Closing")</f>
        <v>Closing</v>
      </c>
      <c r="E655" s="1" t="str">
        <f>IFERROR(__xludf.DUMMYFUNCTION("""COMPUTED_VALUE"""),"The governor closed schools in some New York City neighborhoods with higher positivity rates.")</f>
        <v>The governor closed schools in some New York City neighborhoods with higher positivity rates.</v>
      </c>
      <c r="F655" s="1" t="str">
        <f>IFERROR(__xludf.DUMMYFUNCTION("""COMPUTED_VALUE"""),"National Academy for State Health Policy")</f>
        <v>National Academy for State Health Policy</v>
      </c>
      <c r="G655" s="3" t="str">
        <f>IFERROR(__xludf.DUMMYFUNCTION("""COMPUTED_VALUE"""),"https://www.nashp.org/2020-state-reopening-chart/")</f>
        <v>https://www.nashp.org/2020-state-reopening-chart/</v>
      </c>
      <c r="H655" s="1"/>
      <c r="I655" s="1"/>
    </row>
    <row r="656">
      <c r="A656" s="2">
        <f>IFERROR(__xludf.DUMMYFUNCTION("""COMPUTED_VALUE"""),44113.0)</f>
        <v>44113</v>
      </c>
      <c r="B656" s="1" t="str">
        <f>IFERROR(__xludf.DUMMYFUNCTION("""COMPUTED_VALUE"""),"New York")</f>
        <v>New York</v>
      </c>
      <c r="C656" s="1" t="str">
        <f>IFERROR(__xludf.DUMMYFUNCTION("""COMPUTED_VALUE"""),"State Proclamations ")</f>
        <v>State Proclamations </v>
      </c>
      <c r="D656" s="1" t="str">
        <f>IFERROR(__xludf.DUMMYFUNCTION("""COMPUTED_VALUE"""),"Closing")</f>
        <v>Closing</v>
      </c>
      <c r="E656" s="1" t="str">
        <f>IFERROR(__xludf.DUMMYFUNCTION("""COMPUTED_VALUE"""),"In areas designated as red zones, state-defined nonessential businesses will have to close, religious gatherings will be limited to 10 people, and restaurants will only be able to offer takeout service.")</f>
        <v>In areas designated as red zones, state-defined nonessential businesses will have to close, religious gatherings will be limited to 10 people, and restaurants will only be able to offer takeout service.</v>
      </c>
      <c r="F656" s="1" t="str">
        <f>IFERROR(__xludf.DUMMYFUNCTION("""COMPUTED_VALUE"""),"National Academy for State Health Policy")</f>
        <v>National Academy for State Health Policy</v>
      </c>
      <c r="G656" s="3" t="str">
        <f>IFERROR(__xludf.DUMMYFUNCTION("""COMPUTED_VALUE"""),"https://www.nashp.org/2020-state-reopening-chart/")</f>
        <v>https://www.nashp.org/2020-state-reopening-chart/</v>
      </c>
      <c r="H656" s="1"/>
      <c r="I656" s="1"/>
    </row>
    <row r="657">
      <c r="A657" s="2">
        <f>IFERROR(__xludf.DUMMYFUNCTION("""COMPUTED_VALUE"""),44127.0)</f>
        <v>44127</v>
      </c>
      <c r="B657" s="1" t="str">
        <f>IFERROR(__xludf.DUMMYFUNCTION("""COMPUTED_VALUE"""),"New York")</f>
        <v>New York</v>
      </c>
      <c r="C657" s="1" t="str">
        <f>IFERROR(__xludf.DUMMYFUNCTION("""COMPUTED_VALUE"""),"State Proclamations ")</f>
        <v>State Proclamations </v>
      </c>
      <c r="D657" s="1" t="str">
        <f>IFERROR(__xludf.DUMMYFUNCTION("""COMPUTED_VALUE"""),"Opening")</f>
        <v>Opening</v>
      </c>
      <c r="E657" s="1" t="str">
        <f>IFERROR(__xludf.DUMMYFUNCTION("""COMPUTED_VALUE"""),"Movie theaters can reopen at 25% capacity everywhere except New York City if a county’s positivity rate is below 2% on a 14-day rolling average.")</f>
        <v>Movie theaters can reopen at 25% capacity everywhere except New York City if a county’s positivity rate is below 2% on a 14-day rolling average.</v>
      </c>
      <c r="F657" s="1" t="str">
        <f>IFERROR(__xludf.DUMMYFUNCTION("""COMPUTED_VALUE"""),"National Academy for State Health Policy")</f>
        <v>National Academy for State Health Policy</v>
      </c>
      <c r="G657" s="3" t="str">
        <f>IFERROR(__xludf.DUMMYFUNCTION("""COMPUTED_VALUE"""),"https://www.nashp.org/2020-state-reopening-chart/")</f>
        <v>https://www.nashp.org/2020-state-reopening-chart/</v>
      </c>
      <c r="H657" s="1"/>
      <c r="I657" s="1"/>
    </row>
    <row r="658">
      <c r="A658" s="2">
        <f>IFERROR(__xludf.DUMMYFUNCTION("""COMPUTED_VALUE"""),44141.0)</f>
        <v>44141</v>
      </c>
      <c r="B658" s="1" t="str">
        <f>IFERROR(__xludf.DUMMYFUNCTION("""COMPUTED_VALUE"""),"New York")</f>
        <v>New York</v>
      </c>
      <c r="C658" s="1" t="str">
        <f>IFERROR(__xludf.DUMMYFUNCTION("""COMPUTED_VALUE"""),"State Proclamations ")</f>
        <v>State Proclamations </v>
      </c>
      <c r="D658" s="1" t="str">
        <f>IFERROR(__xludf.DUMMYFUNCTION("""COMPUTED_VALUE"""),"Opening")</f>
        <v>Opening</v>
      </c>
      <c r="E658" s="1" t="str">
        <f>IFERROR(__xludf.DUMMYFUNCTION("""COMPUTED_VALUE"""),"Ski resorts may reopen.")</f>
        <v>Ski resorts may reopen.</v>
      </c>
      <c r="F658" s="1" t="str">
        <f>IFERROR(__xludf.DUMMYFUNCTION("""COMPUTED_VALUE"""),"National Academy for State Health Policy")</f>
        <v>National Academy for State Health Policy</v>
      </c>
      <c r="G658" s="3" t="str">
        <f>IFERROR(__xludf.DUMMYFUNCTION("""COMPUTED_VALUE"""),"https://www.nashp.org/2020-state-reopening-chart/")</f>
        <v>https://www.nashp.org/2020-state-reopening-chart/</v>
      </c>
      <c r="H658" s="1"/>
      <c r="I658" s="1"/>
    </row>
    <row r="659">
      <c r="A659" s="2">
        <f>IFERROR(__xludf.DUMMYFUNCTION("""COMPUTED_VALUE"""),44148.0)</f>
        <v>44148</v>
      </c>
      <c r="B659" s="1" t="str">
        <f>IFERROR(__xludf.DUMMYFUNCTION("""COMPUTED_VALUE"""),"New York")</f>
        <v>New York</v>
      </c>
      <c r="C659" s="1" t="str">
        <f>IFERROR(__xludf.DUMMYFUNCTION("""COMPUTED_VALUE"""),"State Proclamations ")</f>
        <v>State Proclamations </v>
      </c>
      <c r="D659" s="1" t="str">
        <f>IFERROR(__xludf.DUMMYFUNCTION("""COMPUTED_VALUE"""),"Closing")</f>
        <v>Closing</v>
      </c>
      <c r="E659" s="1" t="str">
        <f>IFERROR(__xludf.DUMMYFUNCTION("""COMPUTED_VALUE"""),"Bars, restaurants, gyms, and any State Liquor Authority-licensed establishment must close in-person service from 10 p.m. to 5 a.m. Indoor and outdoor gatherings at private residences are limited to no more than 10 people.")</f>
        <v>Bars, restaurants, gyms, and any State Liquor Authority-licensed establishment must close in-person service from 10 p.m. to 5 a.m. Indoor and outdoor gatherings at private residences are limited to no more than 10 people.</v>
      </c>
      <c r="F659" s="1" t="str">
        <f>IFERROR(__xludf.DUMMYFUNCTION("""COMPUTED_VALUE"""),"National Academy for State Health Policy")</f>
        <v>National Academy for State Health Policy</v>
      </c>
      <c r="G659" s="3" t="str">
        <f>IFERROR(__xludf.DUMMYFUNCTION("""COMPUTED_VALUE"""),"https://www.nashp.org/2020-state-reopening-chart/")</f>
        <v>https://www.nashp.org/2020-state-reopening-chart/</v>
      </c>
      <c r="H659" s="1"/>
      <c r="I659" s="1"/>
    </row>
    <row r="660">
      <c r="A660" s="2">
        <f>IFERROR(__xludf.DUMMYFUNCTION("""COMPUTED_VALUE"""),44179.0)</f>
        <v>44179</v>
      </c>
      <c r="B660" s="1" t="str">
        <f>IFERROR(__xludf.DUMMYFUNCTION("""COMPUTED_VALUE"""),"New York")</f>
        <v>New York</v>
      </c>
      <c r="C660" s="1" t="str">
        <f>IFERROR(__xludf.DUMMYFUNCTION("""COMPUTED_VALUE"""),"State Proclamations ")</f>
        <v>State Proclamations </v>
      </c>
      <c r="D660" s="1" t="str">
        <f>IFERROR(__xludf.DUMMYFUNCTION("""COMPUTED_VALUE"""),"Closing")</f>
        <v>Closing</v>
      </c>
      <c r="E660" s="1" t="str">
        <f>IFERROR(__xludf.DUMMYFUNCTION("""COMPUTED_VALUE"""),"The governor shut down indoor dining.")</f>
        <v>The governor shut down indoor dining.</v>
      </c>
      <c r="F660" s="1" t="str">
        <f>IFERROR(__xludf.DUMMYFUNCTION("""COMPUTED_VALUE"""),"National Academy for State Health Policy")</f>
        <v>National Academy for State Health Policy</v>
      </c>
      <c r="G660" s="3" t="str">
        <f>IFERROR(__xludf.DUMMYFUNCTION("""COMPUTED_VALUE"""),"https://www.nashp.org/2020-state-reopening-chart/")</f>
        <v>https://www.nashp.org/2020-state-reopening-chart/</v>
      </c>
      <c r="H660" s="1"/>
      <c r="I660" s="1"/>
    </row>
    <row r="661">
      <c r="A661" s="2">
        <f>IFERROR(__xludf.DUMMYFUNCTION("""COMPUTED_VALUE"""),44200.0)</f>
        <v>44200</v>
      </c>
      <c r="B661" s="1" t="str">
        <f>IFERROR(__xludf.DUMMYFUNCTION("""COMPUTED_VALUE"""),"New York")</f>
        <v>New York</v>
      </c>
      <c r="C661" s="1" t="str">
        <f>IFERROR(__xludf.DUMMYFUNCTION("""COMPUTED_VALUE"""),"State Proclamations ")</f>
        <v>State Proclamations </v>
      </c>
      <c r="D661" s="1" t="str">
        <f>IFERROR(__xludf.DUMMYFUNCTION("""COMPUTED_VALUE"""),"Opening")</f>
        <v>Opening</v>
      </c>
      <c r="E661" s="1" t="str">
        <f>IFERROR(__xludf.DUMMYFUNCTION("""COMPUTED_VALUE"""),"Schools can remain open in communities with 9% or greater positivity rates if positivity among students and school staff is lower than positivity in the surrounding community. Previously, the state required schools to close in communities where the positi"&amp;"vity rate was 9% or greater.")</f>
        <v>Schools can remain open in communities with 9% or greater positivity rates if positivity among students and school staff is lower than positivity in the surrounding community. Previously, the state required schools to close in communities where the positivity rate was 9% or greater.</v>
      </c>
      <c r="F661" s="1" t="str">
        <f>IFERROR(__xludf.DUMMYFUNCTION("""COMPUTED_VALUE"""),"National Academy for State Health Policy")</f>
        <v>National Academy for State Health Policy</v>
      </c>
      <c r="G661" s="3" t="str">
        <f>IFERROR(__xludf.DUMMYFUNCTION("""COMPUTED_VALUE"""),"https://www.nashp.org/2021-covid-19-state-restrictions-re-openings-and-mask-requirements/")</f>
        <v>https://www.nashp.org/2021-covid-19-state-restrictions-re-openings-and-mask-requirements/</v>
      </c>
      <c r="H661" s="1"/>
      <c r="I661" s="1"/>
    </row>
    <row r="662">
      <c r="A662" s="2">
        <f>IFERROR(__xludf.DUMMYFUNCTION("""COMPUTED_VALUE"""),44209.0)</f>
        <v>44209</v>
      </c>
      <c r="B662" s="1" t="str">
        <f>IFERROR(__xludf.DUMMYFUNCTION("""COMPUTED_VALUE"""),"New York")</f>
        <v>New York</v>
      </c>
      <c r="C662" s="1" t="str">
        <f>IFERROR(__xludf.DUMMYFUNCTION("""COMPUTED_VALUE"""),"State Proclamations ")</f>
        <v>State Proclamations </v>
      </c>
      <c r="D662" s="1" t="str">
        <f>IFERROR(__xludf.DUMMYFUNCTION("""COMPUTED_VALUE"""),"Opening")</f>
        <v>Opening</v>
      </c>
      <c r="E662" s="1" t="str">
        <f>IFERROR(__xludf.DUMMYFUNCTION("""COMPUTED_VALUE"""),"New York Supreme Court Justice Henry Nowak issued a preliminary injunction allowing 90 restaurants that were part of a lawsuit against the indoor dining ban in Orange Zones to resume indoor dining at 50% capacity. The preliminary injunction is effective t"&amp;"hrough Jan. 19, when Justice Nowak will decide whether the injunction should be made permanent.")</f>
        <v>New York Supreme Court Justice Henry Nowak issued a preliminary injunction allowing 90 restaurants that were part of a lawsuit against the indoor dining ban in Orange Zones to resume indoor dining at 50% capacity. The preliminary injunction is effective through Jan. 19, when Justice Nowak will decide whether the injunction should be made permanent.</v>
      </c>
      <c r="F662" s="1" t="str">
        <f>IFERROR(__xludf.DUMMYFUNCTION("""COMPUTED_VALUE"""),"National Academy for State Health Policy")</f>
        <v>National Academy for State Health Policy</v>
      </c>
      <c r="G662" s="3" t="str">
        <f>IFERROR(__xludf.DUMMYFUNCTION("""COMPUTED_VALUE"""),"https://www.nashp.org/2021-covid-19-state-restrictions-re-openings-and-mask-requirements/")</f>
        <v>https://www.nashp.org/2021-covid-19-state-restrictions-re-openings-and-mask-requirements/</v>
      </c>
      <c r="H662" s="1"/>
      <c r="I662" s="1"/>
    </row>
    <row r="663">
      <c r="A663" s="2">
        <f>IFERROR(__xludf.DUMMYFUNCTION("""COMPUTED_VALUE"""),44223.0)</f>
        <v>44223</v>
      </c>
      <c r="B663" s="1" t="str">
        <f>IFERROR(__xludf.DUMMYFUNCTION("""COMPUTED_VALUE"""),"New York")</f>
        <v>New York</v>
      </c>
      <c r="C663" s="1" t="str">
        <f>IFERROR(__xludf.DUMMYFUNCTION("""COMPUTED_VALUE"""),"State Proclamations ")</f>
        <v>State Proclamations </v>
      </c>
      <c r="D663" s="1" t="str">
        <f>IFERROR(__xludf.DUMMYFUNCTION("""COMPUTED_VALUE"""),"Opening")</f>
        <v>Opening</v>
      </c>
      <c r="E663" s="1" t="str">
        <f>IFERROR(__xludf.DUMMYFUNCTION("""COMPUTED_VALUE"""),"Gov. Andrew Cuomo announced all Orange Zone restrictions were lifted statewide, and some parts of the state qualified to move out of Yellow Zone classification. Yellow Zones still exist in parts of New York City, Newburgh, and New Windsor.")</f>
        <v>Gov. Andrew Cuomo announced all Orange Zone restrictions were lifted statewide, and some parts of the state qualified to move out of Yellow Zone classification. Yellow Zones still exist in parts of New York City, Newburgh, and New Windsor.</v>
      </c>
      <c r="F663" s="1" t="str">
        <f>IFERROR(__xludf.DUMMYFUNCTION("""COMPUTED_VALUE"""),"National Academy for State Health Policy")</f>
        <v>National Academy for State Health Policy</v>
      </c>
      <c r="G663" s="3" t="str">
        <f>IFERROR(__xludf.DUMMYFUNCTION("""COMPUTED_VALUE"""),"https://www.nashp.org/2021-covid-19-state-restrictions-re-openings-and-mask-requirements/")</f>
        <v>https://www.nashp.org/2021-covid-19-state-restrictions-re-openings-and-mask-requirements/</v>
      </c>
      <c r="H663" s="1"/>
      <c r="I663" s="1"/>
    </row>
    <row r="664">
      <c r="A664" s="2">
        <f>IFERROR(__xludf.DUMMYFUNCTION("""COMPUTED_VALUE"""),44239.0)</f>
        <v>44239</v>
      </c>
      <c r="B664" s="1" t="str">
        <f>IFERROR(__xludf.DUMMYFUNCTION("""COMPUTED_VALUE"""),"New York")</f>
        <v>New York</v>
      </c>
      <c r="C664" s="1" t="str">
        <f>IFERROR(__xludf.DUMMYFUNCTION("""COMPUTED_VALUE"""),"State Proclamations ")</f>
        <v>State Proclamations </v>
      </c>
      <c r="D664" s="1" t="str">
        <f>IFERROR(__xludf.DUMMYFUNCTION("""COMPUTED_VALUE"""),"Opening")</f>
        <v>Opening</v>
      </c>
      <c r="E664" s="1" t="str">
        <f>IFERROR(__xludf.DUMMYFUNCTION("""COMPUTED_VALUE"""),"Indoor dining in New York City can reopen at 25% capacity.")</f>
        <v>Indoor dining in New York City can reopen at 25% capacity.</v>
      </c>
      <c r="F664" s="1" t="str">
        <f>IFERROR(__xludf.DUMMYFUNCTION("""COMPUTED_VALUE"""),"National Academy for State Health Policy")</f>
        <v>National Academy for State Health Policy</v>
      </c>
      <c r="G664" s="3" t="str">
        <f>IFERROR(__xludf.DUMMYFUNCTION("""COMPUTED_VALUE"""),"https://www.nashp.org/2021-covid-19-state-restrictions-re-openings-and-mask-requirements/")</f>
        <v>https://www.nashp.org/2021-covid-19-state-restrictions-re-openings-and-mask-requirements/</v>
      </c>
      <c r="H664" s="1"/>
      <c r="I664" s="1"/>
    </row>
    <row r="665">
      <c r="A665" s="2">
        <f>IFERROR(__xludf.DUMMYFUNCTION("""COMPUTED_VALUE"""),44241.0)</f>
        <v>44241</v>
      </c>
      <c r="B665" s="1" t="str">
        <f>IFERROR(__xludf.DUMMYFUNCTION("""COMPUTED_VALUE"""),"New York")</f>
        <v>New York</v>
      </c>
      <c r="C665" s="1" t="str">
        <f>IFERROR(__xludf.DUMMYFUNCTION("""COMPUTED_VALUE"""),"State Proclamations ")</f>
        <v>State Proclamations </v>
      </c>
      <c r="D665" s="1" t="str">
        <f>IFERROR(__xludf.DUMMYFUNCTION("""COMPUTED_VALUE"""),"Opening")</f>
        <v>Opening</v>
      </c>
      <c r="E665" s="1" t="str">
        <f>IFERROR(__xludf.DUMMYFUNCTION("""COMPUTED_VALUE"""),"An order takes effect order extending nightly closing times for businesses like restaurants, bars, gyms, and casinos from 10 pm to 11 pm.")</f>
        <v>An order takes effect order extending nightly closing times for businesses like restaurants, bars, gyms, and casinos from 10 pm to 11 pm.</v>
      </c>
      <c r="F665" s="1" t="str">
        <f>IFERROR(__xludf.DUMMYFUNCTION("""COMPUTED_VALUE"""),"National Academy for State Health Policy")</f>
        <v>National Academy for State Health Policy</v>
      </c>
      <c r="G665" s="3" t="str">
        <f>IFERROR(__xludf.DUMMYFUNCTION("""COMPUTED_VALUE"""),"https://www.nashp.org/2021-covid-19-state-restrictions-re-openings-and-mask-requirements/")</f>
        <v>https://www.nashp.org/2021-covid-19-state-restrictions-re-openings-and-mask-requirements/</v>
      </c>
      <c r="H665" s="1"/>
      <c r="I665" s="1"/>
    </row>
    <row r="666">
      <c r="A666" s="2">
        <f>IFERROR(__xludf.DUMMYFUNCTION("""COMPUTED_VALUE"""),44250.0)</f>
        <v>44250</v>
      </c>
      <c r="B666" s="1" t="str">
        <f>IFERROR(__xludf.DUMMYFUNCTION("""COMPUTED_VALUE"""),"New York")</f>
        <v>New York</v>
      </c>
      <c r="C666" s="1" t="str">
        <f>IFERROR(__xludf.DUMMYFUNCTION("""COMPUTED_VALUE"""),"State Proclamations ")</f>
        <v>State Proclamations </v>
      </c>
      <c r="D666" s="1" t="str">
        <f>IFERROR(__xludf.DUMMYFUNCTION("""COMPUTED_VALUE"""),"Opening")</f>
        <v>Opening</v>
      </c>
      <c r="E666" s="1" t="str">
        <f>IFERROR(__xludf.DUMMYFUNCTION("""COMPUTED_VALUE"""),"Sports and events at stadiums and arenas with 10,000-person or greater capacity limits can reopen, with attendance limited to 10% of the venue’s maximum capacity.")</f>
        <v>Sports and events at stadiums and arenas with 10,000-person or greater capacity limits can reopen, with attendance limited to 10% of the venue’s maximum capacity.</v>
      </c>
      <c r="F666" s="1" t="str">
        <f>IFERROR(__xludf.DUMMYFUNCTION("""COMPUTED_VALUE"""),"National Academy for State Health Policy")</f>
        <v>National Academy for State Health Policy</v>
      </c>
      <c r="G666" s="3" t="str">
        <f>IFERROR(__xludf.DUMMYFUNCTION("""COMPUTED_VALUE"""),"https://www.nashp.org/2021-covid-19-state-restrictions-re-openings-and-mask-requirements/")</f>
        <v>https://www.nashp.org/2021-covid-19-state-restrictions-re-openings-and-mask-requirements/</v>
      </c>
      <c r="H666" s="1"/>
      <c r="I666" s="1"/>
    </row>
    <row r="667">
      <c r="A667" s="2">
        <f>IFERROR(__xludf.DUMMYFUNCTION("""COMPUTED_VALUE"""),44253.0)</f>
        <v>44253</v>
      </c>
      <c r="B667" s="1" t="str">
        <f>IFERROR(__xludf.DUMMYFUNCTION("""COMPUTED_VALUE"""),"New York")</f>
        <v>New York</v>
      </c>
      <c r="C667" s="1" t="str">
        <f>IFERROR(__xludf.DUMMYFUNCTION("""COMPUTED_VALUE"""),"State Proclamations ")</f>
        <v>State Proclamations </v>
      </c>
      <c r="D667" s="1" t="str">
        <f>IFERROR(__xludf.DUMMYFUNCTION("""COMPUTED_VALUE"""),"Opening")</f>
        <v>Opening</v>
      </c>
      <c r="E667" s="1" t="str">
        <f>IFERROR(__xludf.DUMMYFUNCTION("""COMPUTED_VALUE"""),"Restaurants can expand from 25% to 35% capacity.")</f>
        <v>Restaurants can expand from 25% to 35% capacity.</v>
      </c>
      <c r="F667" s="1" t="str">
        <f>IFERROR(__xludf.DUMMYFUNCTION("""COMPUTED_VALUE"""),"National Academy for State Health Policy")</f>
        <v>National Academy for State Health Policy</v>
      </c>
      <c r="G667" s="3" t="str">
        <f>IFERROR(__xludf.DUMMYFUNCTION("""COMPUTED_VALUE"""),"https://www.nashp.org/2021-covid-19-state-restrictions-re-openings-and-mask-requirements/")</f>
        <v>https://www.nashp.org/2021-covid-19-state-restrictions-re-openings-and-mask-requirements/</v>
      </c>
      <c r="H667" s="1"/>
      <c r="I667" s="1"/>
    </row>
    <row r="668">
      <c r="A668" s="2">
        <f>IFERROR(__xludf.DUMMYFUNCTION("""COMPUTED_VALUE"""),44260.0)</f>
        <v>44260</v>
      </c>
      <c r="B668" s="1" t="str">
        <f>IFERROR(__xludf.DUMMYFUNCTION("""COMPUTED_VALUE"""),"New York")</f>
        <v>New York</v>
      </c>
      <c r="C668" s="1" t="str">
        <f>IFERROR(__xludf.DUMMYFUNCTION("""COMPUTED_VALUE"""),"State Proclamations ")</f>
        <v>State Proclamations </v>
      </c>
      <c r="D668" s="1" t="str">
        <f>IFERROR(__xludf.DUMMYFUNCTION("""COMPUTED_VALUE"""),"Opening")</f>
        <v>Opening</v>
      </c>
      <c r="E668" s="1" t="str">
        <f>IFERROR(__xludf.DUMMYFUNCTION("""COMPUTED_VALUE"""),"Billiard halls will reopen at 35% capacity in New York City and 50% capacity in the rest of the state. Movie theaters in New York City will be allowed to reopen at 25% capacity, with a maximum of 50 people per screen.")</f>
        <v>Billiard halls will reopen at 35% capacity in New York City and 50% capacity in the rest of the state. Movie theaters in New York City will be allowed to reopen at 25% capacity, with a maximum of 50 people per screen.</v>
      </c>
      <c r="F668" s="1" t="str">
        <f>IFERROR(__xludf.DUMMYFUNCTION("""COMPUTED_VALUE"""),"National Academy for State Health Policy")</f>
        <v>National Academy for State Health Policy</v>
      </c>
      <c r="G668" s="3" t="str">
        <f>IFERROR(__xludf.DUMMYFUNCTION("""COMPUTED_VALUE"""),"https://www.nashp.org/2021-covid-19-state-restrictions-re-openings-and-mask-requirements/")</f>
        <v>https://www.nashp.org/2021-covid-19-state-restrictions-re-openings-and-mask-requirements/</v>
      </c>
      <c r="H668" s="1"/>
      <c r="I668" s="1"/>
    </row>
    <row r="669">
      <c r="A669" s="2">
        <f>IFERROR(__xludf.DUMMYFUNCTION("""COMPUTED_VALUE"""),44274.0)</f>
        <v>44274</v>
      </c>
      <c r="B669" s="1" t="str">
        <f>IFERROR(__xludf.DUMMYFUNCTION("""COMPUTED_VALUE"""),"New York")</f>
        <v>New York</v>
      </c>
      <c r="C669" s="1" t="str">
        <f>IFERROR(__xludf.DUMMYFUNCTION("""COMPUTED_VALUE"""),"State Proclamations ")</f>
        <v>State Proclamations </v>
      </c>
      <c r="D669" s="1" t="str">
        <f>IFERROR(__xludf.DUMMYFUNCTION("""COMPUTED_VALUE"""),"Opening")</f>
        <v>Opening</v>
      </c>
      <c r="E669" s="1" t="str">
        <f>IFERROR(__xludf.DUMMYFUNCTION("""COMPUTED_VALUE"""),"Restaurants outside of New York City can expand indoor dining from 50% to 75% capacity.")</f>
        <v>Restaurants outside of New York City can expand indoor dining from 50% to 75% capacity.</v>
      </c>
      <c r="F669" s="1" t="str">
        <f>IFERROR(__xludf.DUMMYFUNCTION("""COMPUTED_VALUE"""),"National Academy for State Health Policy")</f>
        <v>National Academy for State Health Policy</v>
      </c>
      <c r="G669" s="3" t="str">
        <f>IFERROR(__xludf.DUMMYFUNCTION("""COMPUTED_VALUE"""),"https://www.nashp.org/2021-covid-19-state-restrictions-re-openings-and-mask-requirements/")</f>
        <v>https://www.nashp.org/2021-covid-19-state-restrictions-re-openings-and-mask-requirements/</v>
      </c>
      <c r="H669" s="1"/>
      <c r="I669" s="1"/>
    </row>
    <row r="670">
      <c r="A670" s="2">
        <f>IFERROR(__xludf.DUMMYFUNCTION("""COMPUTED_VALUE"""),44277.0)</f>
        <v>44277</v>
      </c>
      <c r="B670" s="1" t="str">
        <f>IFERROR(__xludf.DUMMYFUNCTION("""COMPUTED_VALUE"""),"New York")</f>
        <v>New York</v>
      </c>
      <c r="C670" s="1" t="str">
        <f>IFERROR(__xludf.DUMMYFUNCTION("""COMPUTED_VALUE"""),"State Proclamations ")</f>
        <v>State Proclamations </v>
      </c>
      <c r="D670" s="1" t="str">
        <f>IFERROR(__xludf.DUMMYFUNCTION("""COMPUTED_VALUE"""),"Opening")</f>
        <v>Opening</v>
      </c>
      <c r="E670" s="1" t="str">
        <f>IFERROR(__xludf.DUMMYFUNCTION("""COMPUTED_VALUE"""),"Residential outdoor gatherings of up to 25 individuals will be allowed. Indoor gatherings will stay capped at 10 people. Non-residential gatherings of up to 100 people indoors or 200 outdoors will be permitted. Public high schools in New York City will al"&amp;"so reopen for in-person learning.")</f>
        <v>Residential outdoor gatherings of up to 25 individuals will be allowed. Indoor gatherings will stay capped at 10 people. Non-residential gatherings of up to 100 people indoors or 200 outdoors will be permitted. Public high schools in New York City will also reopen for in-person learning.</v>
      </c>
      <c r="F670" s="1" t="str">
        <f>IFERROR(__xludf.DUMMYFUNCTION("""COMPUTED_VALUE"""),"National Academy for State Health Policy")</f>
        <v>National Academy for State Health Policy</v>
      </c>
      <c r="G670" s="3" t="str">
        <f>IFERROR(__xludf.DUMMYFUNCTION("""COMPUTED_VALUE"""),"https://www.nashp.org/2021-covid-19-state-restrictions-re-openings-and-mask-requirements/")</f>
        <v>https://www.nashp.org/2021-covid-19-state-restrictions-re-openings-and-mask-requirements/</v>
      </c>
      <c r="H670" s="1"/>
      <c r="I670" s="1"/>
    </row>
    <row r="671">
      <c r="A671" s="2">
        <f>IFERROR(__xludf.DUMMYFUNCTION("""COMPUTED_VALUE"""),44281.0)</f>
        <v>44281</v>
      </c>
      <c r="B671" s="1" t="str">
        <f>IFERROR(__xludf.DUMMYFUNCTION("""COMPUTED_VALUE"""),"New York")</f>
        <v>New York</v>
      </c>
      <c r="C671" s="1" t="str">
        <f>IFERROR(__xludf.DUMMYFUNCTION("""COMPUTED_VALUE"""),"State Proclamations ")</f>
        <v>State Proclamations </v>
      </c>
      <c r="D671" s="1" t="str">
        <f>IFERROR(__xludf.DUMMYFUNCTION("""COMPUTED_VALUE"""),"Opening")</f>
        <v>Opening</v>
      </c>
      <c r="E671" s="1" t="str">
        <f>IFERROR(__xludf.DUMMYFUNCTION("""COMPUTED_VALUE"""),"Indoor family entertainment centers and places of amusement will be able to reopen at 25% capacity.")</f>
        <v>Indoor family entertainment centers and places of amusement will be able to reopen at 25% capacity.</v>
      </c>
      <c r="F671" s="1" t="str">
        <f>IFERROR(__xludf.DUMMYFUNCTION("""COMPUTED_VALUE"""),"National Academy for State Health Policy")</f>
        <v>National Academy for State Health Policy</v>
      </c>
      <c r="G671" s="3" t="str">
        <f>IFERROR(__xludf.DUMMYFUNCTION("""COMPUTED_VALUE"""),"https://www.nashp.org/2021-covid-19-state-restrictions-re-openings-and-mask-requirements/")</f>
        <v>https://www.nashp.org/2021-covid-19-state-restrictions-re-openings-and-mask-requirements/</v>
      </c>
      <c r="H671" s="1"/>
      <c r="I671" s="1"/>
    </row>
    <row r="672">
      <c r="A672" s="2">
        <f>IFERROR(__xludf.DUMMYFUNCTION("""COMPUTED_VALUE"""),44287.0)</f>
        <v>44287</v>
      </c>
      <c r="B672" s="1" t="str">
        <f>IFERROR(__xludf.DUMMYFUNCTION("""COMPUTED_VALUE"""),"New York")</f>
        <v>New York</v>
      </c>
      <c r="C672" s="1" t="str">
        <f>IFERROR(__xludf.DUMMYFUNCTION("""COMPUTED_VALUE"""),"State Proclamations ")</f>
        <v>State Proclamations </v>
      </c>
      <c r="D672" s="1" t="str">
        <f>IFERROR(__xludf.DUMMYFUNCTION("""COMPUTED_VALUE"""),"Opening")</f>
        <v>Opening</v>
      </c>
      <c r="E672" s="1" t="str">
        <f>IFERROR(__xludf.DUMMYFUNCTION("""COMPUTED_VALUE"""),"Large sports venues can open at 10% capacity indoors or 20% capacity outdoors, and outdoor performing arts venues can reopen at 20% capacity.")</f>
        <v>Large sports venues can open at 10% capacity indoors or 20% capacity outdoors, and outdoor performing arts venues can reopen at 20% capacity.</v>
      </c>
      <c r="F672" s="1" t="str">
        <f>IFERROR(__xludf.DUMMYFUNCTION("""COMPUTED_VALUE"""),"National Academy for State Health Policy")</f>
        <v>National Academy for State Health Policy</v>
      </c>
      <c r="G672" s="3" t="str">
        <f>IFERROR(__xludf.DUMMYFUNCTION("""COMPUTED_VALUE"""),"https://www.nashp.org/2021-covid-19-state-restrictions-re-openings-and-mask-requirements/")</f>
        <v>https://www.nashp.org/2021-covid-19-state-restrictions-re-openings-and-mask-requirements/</v>
      </c>
      <c r="H672" s="1"/>
      <c r="I672" s="1"/>
    </row>
    <row r="673">
      <c r="A673" s="2">
        <f>IFERROR(__xludf.DUMMYFUNCTION("""COMPUTED_VALUE"""),44288.0)</f>
        <v>44288</v>
      </c>
      <c r="B673" s="1" t="str">
        <f>IFERROR(__xludf.DUMMYFUNCTION("""COMPUTED_VALUE"""),"New York")</f>
        <v>New York</v>
      </c>
      <c r="C673" s="1" t="str">
        <f>IFERROR(__xludf.DUMMYFUNCTION("""COMPUTED_VALUE"""),"State Proclamations ")</f>
        <v>State Proclamations </v>
      </c>
      <c r="D673" s="1" t="str">
        <f>IFERROR(__xludf.DUMMYFUNCTION("""COMPUTED_VALUE"""),"Opening")</f>
        <v>Opening</v>
      </c>
      <c r="E673" s="1" t="str">
        <f>IFERROR(__xludf.DUMMYFUNCTION("""COMPUTED_VALUE"""),"Event, arts, and entertainment venues can reopen at the lesser of 33% capacity and 100 people indoors or 200 outdoors.")</f>
        <v>Event, arts, and entertainment venues can reopen at the lesser of 33% capacity and 100 people indoors or 200 outdoors.</v>
      </c>
      <c r="F673" s="1" t="str">
        <f>IFERROR(__xludf.DUMMYFUNCTION("""COMPUTED_VALUE"""),"National Academy for State Health Policy")</f>
        <v>National Academy for State Health Policy</v>
      </c>
      <c r="G673" s="3" t="str">
        <f>IFERROR(__xludf.DUMMYFUNCTION("""COMPUTED_VALUE"""),"https://www.nashp.org/2021-covid-19-state-restrictions-re-openings-and-mask-requirements/")</f>
        <v>https://www.nashp.org/2021-covid-19-state-restrictions-re-openings-and-mask-requirements/</v>
      </c>
      <c r="H673" s="1"/>
      <c r="I673" s="1"/>
    </row>
    <row r="674">
      <c r="A674" s="2">
        <f>IFERROR(__xludf.DUMMYFUNCTION("""COMPUTED_VALUE"""),44291.0)</f>
        <v>44291</v>
      </c>
      <c r="B674" s="1" t="str">
        <f>IFERROR(__xludf.DUMMYFUNCTION("""COMPUTED_VALUE"""),"New York")</f>
        <v>New York</v>
      </c>
      <c r="C674" s="1" t="str">
        <f>IFERROR(__xludf.DUMMYFUNCTION("""COMPUTED_VALUE"""),"State Proclamations ")</f>
        <v>State Proclamations </v>
      </c>
      <c r="D674" s="1" t="str">
        <f>IFERROR(__xludf.DUMMYFUNCTION("""COMPUTED_VALUE"""),"Opening")</f>
        <v>Opening</v>
      </c>
      <c r="E674" s="1" t="str">
        <f>IFERROR(__xludf.DUMMYFUNCTION("""COMPUTED_VALUE"""),"The governor lifted the 11 p.m. curfew for casinos, movie theaters, bowling alleys, billiard halls, and gyms.")</f>
        <v>The governor lifted the 11 p.m. curfew for casinos, movie theaters, bowling alleys, billiard halls, and gyms.</v>
      </c>
      <c r="F674" s="1" t="str">
        <f>IFERROR(__xludf.DUMMYFUNCTION("""COMPUTED_VALUE"""),"National Academy for State Health Policy")</f>
        <v>National Academy for State Health Policy</v>
      </c>
      <c r="G674" s="3" t="str">
        <f>IFERROR(__xludf.DUMMYFUNCTION("""COMPUTED_VALUE"""),"https://www.nashp.org/2021-covid-19-state-restrictions-re-openings-and-mask-requirements/")</f>
        <v>https://www.nashp.org/2021-covid-19-state-restrictions-re-openings-and-mask-requirements/</v>
      </c>
      <c r="H674" s="1"/>
      <c r="I674" s="1"/>
    </row>
    <row r="675">
      <c r="A675" s="2">
        <f>IFERROR(__xludf.DUMMYFUNCTION("""COMPUTED_VALUE"""),44294.0)</f>
        <v>44294</v>
      </c>
      <c r="B675" s="1" t="str">
        <f>IFERROR(__xludf.DUMMYFUNCTION("""COMPUTED_VALUE"""),"New York")</f>
        <v>New York</v>
      </c>
      <c r="C675" s="1" t="str">
        <f>IFERROR(__xludf.DUMMYFUNCTION("""COMPUTED_VALUE"""),"State Proclamations ")</f>
        <v>State Proclamations </v>
      </c>
      <c r="D675" s="1" t="str">
        <f>IFERROR(__xludf.DUMMYFUNCTION("""COMPUTED_VALUE"""),"Closing")</f>
        <v>Closing</v>
      </c>
      <c r="E675" s="1" t="str">
        <f>IFERROR(__xludf.DUMMYFUNCTION("""COMPUTED_VALUE"""),"A state appellate court issued an order requiring about 90 restaurants and bars suing the state to comply with the 11 p.m. curfew order for food and drink establishments.")</f>
        <v>A state appellate court issued an order requiring about 90 restaurants and bars suing the state to comply with the 11 p.m. curfew order for food and drink establishments.</v>
      </c>
      <c r="F675" s="1" t="str">
        <f>IFERROR(__xludf.DUMMYFUNCTION("""COMPUTED_VALUE"""),"National Academy for State Health Policy")</f>
        <v>National Academy for State Health Policy</v>
      </c>
      <c r="G675" s="3" t="str">
        <f>IFERROR(__xludf.DUMMYFUNCTION("""COMPUTED_VALUE"""),"https://www.nashp.org/2021-covid-19-state-restrictions-re-openings-and-mask-requirements/")</f>
        <v>https://www.nashp.org/2021-covid-19-state-restrictions-re-openings-and-mask-requirements/</v>
      </c>
      <c r="H675" s="1"/>
      <c r="I675" s="1"/>
    </row>
    <row r="676">
      <c r="A676" s="2">
        <f>IFERROR(__xludf.DUMMYFUNCTION("""COMPUTED_VALUE"""),44295.0)</f>
        <v>44295</v>
      </c>
      <c r="B676" s="1" t="str">
        <f>IFERROR(__xludf.DUMMYFUNCTION("""COMPUTED_VALUE"""),"New York")</f>
        <v>New York</v>
      </c>
      <c r="C676" s="1" t="str">
        <f>IFERROR(__xludf.DUMMYFUNCTION("""COMPUTED_VALUE"""),"State Proclamations ")</f>
        <v>State Proclamations </v>
      </c>
      <c r="D676" s="1" t="str">
        <f>IFERROR(__xludf.DUMMYFUNCTION("""COMPUTED_VALUE"""),"Opening")</f>
        <v>Opening</v>
      </c>
      <c r="E676" s="1" t="str">
        <f>IFERROR(__xludf.DUMMYFUNCTION("""COMPUTED_VALUE"""),"Outdoor amusement parks can reopen at 33% capacity.")</f>
        <v>Outdoor amusement parks can reopen at 33% capacity.</v>
      </c>
      <c r="F676" s="1" t="str">
        <f>IFERROR(__xludf.DUMMYFUNCTION("""COMPUTED_VALUE"""),"National Academy for State Health Policy")</f>
        <v>National Academy for State Health Policy</v>
      </c>
      <c r="G676" s="3" t="str">
        <f>IFERROR(__xludf.DUMMYFUNCTION("""COMPUTED_VALUE"""),"https://www.nashp.org/2021-covid-19-state-restrictions-re-openings-and-mask-requirements/")</f>
        <v>https://www.nashp.org/2021-covid-19-state-restrictions-re-openings-and-mask-requirements/</v>
      </c>
      <c r="H676" s="1"/>
      <c r="I676" s="1"/>
    </row>
    <row r="677">
      <c r="A677" s="2">
        <f>IFERROR(__xludf.DUMMYFUNCTION("""COMPUTED_VALUE"""),44308.0)</f>
        <v>44308</v>
      </c>
      <c r="B677" s="1" t="str">
        <f>IFERROR(__xludf.DUMMYFUNCTION("""COMPUTED_VALUE"""),"New York")</f>
        <v>New York</v>
      </c>
      <c r="C677" s="1" t="str">
        <f>IFERROR(__xludf.DUMMYFUNCTION("""COMPUTED_VALUE"""),"State Proclamations ")</f>
        <v>State Proclamations </v>
      </c>
      <c r="D677" s="1" t="str">
        <f>IFERROR(__xludf.DUMMYFUNCTION("""COMPUTED_VALUE"""),"Opening")</f>
        <v>Opening</v>
      </c>
      <c r="E677" s="1" t="str">
        <f>IFERROR(__xludf.DUMMYFUNCTION("""COMPUTED_VALUE"""),"Spectators will be allowed at horse and auto races at 20% capacity of the venue.")</f>
        <v>Spectators will be allowed at horse and auto races at 20% capacity of the venue.</v>
      </c>
      <c r="F677" s="1" t="str">
        <f>IFERROR(__xludf.DUMMYFUNCTION("""COMPUTED_VALUE"""),"National Academy for State Health Policy")</f>
        <v>National Academy for State Health Policy</v>
      </c>
      <c r="G677" s="3" t="str">
        <f>IFERROR(__xludf.DUMMYFUNCTION("""COMPUTED_VALUE"""),"https://www.nashp.org/2021-covid-19-state-restrictions-re-openings-and-mask-requirements/")</f>
        <v>https://www.nashp.org/2021-covid-19-state-restrictions-re-openings-and-mask-requirements/</v>
      </c>
      <c r="H677" s="1"/>
      <c r="I677" s="1"/>
    </row>
    <row r="678">
      <c r="A678" s="2">
        <f>IFERROR(__xludf.DUMMYFUNCTION("""COMPUTED_VALUE"""),44317.0)</f>
        <v>44317</v>
      </c>
      <c r="B678" s="1" t="str">
        <f>IFERROR(__xludf.DUMMYFUNCTION("""COMPUTED_VALUE"""),"New York")</f>
        <v>New York</v>
      </c>
      <c r="C678" s="1" t="str">
        <f>IFERROR(__xludf.DUMMYFUNCTION("""COMPUTED_VALUE"""),"State Proclamations ")</f>
        <v>State Proclamations </v>
      </c>
      <c r="D678" s="1" t="str">
        <f>IFERROR(__xludf.DUMMYFUNCTION("""COMPUTED_VALUE"""),"Opening")</f>
        <v>Opening</v>
      </c>
      <c r="E678" s="1" t="str">
        <f>IFERROR(__xludf.DUMMYFUNCTION("""COMPUTED_VALUE"""),"Graduation and commencement ceremonies will be permitted with capacity restrictions.")</f>
        <v>Graduation and commencement ceremonies will be permitted with capacity restrictions.</v>
      </c>
      <c r="F678" s="1" t="str">
        <f>IFERROR(__xludf.DUMMYFUNCTION("""COMPUTED_VALUE"""),"National Academy for State Health Policy")</f>
        <v>National Academy for State Health Policy</v>
      </c>
      <c r="G678" s="3" t="str">
        <f>IFERROR(__xludf.DUMMYFUNCTION("""COMPUTED_VALUE"""),"https://www.nashp.org/2021-covid-19-state-restrictions-re-openings-and-mask-requirements/")</f>
        <v>https://www.nashp.org/2021-covid-19-state-restrictions-re-openings-and-mask-requirements/</v>
      </c>
      <c r="H678" s="1"/>
      <c r="I678" s="1"/>
    </row>
    <row r="679">
      <c r="A679" s="2">
        <f>IFERROR(__xludf.DUMMYFUNCTION("""COMPUTED_VALUE"""),44319.0)</f>
        <v>44319</v>
      </c>
      <c r="B679" s="1" t="str">
        <f>IFERROR(__xludf.DUMMYFUNCTION("""COMPUTED_VALUE"""),"New York")</f>
        <v>New York</v>
      </c>
      <c r="C679" s="1" t="str">
        <f>IFERROR(__xludf.DUMMYFUNCTION("""COMPUTED_VALUE"""),"State Proclamations ")</f>
        <v>State Proclamations </v>
      </c>
      <c r="D679" s="1" t="str">
        <f>IFERROR(__xludf.DUMMYFUNCTION("""COMPUTED_VALUE"""),"Opening")</f>
        <v>Opening</v>
      </c>
      <c r="E679" s="1" t="str">
        <f>IFERROR(__xludf.DUMMYFUNCTION("""COMPUTED_VALUE"""),"Catered events at private residences can resume. Bar seating can resume in New York City.")</f>
        <v>Catered events at private residences can resume. Bar seating can resume in New York City.</v>
      </c>
      <c r="F679" s="1" t="str">
        <f>IFERROR(__xludf.DUMMYFUNCTION("""COMPUTED_VALUE"""),"National Academy for State Health Policy")</f>
        <v>National Academy for State Health Policy</v>
      </c>
      <c r="G679" s="3" t="str">
        <f>IFERROR(__xludf.DUMMYFUNCTION("""COMPUTED_VALUE"""),"https://www.nashp.org/2021-covid-19-state-restrictions-re-openings-and-mask-requirements/")</f>
        <v>https://www.nashp.org/2021-covid-19-state-restrictions-re-openings-and-mask-requirements/</v>
      </c>
      <c r="H679" s="1"/>
      <c r="I679" s="1"/>
    </row>
    <row r="680">
      <c r="A680" s="2">
        <f>IFERROR(__xludf.DUMMYFUNCTION("""COMPUTED_VALUE"""),44323.0)</f>
        <v>44323</v>
      </c>
      <c r="B680" s="1" t="str">
        <f>IFERROR(__xludf.DUMMYFUNCTION("""COMPUTED_VALUE"""),"New York")</f>
        <v>New York</v>
      </c>
      <c r="C680" s="1" t="str">
        <f>IFERROR(__xludf.DUMMYFUNCTION("""COMPUTED_VALUE"""),"State Proclamations ")</f>
        <v>State Proclamations </v>
      </c>
      <c r="D680" s="1" t="str">
        <f>IFERROR(__xludf.DUMMYFUNCTION("""COMPUTED_VALUE"""),"Opening")</f>
        <v>Opening</v>
      </c>
      <c r="E680" s="1" t="str">
        <f>IFERROR(__xludf.DUMMYFUNCTION("""COMPUTED_VALUE"""),"Indoor dining in New York City, barbershops, salons, and other personal care service businesses can expand to 75% capacity.")</f>
        <v>Indoor dining in New York City, barbershops, salons, and other personal care service businesses can expand to 75% capacity.</v>
      </c>
      <c r="F680" s="1" t="str">
        <f>IFERROR(__xludf.DUMMYFUNCTION("""COMPUTED_VALUE"""),"National Academy for State Health Policy")</f>
        <v>National Academy for State Health Policy</v>
      </c>
      <c r="G680" s="3" t="str">
        <f>IFERROR(__xludf.DUMMYFUNCTION("""COMPUTED_VALUE"""),"https://www.nashp.org/2021-covid-19-state-restrictions-re-openings-and-mask-requirements/")</f>
        <v>https://www.nashp.org/2021-covid-19-state-restrictions-re-openings-and-mask-requirements/</v>
      </c>
      <c r="H680" s="1"/>
      <c r="I680" s="1"/>
    </row>
    <row r="681">
      <c r="A681" s="2">
        <f>IFERROR(__xludf.DUMMYFUNCTION("""COMPUTED_VALUE"""),44326.0)</f>
        <v>44326</v>
      </c>
      <c r="B681" s="1" t="str">
        <f>IFERROR(__xludf.DUMMYFUNCTION("""COMPUTED_VALUE"""),"New York")</f>
        <v>New York</v>
      </c>
      <c r="C681" s="1" t="str">
        <f>IFERROR(__xludf.DUMMYFUNCTION("""COMPUTED_VALUE"""),"State Proclamations ")</f>
        <v>State Proclamations </v>
      </c>
      <c r="D681" s="1" t="str">
        <f>IFERROR(__xludf.DUMMYFUNCTION("""COMPUTED_VALUE"""),"Opening")</f>
        <v>Opening</v>
      </c>
      <c r="E681" s="1" t="str">
        <f>IFERROR(__xludf.DUMMYFUNCTION("""COMPUTED_VALUE"""),"The outdoor social gathering limit will expand to 500 people.")</f>
        <v>The outdoor social gathering limit will expand to 500 people.</v>
      </c>
      <c r="F681" s="1" t="str">
        <f>IFERROR(__xludf.DUMMYFUNCTION("""COMPUTED_VALUE"""),"National Academy for State Health Policy")</f>
        <v>National Academy for State Health Policy</v>
      </c>
      <c r="G681" s="3" t="str">
        <f>IFERROR(__xludf.DUMMYFUNCTION("""COMPUTED_VALUE"""),"https://www.nashp.org/2021-covid-19-state-restrictions-re-openings-and-mask-requirements/")</f>
        <v>https://www.nashp.org/2021-covid-19-state-restrictions-re-openings-and-mask-requirements/</v>
      </c>
      <c r="H681" s="1"/>
      <c r="I681" s="1"/>
    </row>
    <row r="682">
      <c r="A682" s="2">
        <f>IFERROR(__xludf.DUMMYFUNCTION("""COMPUTED_VALUE"""),44328.0)</f>
        <v>44328</v>
      </c>
      <c r="B682" s="1" t="str">
        <f>IFERROR(__xludf.DUMMYFUNCTION("""COMPUTED_VALUE"""),"New York")</f>
        <v>New York</v>
      </c>
      <c r="C682" s="1" t="str">
        <f>IFERROR(__xludf.DUMMYFUNCTION("""COMPUTED_VALUE"""),"State Proclamations ")</f>
        <v>State Proclamations </v>
      </c>
      <c r="D682" s="1" t="str">
        <f>IFERROR(__xludf.DUMMYFUNCTION("""COMPUTED_VALUE"""),"Opening")</f>
        <v>Opening</v>
      </c>
      <c r="E682" s="1" t="str">
        <f>IFERROR(__xludf.DUMMYFUNCTION("""COMPUTED_VALUE"""),"Pools and beaches can operate with six-foot social distancing and no percentage capacity limits by Memorial Day.")</f>
        <v>Pools and beaches can operate with six-foot social distancing and no percentage capacity limits by Memorial Day.</v>
      </c>
      <c r="F682" s="1" t="str">
        <f>IFERROR(__xludf.DUMMYFUNCTION("""COMPUTED_VALUE"""),"National Academy for State Health Policy")</f>
        <v>National Academy for State Health Policy</v>
      </c>
      <c r="G682" s="3" t="str">
        <f>IFERROR(__xludf.DUMMYFUNCTION("""COMPUTED_VALUE"""),"https://www.nashp.org/2021-covid-19-state-restrictions-re-openings-and-mask-requirements/")</f>
        <v>https://www.nashp.org/2021-covid-19-state-restrictions-re-openings-and-mask-requirements/</v>
      </c>
      <c r="H682" s="1"/>
      <c r="I682" s="1"/>
    </row>
    <row r="683">
      <c r="A683" s="2">
        <f>IFERROR(__xludf.DUMMYFUNCTION("""COMPUTED_VALUE"""),44331.0)</f>
        <v>44331</v>
      </c>
      <c r="B683" s="1" t="str">
        <f>IFERROR(__xludf.DUMMYFUNCTION("""COMPUTED_VALUE"""),"New York")</f>
        <v>New York</v>
      </c>
      <c r="C683" s="1" t="str">
        <f>IFERROR(__xludf.DUMMYFUNCTION("""COMPUTED_VALUE"""),"State Proclamations ")</f>
        <v>State Proclamations </v>
      </c>
      <c r="D683" s="1" t="str">
        <f>IFERROR(__xludf.DUMMYFUNCTION("""COMPUTED_VALUE"""),"Opening")</f>
        <v>Opening</v>
      </c>
      <c r="E683" s="1" t="str">
        <f>IFERROR(__xludf.DUMMYFUNCTION("""COMPUTED_VALUE"""),"Casinos and gaming facilities can expand to 50% capacity, office spaces can expand 75% capacity, and gyms and fitness centers in New York City can expand to 50%.")</f>
        <v>Casinos and gaming facilities can expand to 50% capacity, office spaces can expand 75% capacity, and gyms and fitness centers in New York City can expand to 50%.</v>
      </c>
      <c r="F683" s="1" t="str">
        <f>IFERROR(__xludf.DUMMYFUNCTION("""COMPUTED_VALUE"""),"National Academy for State Health Policy")</f>
        <v>National Academy for State Health Policy</v>
      </c>
      <c r="G683" s="3" t="str">
        <f>IFERROR(__xludf.DUMMYFUNCTION("""COMPUTED_VALUE"""),"https://www.nashp.org/2021-covid-19-state-restrictions-re-openings-and-mask-requirements/")</f>
        <v>https://www.nashp.org/2021-covid-19-state-restrictions-re-openings-and-mask-requirements/</v>
      </c>
      <c r="H683" s="1"/>
      <c r="I683" s="1"/>
    </row>
    <row r="684">
      <c r="A684" s="2">
        <f>IFERROR(__xludf.DUMMYFUNCTION("""COMPUTED_VALUE"""),44333.0)</f>
        <v>44333</v>
      </c>
      <c r="B684" s="1" t="str">
        <f>IFERROR(__xludf.DUMMYFUNCTION("""COMPUTED_VALUE"""),"New York")</f>
        <v>New York</v>
      </c>
      <c r="C684" s="1" t="str">
        <f>IFERROR(__xludf.DUMMYFUNCTION("""COMPUTED_VALUE"""),"State Proclamations ")</f>
        <v>State Proclamations </v>
      </c>
      <c r="D684" s="1" t="str">
        <f>IFERROR(__xludf.DUMMYFUNCTION("""COMPUTED_VALUE"""),"Opening")</f>
        <v>Opening</v>
      </c>
      <c r="E684" s="1" t="str">
        <f>IFERROR(__xludf.DUMMYFUNCTION("""COMPUTED_VALUE"""),"The 12am curfew on outdoor bars and restaurants and the 1am curfew for catered events where all attendees are fully vaccinated or provide proof of a recent negative test will end.")</f>
        <v>The 12am curfew on outdoor bars and restaurants and the 1am curfew for catered events where all attendees are fully vaccinated or provide proof of a recent negative test will end.</v>
      </c>
      <c r="F684" s="1" t="str">
        <f>IFERROR(__xludf.DUMMYFUNCTION("""COMPUTED_VALUE"""),"National Academy for State Health Policy")</f>
        <v>National Academy for State Health Policy</v>
      </c>
      <c r="G684" s="3" t="str">
        <f>IFERROR(__xludf.DUMMYFUNCTION("""COMPUTED_VALUE"""),"https://www.nashp.org/2021-covid-19-state-restrictions-re-openings-and-mask-requirements/")</f>
        <v>https://www.nashp.org/2021-covid-19-state-restrictions-re-openings-and-mask-requirements/</v>
      </c>
      <c r="H684" s="1"/>
      <c r="I684" s="1"/>
    </row>
    <row r="685">
      <c r="A685" s="2">
        <f>IFERROR(__xludf.DUMMYFUNCTION("""COMPUTED_VALUE"""),44335.0)</f>
        <v>44335</v>
      </c>
      <c r="B685" s="1" t="str">
        <f>IFERROR(__xludf.DUMMYFUNCTION("""COMPUTED_VALUE"""),"New York")</f>
        <v>New York</v>
      </c>
      <c r="C685" s="1" t="str">
        <f>IFERROR(__xludf.DUMMYFUNCTION("""COMPUTED_VALUE"""),"State Proclamations ")</f>
        <v>State Proclamations </v>
      </c>
      <c r="D685" s="1" t="str">
        <f>IFERROR(__xludf.DUMMYFUNCTION("""COMPUTED_VALUE"""),"Opening")</f>
        <v>Opening</v>
      </c>
      <c r="E685" s="1" t="str">
        <f>IFERROR(__xludf.DUMMYFUNCTION("""COMPUTED_VALUE"""),"Capacity restrictions on most businesses will end, and large indoor event venues can expand spectator capacity to 30% with proof of vaccination or recent negative test. The indoor social gathering limit will expand to 250 people, and the outdoor residenti"&amp;"al gathering limit will expand to 500 people. The indoor residential gathering limit will expand to 50 people. Commercial social events can exceed the capacity limits if everyone has proof of vaccination or a recent negative test and social distancing is "&amp;"possible. Percentage capacity restrictions for state-defined large-scale outdoor event venues will end. Those venues will only be limited by six-foot social distancing requirements. Large outdoor event venues will also be able to create sections reserved "&amp;"for fully vaccinated individuals where socially distanced seating between separate parties is not required.")</f>
        <v>Capacity restrictions on most businesses will end, and large indoor event venues can expand spectator capacity to 30% with proof of vaccination or recent negative test. The indoor social gathering limit will expand to 250 people, and the outdoor residential gathering limit will expand to 500 people. The indoor residential gathering limit will expand to 50 people. Commercial social events can exceed the capacity limits if everyone has proof of vaccination or a recent negative test and social distancing is possible. Percentage capacity restrictions for state-defined large-scale outdoor event venues will end. Those venues will only be limited by six-foot social distancing requirements. Large outdoor event venues will also be able to create sections reserved for fully vaccinated individuals where socially distanced seating between separate parties is not required.</v>
      </c>
      <c r="F685" s="1" t="str">
        <f>IFERROR(__xludf.DUMMYFUNCTION("""COMPUTED_VALUE"""),"National Academy for State Health Policy")</f>
        <v>National Academy for State Health Policy</v>
      </c>
      <c r="G685" s="3" t="str">
        <f>IFERROR(__xludf.DUMMYFUNCTION("""COMPUTED_VALUE"""),"https://www.nashp.org/2021-covid-19-state-restrictions-re-openings-and-mask-requirements/")</f>
        <v>https://www.nashp.org/2021-covid-19-state-restrictions-re-openings-and-mask-requirements/</v>
      </c>
      <c r="H685" s="1"/>
      <c r="I685" s="1"/>
    </row>
    <row r="686">
      <c r="A686" s="2">
        <f>IFERROR(__xludf.DUMMYFUNCTION("""COMPUTED_VALUE"""),44341.0)</f>
        <v>44341</v>
      </c>
      <c r="B686" s="1" t="str">
        <f>IFERROR(__xludf.DUMMYFUNCTION("""COMPUTED_VALUE"""),"New York")</f>
        <v>New York</v>
      </c>
      <c r="C686" s="1" t="str">
        <f>IFERROR(__xludf.DUMMYFUNCTION("""COMPUTED_VALUE"""),"State Proclamations ")</f>
        <v>State Proclamations </v>
      </c>
      <c r="D686" s="1" t="str">
        <f>IFERROR(__xludf.DUMMYFUNCTION("""COMPUTED_VALUE"""),"Opening")</f>
        <v>Opening</v>
      </c>
      <c r="E686" s="1" t="str">
        <f>IFERROR(__xludf.DUMMYFUNCTION("""COMPUTED_VALUE"""),"The governor announced that schools with reopen for full-time instruction in September.")</f>
        <v>The governor announced that schools with reopen for full-time instruction in September.</v>
      </c>
      <c r="F686" s="1" t="str">
        <f>IFERROR(__xludf.DUMMYFUNCTION("""COMPUTED_VALUE"""),"National Academy for State Health Policy")</f>
        <v>National Academy for State Health Policy</v>
      </c>
      <c r="G686" s="3" t="str">
        <f>IFERROR(__xludf.DUMMYFUNCTION("""COMPUTED_VALUE"""),"https://www.nashp.org/2021-covid-19-state-restrictions-re-openings-and-mask-requirements/")</f>
        <v>https://www.nashp.org/2021-covid-19-state-restrictions-re-openings-and-mask-requirements/</v>
      </c>
      <c r="H686" s="1"/>
      <c r="I686" s="1"/>
    </row>
    <row r="687">
      <c r="A687" s="2">
        <f>IFERROR(__xludf.DUMMYFUNCTION("""COMPUTED_VALUE"""),44342.0)</f>
        <v>44342</v>
      </c>
      <c r="B687" s="1" t="str">
        <f>IFERROR(__xludf.DUMMYFUNCTION("""COMPUTED_VALUE"""),"New York")</f>
        <v>New York</v>
      </c>
      <c r="C687" s="1" t="str">
        <f>IFERROR(__xludf.DUMMYFUNCTION("""COMPUTED_VALUE"""),"State Proclamations ")</f>
        <v>State Proclamations </v>
      </c>
      <c r="D687" s="1" t="str">
        <f>IFERROR(__xludf.DUMMYFUNCTION("""COMPUTED_VALUE"""),"Opening")</f>
        <v>Opening</v>
      </c>
      <c r="E687" s="1" t="str">
        <f>IFERROR(__xludf.DUMMYFUNCTION("""COMPUTED_VALUE"""),"The governor announced businesses can open to full capacity for vaccinated individuals; or 50% vaccinated and 50% unvaccinated individuals, with social distancing required among unvaccinated people.")</f>
        <v>The governor announced businesses can open to full capacity for vaccinated individuals; or 50% vaccinated and 50% unvaccinated individuals, with social distancing required among unvaccinated people.</v>
      </c>
      <c r="F687" s="1" t="str">
        <f>IFERROR(__xludf.DUMMYFUNCTION("""COMPUTED_VALUE"""),"National Academy for State Health Policy")</f>
        <v>National Academy for State Health Policy</v>
      </c>
      <c r="G687" s="3" t="str">
        <f>IFERROR(__xludf.DUMMYFUNCTION("""COMPUTED_VALUE"""),"https://www.nashp.org/2021-covid-19-state-restrictions-re-openings-and-mask-requirements/")</f>
        <v>https://www.nashp.org/2021-covid-19-state-restrictions-re-openings-and-mask-requirements/</v>
      </c>
      <c r="H687" s="1"/>
      <c r="I687" s="1"/>
    </row>
    <row r="688">
      <c r="A688" s="2">
        <f>IFERROR(__xludf.DUMMYFUNCTION("""COMPUTED_VALUE"""),44347.0)</f>
        <v>44347</v>
      </c>
      <c r="B688" s="1" t="str">
        <f>IFERROR(__xludf.DUMMYFUNCTION("""COMPUTED_VALUE"""),"New York")</f>
        <v>New York</v>
      </c>
      <c r="C688" s="1" t="str">
        <f>IFERROR(__xludf.DUMMYFUNCTION("""COMPUTED_VALUE"""),"State Proclamations ")</f>
        <v>State Proclamations </v>
      </c>
      <c r="D688" s="1" t="str">
        <f>IFERROR(__xludf.DUMMYFUNCTION("""COMPUTED_VALUE"""),"Opening")</f>
        <v>Opening</v>
      </c>
      <c r="E688" s="1" t="str">
        <f>IFERROR(__xludf.DUMMYFUNCTION("""COMPUTED_VALUE"""),"The 12am curfew on indoor bars and restaurants and the 1am curfew for all catered events will end.")</f>
        <v>The 12am curfew on indoor bars and restaurants and the 1am curfew for all catered events will end.</v>
      </c>
      <c r="F688" s="1" t="str">
        <f>IFERROR(__xludf.DUMMYFUNCTION("""COMPUTED_VALUE"""),"National Academy for State Health Policy")</f>
        <v>National Academy for State Health Policy</v>
      </c>
      <c r="G688" s="3" t="str">
        <f>IFERROR(__xludf.DUMMYFUNCTION("""COMPUTED_VALUE"""),"https://www.nashp.org/2021-covid-19-state-restrictions-re-openings-and-mask-requirements/")</f>
        <v>https://www.nashp.org/2021-covid-19-state-restrictions-re-openings-and-mask-requirements/</v>
      </c>
      <c r="H688" s="1"/>
      <c r="I688" s="1"/>
    </row>
    <row r="689">
      <c r="A689" s="2">
        <f>IFERROR(__xludf.DUMMYFUNCTION("""COMPUTED_VALUE"""),44354.0)</f>
        <v>44354</v>
      </c>
      <c r="B689" s="1" t="str">
        <f>IFERROR(__xludf.DUMMYFUNCTION("""COMPUTED_VALUE"""),"New York")</f>
        <v>New York</v>
      </c>
      <c r="C689" s="1" t="str">
        <f>IFERROR(__xludf.DUMMYFUNCTION("""COMPUTED_VALUE"""),"State Proclamations ")</f>
        <v>State Proclamations </v>
      </c>
      <c r="D689" s="1" t="str">
        <f>IFERROR(__xludf.DUMMYFUNCTION("""COMPUTED_VALUE"""),"Opening")</f>
        <v>Opening</v>
      </c>
      <c r="E689" s="1" t="str">
        <f>IFERROR(__xludf.DUMMYFUNCTION("""COMPUTED_VALUE"""),"The governor announced that once 70% of adults 18 and older receive at least one dose of a vaccine, most coronavirus restrictions will end. Restrictions will remain in place for large event venues, correctional facilities, and healthcare facilities.")</f>
        <v>The governor announced that once 70% of adults 18 and older receive at least one dose of a vaccine, most coronavirus restrictions will end. Restrictions will remain in place for large event venues, correctional facilities, and healthcare facilities.</v>
      </c>
      <c r="F689" s="1" t="str">
        <f>IFERROR(__xludf.DUMMYFUNCTION("""COMPUTED_VALUE"""),"National Academy for State Health Policy")</f>
        <v>National Academy for State Health Policy</v>
      </c>
      <c r="G689" s="3" t="str">
        <f>IFERROR(__xludf.DUMMYFUNCTION("""COMPUTED_VALUE"""),"https://www.nashp.org/2021-covid-19-state-restrictions-re-openings-and-mask-requirements/")</f>
        <v>https://www.nashp.org/2021-covid-19-state-restrictions-re-openings-and-mask-requirements/</v>
      </c>
      <c r="H689" s="1"/>
      <c r="I689" s="1"/>
    </row>
    <row r="690">
      <c r="A690" s="2">
        <f>IFERROR(__xludf.DUMMYFUNCTION("""COMPUTED_VALUE"""),44367.0)</f>
        <v>44367</v>
      </c>
      <c r="B690" s="1" t="str">
        <f>IFERROR(__xludf.DUMMYFUNCTION("""COMPUTED_VALUE"""),"New York")</f>
        <v>New York</v>
      </c>
      <c r="C690" s="1" t="str">
        <f>IFERROR(__xludf.DUMMYFUNCTION("""COMPUTED_VALUE"""),"State Proclamations ")</f>
        <v>State Proclamations </v>
      </c>
      <c r="D690" s="1" t="str">
        <f>IFERROR(__xludf.DUMMYFUNCTION("""COMPUTED_VALUE"""),"Opening")</f>
        <v>Opening</v>
      </c>
      <c r="E690" s="1" t="str">
        <f>IFERROR(__xludf.DUMMYFUNCTION("""COMPUTED_VALUE"""),"After reaching 70% of adults 18 and older with at least one dose of vaccine, the governor lifted most coronavirus restrictions. The governor also ended industry-specific requirements including social distancing requirements, gathering limits, capacity res"&amp;"trictions, and cleaning protocols for most businesses.")</f>
        <v>After reaching 70% of adults 18 and older with at least one dose of vaccine, the governor lifted most coronavirus restrictions. The governor also ended industry-specific requirements including social distancing requirements, gathering limits, capacity restrictions, and cleaning protocols for most businesses.</v>
      </c>
      <c r="F690" s="1" t="str">
        <f>IFERROR(__xludf.DUMMYFUNCTION("""COMPUTED_VALUE"""),"National Academy for State Health Policy")</f>
        <v>National Academy for State Health Policy</v>
      </c>
      <c r="G690" s="3" t="str">
        <f>IFERROR(__xludf.DUMMYFUNCTION("""COMPUTED_VALUE"""),"https://www.nashp.org/2021-covid-19-state-restrictions-re-openings-and-mask-requirements/")</f>
        <v>https://www.nashp.org/2021-covid-19-state-restrictions-re-openings-and-mask-requirements/</v>
      </c>
      <c r="H690" s="1"/>
      <c r="I690" s="1"/>
    </row>
    <row r="691">
      <c r="A691" s="2">
        <f>IFERROR(__xludf.DUMMYFUNCTION("""COMPUTED_VALUE"""),44371.0)</f>
        <v>44371</v>
      </c>
      <c r="B691" s="1" t="str">
        <f>IFERROR(__xludf.DUMMYFUNCTION("""COMPUTED_VALUE"""),"New York")</f>
        <v>New York</v>
      </c>
      <c r="C691" s="1" t="str">
        <f>IFERROR(__xludf.DUMMYFUNCTION("""COMPUTED_VALUE"""),"State of Emergency")</f>
        <v>State of Emergency</v>
      </c>
      <c r="D691" s="1" t="str">
        <f>IFERROR(__xludf.DUMMYFUNCTION("""COMPUTED_VALUE"""),"End")</f>
        <v>End</v>
      </c>
      <c r="E691" s="1" t="str">
        <f>IFERROR(__xludf.DUMMYFUNCTION("""COMPUTED_VALUE"""),"State of Emergency expired June 24, 2021")</f>
        <v>State of Emergency expired June 24, 2021</v>
      </c>
      <c r="F691" s="1" t="str">
        <f>IFERROR(__xludf.DUMMYFUNCTION("""COMPUTED_VALUE"""),"National Academy for State Health Policy")</f>
        <v>National Academy for State Health Policy</v>
      </c>
      <c r="G691" s="3" t="str">
        <f>IFERROR(__xludf.DUMMYFUNCTION("""COMPUTED_VALUE"""),"https://www.nashp.org/2021-covid-19-state-restrictions-re-openings-and-mask-requirements/")</f>
        <v>https://www.nashp.org/2021-covid-19-state-restrictions-re-openings-and-mask-requirements/</v>
      </c>
      <c r="H691" s="1"/>
      <c r="I691" s="1"/>
    </row>
    <row r="692">
      <c r="A692" s="2">
        <f>IFERROR(__xludf.DUMMYFUNCTION("""COMPUTED_VALUE"""),44381.0)</f>
        <v>44381</v>
      </c>
      <c r="B692" s="1" t="str">
        <f>IFERROR(__xludf.DUMMYFUNCTION("""COMPUTED_VALUE"""),"New York")</f>
        <v>New York</v>
      </c>
      <c r="C692" s="1" t="str">
        <f>IFERROR(__xludf.DUMMYFUNCTION("""COMPUTED_VALUE"""),"State Proclamations ")</f>
        <v>State Proclamations </v>
      </c>
      <c r="D692" s="1" t="str">
        <f>IFERROR(__xludf.DUMMYFUNCTION("""COMPUTED_VALUE"""),"Opening")</f>
        <v>Opening</v>
      </c>
      <c r="E692" s="1" t="str">
        <f>IFERROR(__xludf.DUMMYFUNCTION("""COMPUTED_VALUE"""),"The state is targeting to fully reopen pools and beaches without restrictions.")</f>
        <v>The state is targeting to fully reopen pools and beaches without restrictions.</v>
      </c>
      <c r="F692" s="1" t="str">
        <f>IFERROR(__xludf.DUMMYFUNCTION("""COMPUTED_VALUE"""),"National Academy for State Health Policy")</f>
        <v>National Academy for State Health Policy</v>
      </c>
      <c r="G692" s="3" t="str">
        <f>IFERROR(__xludf.DUMMYFUNCTION("""COMPUTED_VALUE"""),"https://www.nashp.org/2021-covid-19-state-restrictions-re-openings-and-mask-requirements/")</f>
        <v>https://www.nashp.org/2021-covid-19-state-restrictions-re-openings-and-mask-requirements/</v>
      </c>
      <c r="H692" s="1"/>
      <c r="I692" s="1"/>
    </row>
    <row r="693">
      <c r="A693" s="2">
        <f>IFERROR(__xludf.DUMMYFUNCTION("""COMPUTED_VALUE"""),44452.0)</f>
        <v>44452</v>
      </c>
      <c r="B693" s="1" t="str">
        <f>IFERROR(__xludf.DUMMYFUNCTION("""COMPUTED_VALUE"""),"New York")</f>
        <v>New York</v>
      </c>
      <c r="C693" s="1" t="str">
        <f>IFERROR(__xludf.DUMMYFUNCTION("""COMPUTED_VALUE"""),"State Proclamations ")</f>
        <v>State Proclamations </v>
      </c>
      <c r="D693" s="1" t="str">
        <f>IFERROR(__xludf.DUMMYFUNCTION("""COMPUTED_VALUE"""),"Opening")</f>
        <v>Opening</v>
      </c>
      <c r="E693" s="1" t="str">
        <f>IFERROR(__xludf.DUMMYFUNCTION("""COMPUTED_VALUE"""),"New York City will require proof of vaccination for patrons and staff at all indoor businesses.")</f>
        <v>New York City will require proof of vaccination for patrons and staff at all indoor businesses.</v>
      </c>
      <c r="F693" s="1" t="str">
        <f>IFERROR(__xludf.DUMMYFUNCTION("""COMPUTED_VALUE"""),"National Academy for State Health Policy")</f>
        <v>National Academy for State Health Policy</v>
      </c>
      <c r="G693" s="3" t="str">
        <f>IFERROR(__xludf.DUMMYFUNCTION("""COMPUTED_VALUE"""),"https://www.nashp.org/2021-covid-19-state-restrictions-re-openings-and-mask-requirements/")</f>
        <v>https://www.nashp.org/2021-covid-19-state-restrictions-re-openings-and-mask-requirements/</v>
      </c>
      <c r="H693" s="1"/>
      <c r="I693" s="1"/>
    </row>
    <row r="694">
      <c r="A694" s="2">
        <f>IFERROR(__xludf.DUMMYFUNCTION("""COMPUTED_VALUE"""),44540.0)</f>
        <v>44540</v>
      </c>
      <c r="B694" s="1" t="str">
        <f>IFERROR(__xludf.DUMMYFUNCTION("""COMPUTED_VALUE"""),"New York")</f>
        <v>New York</v>
      </c>
      <c r="C694" s="1" t="str">
        <f>IFERROR(__xludf.DUMMYFUNCTION("""COMPUTED_VALUE"""),"Mask Mandate")</f>
        <v>Mask Mandate</v>
      </c>
      <c r="D694" s="1" t="str">
        <f>IFERROR(__xludf.DUMMYFUNCTION("""COMPUTED_VALUE"""),"Start")</f>
        <v>Start</v>
      </c>
      <c r="E694" s="1" t="str">
        <f>IFERROR(__xludf.DUMMYFUNCTION("""COMPUTED_VALUE"""),"On Dec. 10, 2021 Gov. Kathy Hochul announced a new statewide indoor mask requirement effective Dec. 13. Masks will be required regardless of vaccination status, unless the business requires proof of vaccination.")</f>
        <v>On Dec. 10, 2021 Gov. Kathy Hochul announced a new statewide indoor mask requirement effective Dec. 13. Masks will be required regardless of vaccination status, unless the business requires proof of vaccination.</v>
      </c>
      <c r="F694" s="1" t="str">
        <f>IFERROR(__xludf.DUMMYFUNCTION("""COMPUTED_VALUE"""),"National Academy for State Health Policy")</f>
        <v>National Academy for State Health Policy</v>
      </c>
      <c r="G694" s="3" t="str">
        <f>IFERROR(__xludf.DUMMYFUNCTION("""COMPUTED_VALUE"""),"https://www.nashp.org/2021-covid-19-state-restrictions-re-openings-and-mask-requirements/")</f>
        <v>https://www.nashp.org/2021-covid-19-state-restrictions-re-openings-and-mask-requirements/</v>
      </c>
      <c r="H694" s="1"/>
      <c r="I694" s="1"/>
    </row>
    <row r="695">
      <c r="A695" s="2">
        <f>IFERROR(__xludf.DUMMYFUNCTION("""COMPUTED_VALUE"""),43900.0)</f>
        <v>43900</v>
      </c>
      <c r="B695" s="1" t="str">
        <f>IFERROR(__xludf.DUMMYFUNCTION("""COMPUTED_VALUE"""),"North Carolina")</f>
        <v>North Carolina</v>
      </c>
      <c r="C695" s="1" t="str">
        <f>IFERROR(__xludf.DUMMYFUNCTION("""COMPUTED_VALUE"""),"State of Emergency")</f>
        <v>State of Emergency</v>
      </c>
      <c r="D695" s="1" t="str">
        <f>IFERROR(__xludf.DUMMYFUNCTION("""COMPUTED_VALUE"""),"Start")</f>
        <v>Start</v>
      </c>
      <c r="E695" s="1" t="str">
        <f>IFERROR(__xludf.DUMMYFUNCTION("""COMPUTED_VALUE"""),"Gov. Roy Cooper declared a state of emergency on March 10 to stop the spread of the virus.")</f>
        <v>Gov. Roy Cooper declared a state of emergency on March 10 to stop the spread of the virus.</v>
      </c>
      <c r="F695" s="1" t="str">
        <f>IFERROR(__xludf.DUMMYFUNCTION("""COMPUTED_VALUE"""),"Business Insider")</f>
        <v>Business Insider</v>
      </c>
      <c r="G695" s="3" t="str">
        <f>IFERROR(__xludf.DUMMYFUNCTION("""COMPUTED_VALUE"""),"https://www.businessinsider.com/california-washington-state-of-emergency-coronavirus-what-it-means-2020-3#north-carolina-17")</f>
        <v>https://www.businessinsider.com/california-washington-state-of-emergency-coronavirus-what-it-means-2020-3#north-carolina-17</v>
      </c>
      <c r="H695" s="1"/>
      <c r="I695" s="1"/>
    </row>
    <row r="696">
      <c r="A696" s="2">
        <f>IFERROR(__xludf.DUMMYFUNCTION("""COMPUTED_VALUE"""),43920.0)</f>
        <v>43920</v>
      </c>
      <c r="B696" s="1" t="str">
        <f>IFERROR(__xludf.DUMMYFUNCTION("""COMPUTED_VALUE"""),"North Carolina")</f>
        <v>North Carolina</v>
      </c>
      <c r="C696" s="1" t="str">
        <f>IFERROR(__xludf.DUMMYFUNCTION("""COMPUTED_VALUE"""),"Stay-at-Home Order")</f>
        <v>Stay-at-Home Order</v>
      </c>
      <c r="D696" s="1" t="str">
        <f>IFERROR(__xludf.DUMMYFUNCTION("""COMPUTED_VALUE"""),"Start")</f>
        <v>Start</v>
      </c>
      <c r="E696" s="1" t="str">
        <f>IFERROR(__xludf.DUMMYFUNCTION("""COMPUTED_VALUE"""),"Original stay-at-home order begins")</f>
        <v>Original stay-at-home order begins</v>
      </c>
      <c r="F696" s="1" t="str">
        <f>IFERROR(__xludf.DUMMYFUNCTION("""COMPUTED_VALUE"""),"National Academy for State Health Policy")</f>
        <v>National Academy for State Health Policy</v>
      </c>
      <c r="G696" s="3" t="str">
        <f>IFERROR(__xludf.DUMMYFUNCTION("""COMPUTED_VALUE"""),"https://www.nashp.org/2020-state-reopening-chart/")</f>
        <v>https://www.nashp.org/2020-state-reopening-chart/</v>
      </c>
      <c r="H696" s="1"/>
      <c r="I696" s="1"/>
    </row>
    <row r="697">
      <c r="A697" s="2">
        <f>IFERROR(__xludf.DUMMYFUNCTION("""COMPUTED_VALUE"""),43973.0)</f>
        <v>43973</v>
      </c>
      <c r="B697" s="1" t="str">
        <f>IFERROR(__xludf.DUMMYFUNCTION("""COMPUTED_VALUE"""),"North Carolina")</f>
        <v>North Carolina</v>
      </c>
      <c r="C697" s="1" t="str">
        <f>IFERROR(__xludf.DUMMYFUNCTION("""COMPUTED_VALUE"""),"Stay-at-Home Order")</f>
        <v>Stay-at-Home Order</v>
      </c>
      <c r="D697" s="1" t="str">
        <f>IFERROR(__xludf.DUMMYFUNCTION("""COMPUTED_VALUE"""),"End")</f>
        <v>End</v>
      </c>
      <c r="E697" s="1" t="str">
        <f>IFERROR(__xludf.DUMMYFUNCTION("""COMPUTED_VALUE"""),"Original stay-at-home order ends")</f>
        <v>Original stay-at-home order ends</v>
      </c>
      <c r="F697" s="1" t="str">
        <f>IFERROR(__xludf.DUMMYFUNCTION("""COMPUTED_VALUE"""),"National Academy for State Health Policy")</f>
        <v>National Academy for State Health Policy</v>
      </c>
      <c r="G697" s="3" t="str">
        <f>IFERROR(__xludf.DUMMYFUNCTION("""COMPUTED_VALUE"""),"https://www.nashp.org/2020-state-reopening-chart/")</f>
        <v>https://www.nashp.org/2020-state-reopening-chart/</v>
      </c>
      <c r="H697" s="1"/>
      <c r="I697" s="1"/>
    </row>
    <row r="698">
      <c r="A698" s="2">
        <f>IFERROR(__xludf.DUMMYFUNCTION("""COMPUTED_VALUE"""),43973.0)</f>
        <v>43973</v>
      </c>
      <c r="B698" s="1" t="str">
        <f>IFERROR(__xludf.DUMMYFUNCTION("""COMPUTED_VALUE"""),"North Carolina")</f>
        <v>North Carolina</v>
      </c>
      <c r="C698" s="1" t="str">
        <f>IFERROR(__xludf.DUMMYFUNCTION("""COMPUTED_VALUE"""),"State Proclamations ")</f>
        <v>State Proclamations </v>
      </c>
      <c r="D698" s="1" t="str">
        <f>IFERROR(__xludf.DUMMYFUNCTION("""COMPUTED_VALUE"""),"Opening")</f>
        <v>Opening</v>
      </c>
      <c r="E698" s="1" t="str">
        <f>IFERROR(__xludf.DUMMYFUNCTION("""COMPUTED_VALUE"""),"North Carolina has reopened retail stores, restaurant dining, personal care services, houses of worship, and pools. Elective medical procedures can resume at the discretion of providers.")</f>
        <v>North Carolina has reopened retail stores, restaurant dining, personal care services, houses of worship, and pools. Elective medical procedures can resume at the discretion of providers.</v>
      </c>
      <c r="F698" s="1" t="str">
        <f>IFERROR(__xludf.DUMMYFUNCTION("""COMPUTED_VALUE"""),"National Academy for State Health Policy")</f>
        <v>National Academy for State Health Policy</v>
      </c>
      <c r="G698" s="3" t="str">
        <f>IFERROR(__xludf.DUMMYFUNCTION("""COMPUTED_VALUE"""),"https://www.nashp.org/2020-state-reopening-chart/")</f>
        <v>https://www.nashp.org/2020-state-reopening-chart/</v>
      </c>
      <c r="H698" s="1"/>
      <c r="I698" s="1"/>
    </row>
    <row r="699">
      <c r="A699" s="2">
        <f>IFERROR(__xludf.DUMMYFUNCTION("""COMPUTED_VALUE"""),44007.0)</f>
        <v>44007</v>
      </c>
      <c r="B699" s="1" t="str">
        <f>IFERROR(__xludf.DUMMYFUNCTION("""COMPUTED_VALUE"""),"North Carolina")</f>
        <v>North Carolina</v>
      </c>
      <c r="C699" s="1" t="str">
        <f>IFERROR(__xludf.DUMMYFUNCTION("""COMPUTED_VALUE"""),"State Proclamations ")</f>
        <v>State Proclamations </v>
      </c>
      <c r="D699" s="1" t="str">
        <f>IFERROR(__xludf.DUMMYFUNCTION("""COMPUTED_VALUE"""),"Closing")</f>
        <v>Closing</v>
      </c>
      <c r="E699" s="1" t="str">
        <f>IFERROR(__xludf.DUMMYFUNCTION("""COMPUTED_VALUE"""),"Due to an increase in infections, the governor delayed the state’s next phase of reopening.")</f>
        <v>Due to an increase in infections, the governor delayed the state’s next phase of reopening.</v>
      </c>
      <c r="F699" s="1" t="str">
        <f>IFERROR(__xludf.DUMMYFUNCTION("""COMPUTED_VALUE"""),"National Academy for State Health Policy")</f>
        <v>National Academy for State Health Policy</v>
      </c>
      <c r="G699" s="3" t="str">
        <f>IFERROR(__xludf.DUMMYFUNCTION("""COMPUTED_VALUE"""),"https://www.nashp.org/2020-state-reopening-chart/")</f>
        <v>https://www.nashp.org/2020-state-reopening-chart/</v>
      </c>
      <c r="H699" s="1"/>
      <c r="I699" s="1"/>
    </row>
    <row r="700">
      <c r="A700" s="2">
        <f>IFERROR(__xludf.DUMMYFUNCTION("""COMPUTED_VALUE"""),44008.0)</f>
        <v>44008</v>
      </c>
      <c r="B700" s="1" t="str">
        <f>IFERROR(__xludf.DUMMYFUNCTION("""COMPUTED_VALUE"""),"North Carolina")</f>
        <v>North Carolina</v>
      </c>
      <c r="C700" s="1" t="str">
        <f>IFERROR(__xludf.DUMMYFUNCTION("""COMPUTED_VALUE"""),"Mask Mandate")</f>
        <v>Mask Mandate</v>
      </c>
      <c r="D700" s="1" t="str">
        <f>IFERROR(__xludf.DUMMYFUNCTION("""COMPUTED_VALUE"""),"Start")</f>
        <v>Start</v>
      </c>
      <c r="E700" s="1" t="str">
        <f>IFERROR(__xludf.DUMMYFUNCTION("""COMPUTED_VALUE"""),"Gov. Roy Cooper requires that face coverings be worn whenever people are out and about in public and where physical distancing is not possible. A number of businesses, such as restaurants and hair salons, also will require both employees and customers wea"&amp;"r face masks.")</f>
        <v>Gov. Roy Cooper requires that face coverings be worn whenever people are out and about in public and where physical distancing is not possible. A number of businesses, such as restaurants and hair salons, also will require both employees and customers wear face masks.</v>
      </c>
      <c r="F700" s="1" t="str">
        <f>IFERROR(__xludf.DUMMYFUNCTION("""COMPUTED_VALUE"""),"CNN")</f>
        <v>CNN</v>
      </c>
      <c r="G700" s="3" t="str">
        <f>IFERROR(__xludf.DUMMYFUNCTION("""COMPUTED_VALUE"""),"https://www.cnn.com/2020/06/19/us/states-face-mask-coronavirus-trnd/index.html")</f>
        <v>https://www.cnn.com/2020/06/19/us/states-face-mask-coronavirus-trnd/index.html</v>
      </c>
      <c r="H700" s="1"/>
      <c r="I700" s="1"/>
    </row>
    <row r="701">
      <c r="A701" s="2">
        <f>IFERROR(__xludf.DUMMYFUNCTION("""COMPUTED_VALUE"""),44014.0)</f>
        <v>44014</v>
      </c>
      <c r="B701" s="1" t="str">
        <f>IFERROR(__xludf.DUMMYFUNCTION("""COMPUTED_VALUE"""),"North Carolina")</f>
        <v>North Carolina</v>
      </c>
      <c r="C701" s="1" t="str">
        <f>IFERROR(__xludf.DUMMYFUNCTION("""COMPUTED_VALUE"""),"State Proclamations ")</f>
        <v>State Proclamations </v>
      </c>
      <c r="D701" s="1" t="str">
        <f>IFERROR(__xludf.DUMMYFUNCTION("""COMPUTED_VALUE"""),"Closing")</f>
        <v>Closing</v>
      </c>
      <c r="E701" s="1" t="str">
        <f>IFERROR(__xludf.DUMMYFUNCTION("""COMPUTED_VALUE"""),"The governor vetoed three bills that would have reopened gyms, fitness centers, amusement parks, skating rinks, bowling alleys, and other entertainment venues.")</f>
        <v>The governor vetoed three bills that would have reopened gyms, fitness centers, amusement parks, skating rinks, bowling alleys, and other entertainment venues.</v>
      </c>
      <c r="F701" s="1" t="str">
        <f>IFERROR(__xludf.DUMMYFUNCTION("""COMPUTED_VALUE"""),"National Academy for State Health Policy")</f>
        <v>National Academy for State Health Policy</v>
      </c>
      <c r="G701" s="3" t="str">
        <f>IFERROR(__xludf.DUMMYFUNCTION("""COMPUTED_VALUE"""),"https://www.nashp.org/2020-state-reopening-chart/")</f>
        <v>https://www.nashp.org/2020-state-reopening-chart/</v>
      </c>
      <c r="H701" s="1"/>
      <c r="I701" s="1"/>
    </row>
    <row r="702">
      <c r="A702" s="2">
        <f>IFERROR(__xludf.DUMMYFUNCTION("""COMPUTED_VALUE"""),44043.0)</f>
        <v>44043</v>
      </c>
      <c r="B702" s="1" t="str">
        <f>IFERROR(__xludf.DUMMYFUNCTION("""COMPUTED_VALUE"""),"North Carolina")</f>
        <v>North Carolina</v>
      </c>
      <c r="C702" s="1" t="str">
        <f>IFERROR(__xludf.DUMMYFUNCTION("""COMPUTED_VALUE"""),"State Proclamations ")</f>
        <v>State Proclamations </v>
      </c>
      <c r="D702" s="1" t="str">
        <f>IFERROR(__xludf.DUMMYFUNCTION("""COMPUTED_VALUE"""),"Opening")</f>
        <v>Opening</v>
      </c>
      <c r="E702" s="1" t="str">
        <f>IFERROR(__xludf.DUMMYFUNCTION("""COMPUTED_VALUE"""),"Alcohol cannot be sold after 11 pm.")</f>
        <v>Alcohol cannot be sold after 11 pm.</v>
      </c>
      <c r="F702" s="1" t="str">
        <f>IFERROR(__xludf.DUMMYFUNCTION("""COMPUTED_VALUE"""),"National Academy for State Health Policy")</f>
        <v>National Academy for State Health Policy</v>
      </c>
      <c r="G702" s="3" t="str">
        <f>IFERROR(__xludf.DUMMYFUNCTION("""COMPUTED_VALUE"""),"https://www.nashp.org/2020-state-reopening-chart/")</f>
        <v>https://www.nashp.org/2020-state-reopening-chart/</v>
      </c>
      <c r="H702" s="1"/>
      <c r="I702" s="1"/>
    </row>
    <row r="703">
      <c r="A703" s="2">
        <f>IFERROR(__xludf.DUMMYFUNCTION("""COMPUTED_VALUE"""),44048.0)</f>
        <v>44048</v>
      </c>
      <c r="B703" s="1" t="str">
        <f>IFERROR(__xludf.DUMMYFUNCTION("""COMPUTED_VALUE"""),"North Carolina")</f>
        <v>North Carolina</v>
      </c>
      <c r="C703" s="1" t="str">
        <f>IFERROR(__xludf.DUMMYFUNCTION("""COMPUTED_VALUE"""),"State Proclamations ")</f>
        <v>State Proclamations </v>
      </c>
      <c r="D703" s="1" t="str">
        <f>IFERROR(__xludf.DUMMYFUNCTION("""COMPUTED_VALUE"""),"Closing")</f>
        <v>Closing</v>
      </c>
      <c r="E703" s="1" t="str">
        <f>IFERROR(__xludf.DUMMYFUNCTION("""COMPUTED_VALUE"""),"The governor extended Phase 2 until at least Sept. 11.")</f>
        <v>The governor extended Phase 2 until at least Sept. 11.</v>
      </c>
      <c r="F703" s="1" t="str">
        <f>IFERROR(__xludf.DUMMYFUNCTION("""COMPUTED_VALUE"""),"National Academy for State Health Policy")</f>
        <v>National Academy for State Health Policy</v>
      </c>
      <c r="G703" s="3" t="str">
        <f>IFERROR(__xludf.DUMMYFUNCTION("""COMPUTED_VALUE"""),"https://www.nashp.org/2020-state-reopening-chart/")</f>
        <v>https://www.nashp.org/2020-state-reopening-chart/</v>
      </c>
      <c r="H703" s="1"/>
      <c r="I703" s="1"/>
    </row>
    <row r="704">
      <c r="A704" s="2">
        <f>IFERROR(__xludf.DUMMYFUNCTION("""COMPUTED_VALUE"""),44078.0)</f>
        <v>44078</v>
      </c>
      <c r="B704" s="1" t="str">
        <f>IFERROR(__xludf.DUMMYFUNCTION("""COMPUTED_VALUE"""),"North Carolina")</f>
        <v>North Carolina</v>
      </c>
      <c r="C704" s="1" t="str">
        <f>IFERROR(__xludf.DUMMYFUNCTION("""COMPUTED_VALUE"""),"State Proclamations ")</f>
        <v>State Proclamations </v>
      </c>
      <c r="D704" s="1" t="str">
        <f>IFERROR(__xludf.DUMMYFUNCTION("""COMPUTED_VALUE"""),"Opening")</f>
        <v>Opening</v>
      </c>
      <c r="E704" s="1" t="str">
        <f>IFERROR(__xludf.DUMMYFUNCTION("""COMPUTED_VALUE"""),"Gyms and museums reopened.")</f>
        <v>Gyms and museums reopened.</v>
      </c>
      <c r="F704" s="1" t="str">
        <f>IFERROR(__xludf.DUMMYFUNCTION("""COMPUTED_VALUE"""),"National Academy for State Health Policy")</f>
        <v>National Academy for State Health Policy</v>
      </c>
      <c r="G704" s="3" t="str">
        <f>IFERROR(__xludf.DUMMYFUNCTION("""COMPUTED_VALUE"""),"https://www.nashp.org/2020-state-reopening-chart/")</f>
        <v>https://www.nashp.org/2020-state-reopening-chart/</v>
      </c>
      <c r="H704" s="1"/>
      <c r="I704" s="1"/>
    </row>
    <row r="705">
      <c r="A705" s="2">
        <f>IFERROR(__xludf.DUMMYFUNCTION("""COMPUTED_VALUE"""),44106.0)</f>
        <v>44106</v>
      </c>
      <c r="B705" s="1" t="str">
        <f>IFERROR(__xludf.DUMMYFUNCTION("""COMPUTED_VALUE"""),"North Carolina")</f>
        <v>North Carolina</v>
      </c>
      <c r="C705" s="1" t="str">
        <f>IFERROR(__xludf.DUMMYFUNCTION("""COMPUTED_VALUE"""),"State Proclamations ")</f>
        <v>State Proclamations </v>
      </c>
      <c r="D705" s="1" t="str">
        <f>IFERROR(__xludf.DUMMYFUNCTION("""COMPUTED_VALUE"""),"Opening")</f>
        <v>Opening</v>
      </c>
      <c r="E705" s="1" t="str">
        <f>IFERROR(__xludf.DUMMYFUNCTION("""COMPUTED_VALUE"""),"The state moved into Phase 3, which allows movie theaters, entertainment spaces, and amusement parks to reopen with capacity limits.")</f>
        <v>The state moved into Phase 3, which allows movie theaters, entertainment spaces, and amusement parks to reopen with capacity limits.</v>
      </c>
      <c r="F705" s="1" t="str">
        <f>IFERROR(__xludf.DUMMYFUNCTION("""COMPUTED_VALUE"""),"National Academy for State Health Policy")</f>
        <v>National Academy for State Health Policy</v>
      </c>
      <c r="G705" s="3" t="str">
        <f>IFERROR(__xludf.DUMMYFUNCTION("""COMPUTED_VALUE"""),"https://www.nashp.org/2020-state-reopening-chart/")</f>
        <v>https://www.nashp.org/2020-state-reopening-chart/</v>
      </c>
      <c r="H705" s="1"/>
      <c r="I705" s="1"/>
    </row>
    <row r="706">
      <c r="A706" s="2">
        <f>IFERROR(__xludf.DUMMYFUNCTION("""COMPUTED_VALUE"""),44126.0)</f>
        <v>44126</v>
      </c>
      <c r="B706" s="1" t="str">
        <f>IFERROR(__xludf.DUMMYFUNCTION("""COMPUTED_VALUE"""),"North Carolina")</f>
        <v>North Carolina</v>
      </c>
      <c r="C706" s="1" t="str">
        <f>IFERROR(__xludf.DUMMYFUNCTION("""COMPUTED_VALUE"""),"State Proclamations ")</f>
        <v>State Proclamations </v>
      </c>
      <c r="D706" s="1" t="str">
        <f>IFERROR(__xludf.DUMMYFUNCTION("""COMPUTED_VALUE"""),"Closing")</f>
        <v>Closing</v>
      </c>
      <c r="E706" s="1" t="str">
        <f>IFERROR(__xludf.DUMMYFUNCTION("""COMPUTED_VALUE"""),"The governor extended Phase 3 until Nov. 13, 2020.")</f>
        <v>The governor extended Phase 3 until Nov. 13, 2020.</v>
      </c>
      <c r="F706" s="1" t="str">
        <f>IFERROR(__xludf.DUMMYFUNCTION("""COMPUTED_VALUE"""),"National Academy for State Health Policy")</f>
        <v>National Academy for State Health Policy</v>
      </c>
      <c r="G706" s="3" t="str">
        <f>IFERROR(__xludf.DUMMYFUNCTION("""COMPUTED_VALUE"""),"https://www.nashp.org/2020-state-reopening-chart/")</f>
        <v>https://www.nashp.org/2020-state-reopening-chart/</v>
      </c>
      <c r="H706" s="1"/>
      <c r="I706" s="1"/>
    </row>
    <row r="707">
      <c r="A707" s="2">
        <f>IFERROR(__xludf.DUMMYFUNCTION("""COMPUTED_VALUE"""),44145.0)</f>
        <v>44145</v>
      </c>
      <c r="B707" s="1" t="str">
        <f>IFERROR(__xludf.DUMMYFUNCTION("""COMPUTED_VALUE"""),"North Carolina")</f>
        <v>North Carolina</v>
      </c>
      <c r="C707" s="1" t="str">
        <f>IFERROR(__xludf.DUMMYFUNCTION("""COMPUTED_VALUE"""),"State Proclamations ")</f>
        <v>State Proclamations </v>
      </c>
      <c r="D707" s="1" t="str">
        <f>IFERROR(__xludf.DUMMYFUNCTION("""COMPUTED_VALUE"""),"Closing")</f>
        <v>Closing</v>
      </c>
      <c r="E707" s="1" t="str">
        <f>IFERROR(__xludf.DUMMYFUNCTION("""COMPUTED_VALUE"""),"The governor extended Phase 3, and indoor gatherings are limited from 25 to 10 people.")</f>
        <v>The governor extended Phase 3, and indoor gatherings are limited from 25 to 10 people.</v>
      </c>
      <c r="F707" s="1" t="str">
        <f>IFERROR(__xludf.DUMMYFUNCTION("""COMPUTED_VALUE"""),"National Academy for State Health Policy")</f>
        <v>National Academy for State Health Policy</v>
      </c>
      <c r="G707" s="3" t="str">
        <f>IFERROR(__xludf.DUMMYFUNCTION("""COMPUTED_VALUE"""),"https://www.nashp.org/2020-state-reopening-chart/")</f>
        <v>https://www.nashp.org/2020-state-reopening-chart/</v>
      </c>
      <c r="H707" s="1"/>
      <c r="I707" s="1"/>
    </row>
    <row r="708">
      <c r="A708" s="2">
        <f>IFERROR(__xludf.DUMMYFUNCTION("""COMPUTED_VALUE"""),44176.0)</f>
        <v>44176</v>
      </c>
      <c r="B708" s="1" t="str">
        <f>IFERROR(__xludf.DUMMYFUNCTION("""COMPUTED_VALUE"""),"North Carolina")</f>
        <v>North Carolina</v>
      </c>
      <c r="C708" s="1" t="str">
        <f>IFERROR(__xludf.DUMMYFUNCTION("""COMPUTED_VALUE"""),"State Proclamations ")</f>
        <v>State Proclamations </v>
      </c>
      <c r="D708" s="1" t="str">
        <f>IFERROR(__xludf.DUMMYFUNCTION("""COMPUTED_VALUE"""),"Closing")</f>
        <v>Closing</v>
      </c>
      <c r="E708" s="1" t="str">
        <f>IFERROR(__xludf.DUMMYFUNCTION("""COMPUTED_VALUE"""),"A modified stay-at-home order went into effect. There is a 10 pm. curfew for most businesses, and alcohol cannot be served after 9 pm.")</f>
        <v>A modified stay-at-home order went into effect. There is a 10 pm. curfew for most businesses, and alcohol cannot be served after 9 pm.</v>
      </c>
      <c r="F708" s="1" t="str">
        <f>IFERROR(__xludf.DUMMYFUNCTION("""COMPUTED_VALUE"""),"National Academy for State Health Policy")</f>
        <v>National Academy for State Health Policy</v>
      </c>
      <c r="G708" s="3" t="str">
        <f>IFERROR(__xludf.DUMMYFUNCTION("""COMPUTED_VALUE"""),"https://www.nashp.org/2020-state-reopening-chart/")</f>
        <v>https://www.nashp.org/2020-state-reopening-chart/</v>
      </c>
      <c r="H708" s="1"/>
      <c r="I708" s="1"/>
    </row>
    <row r="709">
      <c r="A709" s="2">
        <f>IFERROR(__xludf.DUMMYFUNCTION("""COMPUTED_VALUE"""),44186.0)</f>
        <v>44186</v>
      </c>
      <c r="B709" s="1" t="str">
        <f>IFERROR(__xludf.DUMMYFUNCTION("""COMPUTED_VALUE"""),"North Carolina")</f>
        <v>North Carolina</v>
      </c>
      <c r="C709" s="1" t="str">
        <f>IFERROR(__xludf.DUMMYFUNCTION("""COMPUTED_VALUE"""),"State Proclamations ")</f>
        <v>State Proclamations </v>
      </c>
      <c r="D709" s="1" t="str">
        <f>IFERROR(__xludf.DUMMYFUNCTION("""COMPUTED_VALUE"""),"Opening")</f>
        <v>Opening</v>
      </c>
      <c r="E709" s="1" t="str">
        <f>IFERROR(__xludf.DUMMYFUNCTION("""COMPUTED_VALUE"""),"The governor signed an order allowing restaurants, bars, and hotels to sell and deliver mixed alcoholic drinks. Alcohol sales are still banned on-site at those establishments after 9 pm.")</f>
        <v>The governor signed an order allowing restaurants, bars, and hotels to sell and deliver mixed alcoholic drinks. Alcohol sales are still banned on-site at those establishments after 9 pm.</v>
      </c>
      <c r="F709" s="1" t="str">
        <f>IFERROR(__xludf.DUMMYFUNCTION("""COMPUTED_VALUE"""),"National Academy for State Health Policy")</f>
        <v>National Academy for State Health Policy</v>
      </c>
      <c r="G709" s="3" t="str">
        <f>IFERROR(__xludf.DUMMYFUNCTION("""COMPUTED_VALUE"""),"https://www.nashp.org/2020-state-reopening-chart/")</f>
        <v>https://www.nashp.org/2020-state-reopening-chart/</v>
      </c>
      <c r="H709" s="1"/>
      <c r="I709" s="1"/>
    </row>
    <row r="710">
      <c r="A710" s="2">
        <f>IFERROR(__xludf.DUMMYFUNCTION("""COMPUTED_VALUE"""),44202.0)</f>
        <v>44202</v>
      </c>
      <c r="B710" s="1" t="str">
        <f>IFERROR(__xludf.DUMMYFUNCTION("""COMPUTED_VALUE"""),"North Carolina")</f>
        <v>North Carolina</v>
      </c>
      <c r="C710" s="1" t="str">
        <f>IFERROR(__xludf.DUMMYFUNCTION("""COMPUTED_VALUE"""),"State Proclamations ")</f>
        <v>State Proclamations </v>
      </c>
      <c r="D710" s="1" t="str">
        <f>IFERROR(__xludf.DUMMYFUNCTION("""COMPUTED_VALUE"""),"Closing")</f>
        <v>Closing</v>
      </c>
      <c r="E710" s="1" t="str">
        <f>IFERROR(__xludf.DUMMYFUNCTION("""COMPUTED_VALUE"""),"Gov. Roy Cooper extended the statewide curfew requiring people to stay at home from 10 pm to 5 am through Jan. 29.")</f>
        <v>Gov. Roy Cooper extended the statewide curfew requiring people to stay at home from 10 pm to 5 am through Jan. 29.</v>
      </c>
      <c r="F710" s="1" t="str">
        <f>IFERROR(__xludf.DUMMYFUNCTION("""COMPUTED_VALUE"""),"National Academy for State Health Policy")</f>
        <v>National Academy for State Health Policy</v>
      </c>
      <c r="G710" s="3" t="str">
        <f>IFERROR(__xludf.DUMMYFUNCTION("""COMPUTED_VALUE"""),"https://www.nashp.org/2021-covid-19-state-restrictions-re-openings-and-mask-requirements/")</f>
        <v>https://www.nashp.org/2021-covid-19-state-restrictions-re-openings-and-mask-requirements/</v>
      </c>
      <c r="H710" s="1"/>
      <c r="I710" s="1"/>
    </row>
    <row r="711">
      <c r="A711" s="2">
        <f>IFERROR(__xludf.DUMMYFUNCTION("""COMPUTED_VALUE"""),44223.0)</f>
        <v>44223</v>
      </c>
      <c r="B711" s="1" t="str">
        <f>IFERROR(__xludf.DUMMYFUNCTION("""COMPUTED_VALUE"""),"North Carolina")</f>
        <v>North Carolina</v>
      </c>
      <c r="C711" s="1" t="str">
        <f>IFERROR(__xludf.DUMMYFUNCTION("""COMPUTED_VALUE"""),"State Proclamations ")</f>
        <v>State Proclamations </v>
      </c>
      <c r="D711" s="1" t="str">
        <f>IFERROR(__xludf.DUMMYFUNCTION("""COMPUTED_VALUE"""),"Closing")</f>
        <v>Closing</v>
      </c>
      <c r="E711" s="1" t="str">
        <f>IFERROR(__xludf.DUMMYFUNCTION("""COMPUTED_VALUE"""),"The governor extended the modified stay-at-home order, which includes a curfew on nonessential businesses between 10 pm and 5 am, through Feb. 28.")</f>
        <v>The governor extended the modified stay-at-home order, which includes a curfew on nonessential businesses between 10 pm and 5 am, through Feb. 28.</v>
      </c>
      <c r="F711" s="1" t="str">
        <f>IFERROR(__xludf.DUMMYFUNCTION("""COMPUTED_VALUE"""),"National Academy for State Health Policy")</f>
        <v>National Academy for State Health Policy</v>
      </c>
      <c r="G711" s="3" t="str">
        <f>IFERROR(__xludf.DUMMYFUNCTION("""COMPUTED_VALUE"""),"https://www.nashp.org/2021-covid-19-state-restrictions-re-openings-and-mask-requirements/")</f>
        <v>https://www.nashp.org/2021-covid-19-state-restrictions-re-openings-and-mask-requirements/</v>
      </c>
      <c r="H711" s="1"/>
      <c r="I711" s="1"/>
    </row>
    <row r="712">
      <c r="A712" s="2">
        <f>IFERROR(__xludf.DUMMYFUNCTION("""COMPUTED_VALUE"""),44229.0)</f>
        <v>44229</v>
      </c>
      <c r="B712" s="1" t="str">
        <f>IFERROR(__xludf.DUMMYFUNCTION("""COMPUTED_VALUE"""),"North Carolina")</f>
        <v>North Carolina</v>
      </c>
      <c r="C712" s="1" t="str">
        <f>IFERROR(__xludf.DUMMYFUNCTION("""COMPUTED_VALUE"""),"State Proclamations ")</f>
        <v>State Proclamations </v>
      </c>
      <c r="D712" s="1" t="str">
        <f>IFERROR(__xludf.DUMMYFUNCTION("""COMPUTED_VALUE"""),"Opening")</f>
        <v>Opening</v>
      </c>
      <c r="E712" s="1" t="str">
        <f>IFERROR(__xludf.DUMMYFUNCTION("""COMPUTED_VALUE"""),"The governor announced new school guidance and encouraged public K-12 schools to reopen for full-time, in-person instruction. The guidance says elementary schools should reopen under Plan A, which does not require social distancing. Middle and high school"&amp;"s should reopen under Plan B, which does require social distancing. The final reopening decision is up to school districts, but districts still have to provide a remote learning option for families that choose to opt into remote learning.")</f>
        <v>The governor announced new school guidance and encouraged public K-12 schools to reopen for full-time, in-person instruction. The guidance says elementary schools should reopen under Plan A, which does not require social distancing. Middle and high schools should reopen under Plan B, which does require social distancing. The final reopening decision is up to school districts, but districts still have to provide a remote learning option for families that choose to opt into remote learning.</v>
      </c>
      <c r="F712" s="1" t="str">
        <f>IFERROR(__xludf.DUMMYFUNCTION("""COMPUTED_VALUE"""),"National Academy for State Health Policy")</f>
        <v>National Academy for State Health Policy</v>
      </c>
      <c r="G712" s="3" t="str">
        <f>IFERROR(__xludf.DUMMYFUNCTION("""COMPUTED_VALUE"""),"https://www.nashp.org/2021-covid-19-state-restrictions-re-openings-and-mask-requirements/")</f>
        <v>https://www.nashp.org/2021-covid-19-state-restrictions-re-openings-and-mask-requirements/</v>
      </c>
      <c r="H712" s="1"/>
      <c r="I712" s="1"/>
    </row>
    <row r="713">
      <c r="A713" s="2">
        <f>IFERROR(__xludf.DUMMYFUNCTION("""COMPUTED_VALUE"""),44252.0)</f>
        <v>44252</v>
      </c>
      <c r="B713" s="1" t="str">
        <f>IFERROR(__xludf.DUMMYFUNCTION("""COMPUTED_VALUE"""),"North Carolina")</f>
        <v>North Carolina</v>
      </c>
      <c r="C713" s="1" t="str">
        <f>IFERROR(__xludf.DUMMYFUNCTION("""COMPUTED_VALUE"""),"State Proclamations ")</f>
        <v>State Proclamations </v>
      </c>
      <c r="D713" s="1" t="str">
        <f>IFERROR(__xludf.DUMMYFUNCTION("""COMPUTED_VALUE"""),"Opening")</f>
        <v>Opening</v>
      </c>
      <c r="E713" s="1" t="str">
        <f>IFERROR(__xludf.DUMMYFUNCTION("""COMPUTED_VALUE""")," The modified stay-at-home order that imposed a curfew on individuals and businesses between 10 p.m. and 5 a.m. expired. Additionally, the indoor gathering limit increased from 10 people to 25, while businesses are allowed to sell alcohol for onsite consu"&amp;"mption until 11 pm. Certain businesses, such as bars and movie theaters, are limited to 30% capacity or 250 people. Businesses like restaurants, breweries, museums, and salons are limited to 50% capacity.")</f>
        <v> The modified stay-at-home order that imposed a curfew on individuals and businesses between 10 p.m. and 5 a.m. expired. Additionally, the indoor gathering limit increased from 10 people to 25, while businesses are allowed to sell alcohol for onsite consumption until 11 pm. Certain businesses, such as bars and movie theaters, are limited to 30% capacity or 250 people. Businesses like restaurants, breweries, museums, and salons are limited to 50% capacity.</v>
      </c>
      <c r="F713" s="1" t="str">
        <f>IFERROR(__xludf.DUMMYFUNCTION("""COMPUTED_VALUE"""),"National Academy for State Health Policy")</f>
        <v>National Academy for State Health Policy</v>
      </c>
      <c r="G713" s="3" t="str">
        <f>IFERROR(__xludf.DUMMYFUNCTION("""COMPUTED_VALUE"""),"https://www.nashp.org/2021-covid-19-state-restrictions-re-openings-and-mask-requirements/")</f>
        <v>https://www.nashp.org/2021-covid-19-state-restrictions-re-openings-and-mask-requirements/</v>
      </c>
      <c r="H713" s="1"/>
      <c r="I713" s="1"/>
    </row>
    <row r="714">
      <c r="A714" s="2">
        <f>IFERROR(__xludf.DUMMYFUNCTION("""COMPUTED_VALUE"""),44265.0)</f>
        <v>44265</v>
      </c>
      <c r="B714" s="1" t="str">
        <f>IFERROR(__xludf.DUMMYFUNCTION("""COMPUTED_VALUE"""),"North Carolina")</f>
        <v>North Carolina</v>
      </c>
      <c r="C714" s="1" t="str">
        <f>IFERROR(__xludf.DUMMYFUNCTION("""COMPUTED_VALUE"""),"State Proclamations ")</f>
        <v>State Proclamations </v>
      </c>
      <c r="D714" s="1" t="str">
        <f>IFERROR(__xludf.DUMMYFUNCTION("""COMPUTED_VALUE"""),"Opening")</f>
        <v>Opening</v>
      </c>
      <c r="E714" s="1" t="str">
        <f>IFERROR(__xludf.DUMMYFUNCTION("""COMPUTED_VALUE"""),"The governor announced an agreement with state house and senate that would return all elementary schools to in-person instruction, while middle and high schools will be permitted to choose between a hybrid approach and in-person instruction on a district-"&amp;"by-district basis. Under the law, parents can choose to keep their kids at home. The plan will go into effect 21 days after Cooper signs the bill.")</f>
        <v>The governor announced an agreement with state house and senate that would return all elementary schools to in-person instruction, while middle and high schools will be permitted to choose between a hybrid approach and in-person instruction on a district-by-district basis. Under the law, parents can choose to keep their kids at home. The plan will go into effect 21 days after Cooper signs the bill.</v>
      </c>
      <c r="F714" s="1" t="str">
        <f>IFERROR(__xludf.DUMMYFUNCTION("""COMPUTED_VALUE"""),"National Academy for State Health Policy")</f>
        <v>National Academy for State Health Policy</v>
      </c>
      <c r="G714" s="3" t="str">
        <f>IFERROR(__xludf.DUMMYFUNCTION("""COMPUTED_VALUE"""),"https://www.nashp.org/2021-covid-19-state-restrictions-re-openings-and-mask-requirements/")</f>
        <v>https://www.nashp.org/2021-covid-19-state-restrictions-re-openings-and-mask-requirements/</v>
      </c>
      <c r="H714" s="1"/>
      <c r="I714" s="1"/>
    </row>
    <row r="715">
      <c r="A715" s="2">
        <f>IFERROR(__xludf.DUMMYFUNCTION("""COMPUTED_VALUE"""),44281.0)</f>
        <v>44281</v>
      </c>
      <c r="B715" s="1" t="str">
        <f>IFERROR(__xludf.DUMMYFUNCTION("""COMPUTED_VALUE"""),"North Carolina")</f>
        <v>North Carolina</v>
      </c>
      <c r="C715" s="1" t="str">
        <f>IFERROR(__xludf.DUMMYFUNCTION("""COMPUTED_VALUE"""),"State Proclamations ")</f>
        <v>State Proclamations </v>
      </c>
      <c r="D715" s="1" t="str">
        <f>IFERROR(__xludf.DUMMYFUNCTION("""COMPUTED_VALUE"""),"Opening")</f>
        <v>Opening</v>
      </c>
      <c r="E715" s="1" t="str">
        <f>IFERROR(__xludf.DUMMYFUNCTION("""COMPUTED_VALUE"""),"The governor began easing restrictions on businesses. The limit on indoor gathering increased from 25 to 50 people, while the limit on outdoor gatherings increased from 50 to 100 people. Retail stores, as well as museums and salons, may operate at 100% ca"&amp;"pacity, while businesses like restaurants and gyms can operate at 75% capacity indoors and 100% capacity outdoors. Bars and movie theaters can operate at 50% capacity and the alcohol curfew, which prohibits alcohol sales after 11 p.m., will be lifted.")</f>
        <v>The governor began easing restrictions on businesses. The limit on indoor gathering increased from 25 to 50 people, while the limit on outdoor gatherings increased from 50 to 100 people. Retail stores, as well as museums and salons, may operate at 100% capacity, while businesses like restaurants and gyms can operate at 75% capacity indoors and 100% capacity outdoors. Bars and movie theaters can operate at 50% capacity and the alcohol curfew, which prohibits alcohol sales after 11 p.m., will be lifted.</v>
      </c>
      <c r="F715" s="1" t="str">
        <f>IFERROR(__xludf.DUMMYFUNCTION("""COMPUTED_VALUE"""),"National Academy for State Health Policy")</f>
        <v>National Academy for State Health Policy</v>
      </c>
      <c r="G715" s="3" t="str">
        <f>IFERROR(__xludf.DUMMYFUNCTION("""COMPUTED_VALUE"""),"https://www.nashp.org/2021-covid-19-state-restrictions-re-openings-and-mask-requirements/")</f>
        <v>https://www.nashp.org/2021-covid-19-state-restrictions-re-openings-and-mask-requirements/</v>
      </c>
      <c r="H715" s="1"/>
      <c r="I715" s="1"/>
    </row>
    <row r="716">
      <c r="A716" s="2">
        <f>IFERROR(__xludf.DUMMYFUNCTION("""COMPUTED_VALUE"""),44316.0)</f>
        <v>44316</v>
      </c>
      <c r="B716" s="1" t="str">
        <f>IFERROR(__xludf.DUMMYFUNCTION("""COMPUTED_VALUE"""),"North Carolina")</f>
        <v>North Carolina</v>
      </c>
      <c r="C716" s="1" t="str">
        <f>IFERROR(__xludf.DUMMYFUNCTION("""COMPUTED_VALUE"""),"State Proclamations ")</f>
        <v>State Proclamations </v>
      </c>
      <c r="D716" s="1" t="str">
        <f>IFERROR(__xludf.DUMMYFUNCTION("""COMPUTED_VALUE"""),"Opening")</f>
        <v>Opening</v>
      </c>
      <c r="E716" s="1" t="str">
        <f>IFERROR(__xludf.DUMMYFUNCTION("""COMPUTED_VALUE"""),"The indoor gathering limit increased to 100 people, and the outdoor gathering limit increased to 200 people.")</f>
        <v>The indoor gathering limit increased to 100 people, and the outdoor gathering limit increased to 200 people.</v>
      </c>
      <c r="F716" s="1" t="str">
        <f>IFERROR(__xludf.DUMMYFUNCTION("""COMPUTED_VALUE"""),"National Academy for State Health Policy")</f>
        <v>National Academy for State Health Policy</v>
      </c>
      <c r="G716" s="3" t="str">
        <f>IFERROR(__xludf.DUMMYFUNCTION("""COMPUTED_VALUE"""),"https://www.nashp.org/2021-covid-19-state-restrictions-re-openings-and-mask-requirements/")</f>
        <v>https://www.nashp.org/2021-covid-19-state-restrictions-re-openings-and-mask-requirements/</v>
      </c>
      <c r="H716" s="1"/>
      <c r="I716" s="1"/>
    </row>
    <row r="717">
      <c r="A717" s="2">
        <f>IFERROR(__xludf.DUMMYFUNCTION("""COMPUTED_VALUE"""),44330.0)</f>
        <v>44330</v>
      </c>
      <c r="B717" s="1" t="str">
        <f>IFERROR(__xludf.DUMMYFUNCTION("""COMPUTED_VALUE"""),"North Carolina")</f>
        <v>North Carolina</v>
      </c>
      <c r="C717" s="1" t="str">
        <f>IFERROR(__xludf.DUMMYFUNCTION("""COMPUTED_VALUE"""),"Mask Mandate")</f>
        <v>Mask Mandate</v>
      </c>
      <c r="D717" s="1" t="str">
        <f>IFERROR(__xludf.DUMMYFUNCTION("""COMPUTED_VALUE"""),"End")</f>
        <v>End</v>
      </c>
      <c r="E717" s="1" t="str">
        <f>IFERROR(__xludf.DUMMYFUNCTION("""COMPUTED_VALUE"""),"Starting on May 14, the state no longer requires people to wear masks in most settings, though there will continue to be an indoor mask mandate on public transportation and in child care, schools, prisons and certain public health settings")</f>
        <v>Starting on May 14, the state no longer requires people to wear masks in most settings, though there will continue to be an indoor mask mandate on public transportation and in child care, schools, prisons and certain public health settings</v>
      </c>
      <c r="F717" s="1" t="str">
        <f>IFERROR(__xludf.DUMMYFUNCTION("""COMPUTED_VALUE"""),"National Academy for State Health Policy")</f>
        <v>National Academy for State Health Policy</v>
      </c>
      <c r="G717" s="3" t="str">
        <f>IFERROR(__xludf.DUMMYFUNCTION("""COMPUTED_VALUE"""),"https://www.nashp.org/2021-covid-19-state-restrictions-re-openings-and-mask-requirements/")</f>
        <v>https://www.nashp.org/2021-covid-19-state-restrictions-re-openings-and-mask-requirements/</v>
      </c>
      <c r="H717" s="1"/>
      <c r="I717" s="1"/>
    </row>
    <row r="718">
      <c r="A718" s="2">
        <f>IFERROR(__xludf.DUMMYFUNCTION("""COMPUTED_VALUE"""),44330.0)</f>
        <v>44330</v>
      </c>
      <c r="B718" s="1" t="str">
        <f>IFERROR(__xludf.DUMMYFUNCTION("""COMPUTED_VALUE"""),"North Carolina")</f>
        <v>North Carolina</v>
      </c>
      <c r="C718" s="1" t="str">
        <f>IFERROR(__xludf.DUMMYFUNCTION("""COMPUTED_VALUE"""),"State Proclamations ")</f>
        <v>State Proclamations </v>
      </c>
      <c r="D718" s="1" t="str">
        <f>IFERROR(__xludf.DUMMYFUNCTION("""COMPUTED_VALUE"""),"Opening")</f>
        <v>Opening</v>
      </c>
      <c r="E718" s="1" t="str">
        <f>IFERROR(__xludf.DUMMYFUNCTION("""COMPUTED_VALUE"""),"The state lifted all mass gathering limits and social distancing requirements.")</f>
        <v>The state lifted all mass gathering limits and social distancing requirements.</v>
      </c>
      <c r="F718" s="1" t="str">
        <f>IFERROR(__xludf.DUMMYFUNCTION("""COMPUTED_VALUE"""),"National Academy for State Health Policy")</f>
        <v>National Academy for State Health Policy</v>
      </c>
      <c r="G718" s="3" t="str">
        <f>IFERROR(__xludf.DUMMYFUNCTION("""COMPUTED_VALUE"""),"https://www.nashp.org/2021-covid-19-state-restrictions-re-openings-and-mask-requirements/")</f>
        <v>https://www.nashp.org/2021-covid-19-state-restrictions-re-openings-and-mask-requirements/</v>
      </c>
      <c r="H718" s="1"/>
      <c r="I718" s="1"/>
    </row>
    <row r="719">
      <c r="A719" s="2">
        <f>IFERROR(__xludf.DUMMYFUNCTION("""COMPUTED_VALUE"""),43903.0)</f>
        <v>43903</v>
      </c>
      <c r="B719" s="1" t="str">
        <f>IFERROR(__xludf.DUMMYFUNCTION("""COMPUTED_VALUE"""),"North Dakota")</f>
        <v>North Dakota</v>
      </c>
      <c r="C719" s="1" t="str">
        <f>IFERROR(__xludf.DUMMYFUNCTION("""COMPUTED_VALUE"""),"State of Emergency")</f>
        <v>State of Emergency</v>
      </c>
      <c r="D719" s="1" t="str">
        <f>IFERROR(__xludf.DUMMYFUNCTION("""COMPUTED_VALUE"""),"Start")</f>
        <v>Start</v>
      </c>
      <c r="E719" s="1" t="str">
        <f>IFERROR(__xludf.DUMMYFUNCTION("""COMPUTED_VALUE"""),"Gov. Doug Burgum declared a state of emergency on March 13, local outlets reported.")</f>
        <v>Gov. Doug Burgum declared a state of emergency on March 13, local outlets reported.</v>
      </c>
      <c r="F719" s="1" t="str">
        <f>IFERROR(__xludf.DUMMYFUNCTION("""COMPUTED_VALUE"""),"Business Insider")</f>
        <v>Business Insider</v>
      </c>
      <c r="G719" s="3" t="str">
        <f>IFERROR(__xludf.DUMMYFUNCTION("""COMPUTED_VALUE"""),"https://www.businessinsider.com/california-washington-state-of-emergency-coronavirus-what-it-means-2020-3#north-dakota-45")</f>
        <v>https://www.businessinsider.com/california-washington-state-of-emergency-coronavirus-what-it-means-2020-3#north-dakota-45</v>
      </c>
      <c r="H719" s="1"/>
      <c r="I719" s="1"/>
    </row>
    <row r="720">
      <c r="A720" s="2">
        <f>IFERROR(__xludf.DUMMYFUNCTION("""COMPUTED_VALUE"""),43952.0)</f>
        <v>43952</v>
      </c>
      <c r="B720" s="1" t="str">
        <f>IFERROR(__xludf.DUMMYFUNCTION("""COMPUTED_VALUE"""),"North Dakota")</f>
        <v>North Dakota</v>
      </c>
      <c r="C720" s="1" t="str">
        <f>IFERROR(__xludf.DUMMYFUNCTION("""COMPUTED_VALUE"""),"State Proclamations ")</f>
        <v>State Proclamations </v>
      </c>
      <c r="D720" s="1" t="str">
        <f>IFERROR(__xludf.DUMMYFUNCTION("""COMPUTED_VALUE"""),"Opening")</f>
        <v>Opening</v>
      </c>
      <c r="E720" s="1" t="str">
        <f>IFERROR(__xludf.DUMMYFUNCTION("""COMPUTED_VALUE"""),"North Dakota never issued a stay-at-home order and instead closed certain businesses. The state has reopened bars and restaurants, recreational facilities, health clubs and athletic facilities, personal care services, movie theaters, and sports and entert"&amp;"ainment venues.")</f>
        <v>North Dakota never issued a stay-at-home order and instead closed certain businesses. The state has reopened bars and restaurants, recreational facilities, health clubs and athletic facilities, personal care services, movie theaters, and sports and entertainment venues.</v>
      </c>
      <c r="F720" s="1" t="str">
        <f>IFERROR(__xludf.DUMMYFUNCTION("""COMPUTED_VALUE"""),"National Academy for State Health Policy")</f>
        <v>National Academy for State Health Policy</v>
      </c>
      <c r="G720" s="3" t="str">
        <f>IFERROR(__xludf.DUMMYFUNCTION("""COMPUTED_VALUE"""),"https://www.nashp.org/2020-state-reopening-chart/")</f>
        <v>https://www.nashp.org/2020-state-reopening-chart/</v>
      </c>
      <c r="H720" s="1"/>
      <c r="I720" s="1"/>
    </row>
    <row r="721">
      <c r="A721" s="2">
        <f>IFERROR(__xludf.DUMMYFUNCTION("""COMPUTED_VALUE"""),43983.0)</f>
        <v>43983</v>
      </c>
      <c r="B721" s="1" t="str">
        <f>IFERROR(__xludf.DUMMYFUNCTION("""COMPUTED_VALUE"""),"North Dakota")</f>
        <v>North Dakota</v>
      </c>
      <c r="C721" s="1" t="str">
        <f>IFERROR(__xludf.DUMMYFUNCTION("""COMPUTED_VALUE"""),"State Proclamations ")</f>
        <v>State Proclamations </v>
      </c>
      <c r="D721" s="1" t="str">
        <f>IFERROR(__xludf.DUMMYFUNCTION("""COMPUTED_VALUE"""),"Opening")</f>
        <v>Opening</v>
      </c>
      <c r="E721" s="1" t="str">
        <f>IFERROR(__xludf.DUMMYFUNCTION("""COMPUTED_VALUE"""),"Summer school classes and certain summer programs could open in school buildings.")</f>
        <v>Summer school classes and certain summer programs could open in school buildings.</v>
      </c>
      <c r="F721" s="1" t="str">
        <f>IFERROR(__xludf.DUMMYFUNCTION("""COMPUTED_VALUE"""),"National Academy for State Health Policy")</f>
        <v>National Academy for State Health Policy</v>
      </c>
      <c r="G721" s="3" t="str">
        <f>IFERROR(__xludf.DUMMYFUNCTION("""COMPUTED_VALUE"""),"https://www.nashp.org/2020-state-reopening-chart/")</f>
        <v>https://www.nashp.org/2020-state-reopening-chart/</v>
      </c>
      <c r="H721" s="1"/>
      <c r="I721" s="1"/>
    </row>
    <row r="722">
      <c r="A722" s="2">
        <f>IFERROR(__xludf.DUMMYFUNCTION("""COMPUTED_VALUE"""),44078.0)</f>
        <v>44078</v>
      </c>
      <c r="B722" s="1" t="str">
        <f>IFERROR(__xludf.DUMMYFUNCTION("""COMPUTED_VALUE"""),"North Dakota")</f>
        <v>North Dakota</v>
      </c>
      <c r="C722" s="1" t="str">
        <f>IFERROR(__xludf.DUMMYFUNCTION("""COMPUTED_VALUE"""),"State Proclamations ")</f>
        <v>State Proclamations </v>
      </c>
      <c r="D722" s="1" t="str">
        <f>IFERROR(__xludf.DUMMYFUNCTION("""COMPUTED_VALUE"""),"Closing")</f>
        <v>Closing</v>
      </c>
      <c r="E722" s="1" t="str">
        <f>IFERROR(__xludf.DUMMYFUNCTION("""COMPUTED_VALUE"""),"The governor reclassified the risk levels for 21 counties. Thirteen of the state's 53 counties moved from the low-risk level to the ""new normal."" Eight counties moved from the low-risk level to the moderate level.")</f>
        <v>The governor reclassified the risk levels for 21 counties. Thirteen of the state's 53 counties moved from the low-risk level to the "new normal." Eight counties moved from the low-risk level to the moderate level.</v>
      </c>
      <c r="F722" s="1" t="str">
        <f>IFERROR(__xludf.DUMMYFUNCTION("""COMPUTED_VALUE"""),"National Academy for State Health Policy")</f>
        <v>National Academy for State Health Policy</v>
      </c>
      <c r="G722" s="3" t="str">
        <f>IFERROR(__xludf.DUMMYFUNCTION("""COMPUTED_VALUE"""),"https://www.nashp.org/2020-state-reopening-chart/")</f>
        <v>https://www.nashp.org/2020-state-reopening-chart/</v>
      </c>
      <c r="H722" s="1"/>
      <c r="I722" s="1"/>
    </row>
    <row r="723">
      <c r="A723" s="2">
        <f>IFERROR(__xludf.DUMMYFUNCTION("""COMPUTED_VALUE"""),44118.0)</f>
        <v>44118</v>
      </c>
      <c r="B723" s="1" t="str">
        <f>IFERROR(__xludf.DUMMYFUNCTION("""COMPUTED_VALUE"""),"North Dakota")</f>
        <v>North Dakota</v>
      </c>
      <c r="C723" s="1" t="str">
        <f>IFERROR(__xludf.DUMMYFUNCTION("""COMPUTED_VALUE"""),"State Proclamations ")</f>
        <v>State Proclamations </v>
      </c>
      <c r="D723" s="1" t="str">
        <f>IFERROR(__xludf.DUMMYFUNCTION("""COMPUTED_VALUE"""),"Closing")</f>
        <v>Closing</v>
      </c>
      <c r="E723" s="1" t="str">
        <f>IFERROR(__xludf.DUMMYFUNCTION("""COMPUTED_VALUE"""),"The governor announced he would move 16 counties into the high-risk category on Oct. 16, 2020 due to a spike in COVID-19 cases. Bars, restaurants, and large venues in high-risk areas are advised to cap capacity at 25% or 50 people in total.")</f>
        <v>The governor announced he would move 16 counties into the high-risk category on Oct. 16, 2020 due to a spike in COVID-19 cases. Bars, restaurants, and large venues in high-risk areas are advised to cap capacity at 25% or 50 people in total.</v>
      </c>
      <c r="F723" s="1" t="str">
        <f>IFERROR(__xludf.DUMMYFUNCTION("""COMPUTED_VALUE"""),"National Academy for State Health Policy")</f>
        <v>National Academy for State Health Policy</v>
      </c>
      <c r="G723" s="3" t="str">
        <f>IFERROR(__xludf.DUMMYFUNCTION("""COMPUTED_VALUE"""),"https://www.nashp.org/2020-state-reopening-chart/")</f>
        <v>https://www.nashp.org/2020-state-reopening-chart/</v>
      </c>
      <c r="H723" s="1"/>
      <c r="I723" s="1"/>
    </row>
    <row r="724">
      <c r="A724" s="2">
        <f>IFERROR(__xludf.DUMMYFUNCTION("""COMPUTED_VALUE"""),44133.0)</f>
        <v>44133</v>
      </c>
      <c r="B724" s="1" t="str">
        <f>IFERROR(__xludf.DUMMYFUNCTION("""COMPUTED_VALUE"""),"North Dakota")</f>
        <v>North Dakota</v>
      </c>
      <c r="C724" s="1" t="str">
        <f>IFERROR(__xludf.DUMMYFUNCTION("""COMPUTED_VALUE"""),"State Proclamations ")</f>
        <v>State Proclamations </v>
      </c>
      <c r="D724" s="1" t="str">
        <f>IFERROR(__xludf.DUMMYFUNCTION("""COMPUTED_VALUE"""),"Closing")</f>
        <v>Closing</v>
      </c>
      <c r="E724" s="1" t="str">
        <f>IFERROR(__xludf.DUMMYFUNCTION("""COMPUTED_VALUE"""),"The governor added eight counties to the ""high risk"" category.")</f>
        <v>The governor added eight counties to the "high risk" category.</v>
      </c>
      <c r="F724" s="1" t="str">
        <f>IFERROR(__xludf.DUMMYFUNCTION("""COMPUTED_VALUE"""),"National Academy for State Health Policy")</f>
        <v>National Academy for State Health Policy</v>
      </c>
      <c r="G724" s="3" t="str">
        <f>IFERROR(__xludf.DUMMYFUNCTION("""COMPUTED_VALUE"""),"https://www.nashp.org/2020-state-reopening-chart/")</f>
        <v>https://www.nashp.org/2020-state-reopening-chart/</v>
      </c>
      <c r="H724" s="1"/>
      <c r="I724" s="1"/>
    </row>
    <row r="725">
      <c r="A725" s="2">
        <f>IFERROR(__xludf.DUMMYFUNCTION("""COMPUTED_VALUE"""),44149.0)</f>
        <v>44149</v>
      </c>
      <c r="B725" s="1" t="str">
        <f>IFERROR(__xludf.DUMMYFUNCTION("""COMPUTED_VALUE"""),"North Dakota")</f>
        <v>North Dakota</v>
      </c>
      <c r="C725" s="1" t="str">
        <f>IFERROR(__xludf.DUMMYFUNCTION("""COMPUTED_VALUE"""),"Mask Mandate")</f>
        <v>Mask Mandate</v>
      </c>
      <c r="D725" s="1" t="str">
        <f>IFERROR(__xludf.DUMMYFUNCTION("""COMPUTED_VALUE"""),"Start")</f>
        <v>Start</v>
      </c>
      <c r="E725" s="1" t="str">
        <f>IFERROR(__xludf.DUMMYFUNCTION("""COMPUTED_VALUE"""),"Everywhere in public where social distancing isn't possible")</f>
        <v>Everywhere in public where social distancing isn't possible</v>
      </c>
      <c r="F725" s="1" t="str">
        <f>IFERROR(__xludf.DUMMYFUNCTION("""COMPUTED_VALUE"""),"Masks4All")</f>
        <v>Masks4All</v>
      </c>
      <c r="G725" s="3" t="str">
        <f>IFERROR(__xludf.DUMMYFUNCTION("""COMPUTED_VALUE"""),"https://masks4all.co/what-states-require-masks/")</f>
        <v>https://masks4all.co/what-states-require-masks/</v>
      </c>
      <c r="H725" s="1"/>
      <c r="I725" s="1"/>
    </row>
    <row r="726">
      <c r="A726" s="2">
        <f>IFERROR(__xludf.DUMMYFUNCTION("""COMPUTED_VALUE"""),44149.0)</f>
        <v>44149</v>
      </c>
      <c r="B726" s="1" t="str">
        <f>IFERROR(__xludf.DUMMYFUNCTION("""COMPUTED_VALUE"""),"North Dakota")</f>
        <v>North Dakota</v>
      </c>
      <c r="C726" s="1" t="str">
        <f>IFERROR(__xludf.DUMMYFUNCTION("""COMPUTED_VALUE"""),"State Proclamations ")</f>
        <v>State Proclamations </v>
      </c>
      <c r="D726" s="1" t="str">
        <f>IFERROR(__xludf.DUMMYFUNCTION("""COMPUTED_VALUE"""),"Closing")</f>
        <v>Closing</v>
      </c>
      <c r="E726" s="1" t="str">
        <f>IFERROR(__xludf.DUMMYFUNCTION("""COMPUTED_VALUE"""),"All bars and restaurants must limit capacity to 50% and close all in-person service between 10 pm and 4 am. Large-scale venues are limited to 25% of capacity.")</f>
        <v>All bars and restaurants must limit capacity to 50% and close all in-person service between 10 pm and 4 am. Large-scale venues are limited to 25% of capacity.</v>
      </c>
      <c r="F726" s="1" t="str">
        <f>IFERROR(__xludf.DUMMYFUNCTION("""COMPUTED_VALUE"""),"National Academy for State Health Policy")</f>
        <v>National Academy for State Health Policy</v>
      </c>
      <c r="G726" s="3" t="str">
        <f>IFERROR(__xludf.DUMMYFUNCTION("""COMPUTED_VALUE"""),"https://www.nashp.org/2020-state-reopening-chart/")</f>
        <v>https://www.nashp.org/2020-state-reopening-chart/</v>
      </c>
      <c r="H726" s="1"/>
      <c r="I726" s="1"/>
    </row>
    <row r="727">
      <c r="A727" s="2">
        <f>IFERROR(__xludf.DUMMYFUNCTION("""COMPUTED_VALUE"""),44174.0)</f>
        <v>44174</v>
      </c>
      <c r="B727" s="1" t="str">
        <f>IFERROR(__xludf.DUMMYFUNCTION("""COMPUTED_VALUE"""),"North Dakota")</f>
        <v>North Dakota</v>
      </c>
      <c r="C727" s="1" t="str">
        <f>IFERROR(__xludf.DUMMYFUNCTION("""COMPUTED_VALUE"""),"State Proclamations ")</f>
        <v>State Proclamations </v>
      </c>
      <c r="D727" s="1" t="str">
        <f>IFERROR(__xludf.DUMMYFUNCTION("""COMPUTED_VALUE"""),"Closing")</f>
        <v>Closing</v>
      </c>
      <c r="E727" s="1" t="str">
        <f>IFERROR(__xludf.DUMMYFUNCTION("""COMPUTED_VALUE"""),"The governor extended COVID-19 restrictions through Jan. 8, 2021.")</f>
        <v>The governor extended COVID-19 restrictions through Jan. 8, 2021.</v>
      </c>
      <c r="F727" s="1" t="str">
        <f>IFERROR(__xludf.DUMMYFUNCTION("""COMPUTED_VALUE"""),"National Academy for State Health Policy")</f>
        <v>National Academy for State Health Policy</v>
      </c>
      <c r="G727" s="3" t="str">
        <f>IFERROR(__xludf.DUMMYFUNCTION("""COMPUTED_VALUE"""),"https://www.nashp.org/2020-state-reopening-chart/")</f>
        <v>https://www.nashp.org/2020-state-reopening-chart/</v>
      </c>
      <c r="H727" s="1"/>
      <c r="I727" s="1"/>
    </row>
    <row r="728">
      <c r="A728" s="2">
        <f>IFERROR(__xludf.DUMMYFUNCTION("""COMPUTED_VALUE"""),44186.0)</f>
        <v>44186</v>
      </c>
      <c r="B728" s="1" t="str">
        <f>IFERROR(__xludf.DUMMYFUNCTION("""COMPUTED_VALUE"""),"North Dakota")</f>
        <v>North Dakota</v>
      </c>
      <c r="C728" s="1" t="str">
        <f>IFERROR(__xludf.DUMMYFUNCTION("""COMPUTED_VALUE"""),"State Proclamations ")</f>
        <v>State Proclamations </v>
      </c>
      <c r="D728" s="1" t="str">
        <f>IFERROR(__xludf.DUMMYFUNCTION("""COMPUTED_VALUE"""),"Opening")</f>
        <v>Opening</v>
      </c>
      <c r="E728" s="1" t="str">
        <f>IFERROR(__xludf.DUMMYFUNCTION("""COMPUTED_VALUE"""),"The governor announced he was ending the statewide 10 pm curfew on in-person service at bars and restaurants.")</f>
        <v>The governor announced he was ending the statewide 10 pm curfew on in-person service at bars and restaurants.</v>
      </c>
      <c r="F728" s="1" t="str">
        <f>IFERROR(__xludf.DUMMYFUNCTION("""COMPUTED_VALUE"""),"National Academy for State Health Policy")</f>
        <v>National Academy for State Health Policy</v>
      </c>
      <c r="G728" s="3" t="str">
        <f>IFERROR(__xludf.DUMMYFUNCTION("""COMPUTED_VALUE"""),"https://www.nashp.org/2020-state-reopening-chart/")</f>
        <v>https://www.nashp.org/2020-state-reopening-chart/</v>
      </c>
      <c r="H728" s="1"/>
      <c r="I728" s="1"/>
    </row>
    <row r="729">
      <c r="A729" s="2">
        <f>IFERROR(__xludf.DUMMYFUNCTION("""COMPUTED_VALUE"""),44204.0)</f>
        <v>44204</v>
      </c>
      <c r="B729" s="1" t="str">
        <f>IFERROR(__xludf.DUMMYFUNCTION("""COMPUTED_VALUE"""),"North Dakota")</f>
        <v>North Dakota</v>
      </c>
      <c r="C729" s="1" t="str">
        <f>IFERROR(__xludf.DUMMYFUNCTION("""COMPUTED_VALUE"""),"State Proclamations ")</f>
        <v>State Proclamations </v>
      </c>
      <c r="D729" s="1" t="str">
        <f>IFERROR(__xludf.DUMMYFUNCTION("""COMPUTED_VALUE"""),"Opening")</f>
        <v>Opening</v>
      </c>
      <c r="E729" s="1" t="str">
        <f>IFERROR(__xludf.DUMMYFUNCTION("""COMPUTED_VALUE"""),"Gov. Doug Burgum shifted the state’s COVID-19 risk designation from high to moderate, allowing bars and restaurants to operate at up to 65% of their normal capacity with a total limit of 200 patrons, and event venues to operate at 50% capacity.")</f>
        <v>Gov. Doug Burgum shifted the state’s COVID-19 risk designation from high to moderate, allowing bars and restaurants to operate at up to 65% of their normal capacity with a total limit of 200 patrons, and event venues to operate at 50% capacity.</v>
      </c>
      <c r="F729" s="1" t="str">
        <f>IFERROR(__xludf.DUMMYFUNCTION("""COMPUTED_VALUE"""),"National Academy for State Health Policy")</f>
        <v>National Academy for State Health Policy</v>
      </c>
      <c r="G729" s="3" t="str">
        <f>IFERROR(__xludf.DUMMYFUNCTION("""COMPUTED_VALUE"""),"https://www.nashp.org/2021-covid-19-state-restrictions-re-openings-and-mask-requirements/")</f>
        <v>https://www.nashp.org/2021-covid-19-state-restrictions-re-openings-and-mask-requirements/</v>
      </c>
      <c r="H729" s="1"/>
      <c r="I729" s="1"/>
    </row>
    <row r="730">
      <c r="A730" s="2">
        <f>IFERROR(__xludf.DUMMYFUNCTION("""COMPUTED_VALUE"""),44214.0)</f>
        <v>44214</v>
      </c>
      <c r="B730" s="1" t="str">
        <f>IFERROR(__xludf.DUMMYFUNCTION("""COMPUTED_VALUE"""),"North Dakota")</f>
        <v>North Dakota</v>
      </c>
      <c r="C730" s="1" t="str">
        <f>IFERROR(__xludf.DUMMYFUNCTION("""COMPUTED_VALUE"""),"Mask Mandate")</f>
        <v>Mask Mandate</v>
      </c>
      <c r="D730" s="1" t="str">
        <f>IFERROR(__xludf.DUMMYFUNCTION("""COMPUTED_VALUE"""),"End")</f>
        <v>End</v>
      </c>
      <c r="E730" s="1" t="str">
        <f>IFERROR(__xludf.DUMMYFUNCTION("""COMPUTED_VALUE"""),"A mask mandate expired on Jan. 18")</f>
        <v>A mask mandate expired on Jan. 18</v>
      </c>
      <c r="F730" s="1" t="str">
        <f>IFERROR(__xludf.DUMMYFUNCTION("""COMPUTED_VALUE"""),"National Academy for State Health Policy")</f>
        <v>National Academy for State Health Policy</v>
      </c>
      <c r="G730" s="3" t="str">
        <f>IFERROR(__xludf.DUMMYFUNCTION("""COMPUTED_VALUE"""),"https://www.nashp.org/2021-covid-19-state-restrictions-re-openings-and-mask-requirements/")</f>
        <v>https://www.nashp.org/2021-covid-19-state-restrictions-re-openings-and-mask-requirements/</v>
      </c>
      <c r="H730" s="1"/>
      <c r="I730" s="1"/>
    </row>
    <row r="731">
      <c r="A731" s="2">
        <f>IFERROR(__xludf.DUMMYFUNCTION("""COMPUTED_VALUE"""),44225.0)</f>
        <v>44225</v>
      </c>
      <c r="B731" s="1" t="str">
        <f>IFERROR(__xludf.DUMMYFUNCTION("""COMPUTED_VALUE"""),"North Dakota")</f>
        <v>North Dakota</v>
      </c>
      <c r="C731" s="1" t="str">
        <f>IFERROR(__xludf.DUMMYFUNCTION("""COMPUTED_VALUE"""),"State Proclamations ")</f>
        <v>State Proclamations </v>
      </c>
      <c r="D731" s="1" t="str">
        <f>IFERROR(__xludf.DUMMYFUNCTION("""COMPUTED_VALUE"""),"Opening")</f>
        <v>Opening</v>
      </c>
      <c r="E731" s="1" t="str">
        <f>IFERROR(__xludf.DUMMYFUNCTION("""COMPUTED_VALUE"""),"The state moved into the “green,” or low-risk level. All counties were previously in the “yellow,” or moderate, category. The “green” category increases the capacity limits on bars, restaurants, and event venues.")</f>
        <v>The state moved into the “green,” or low-risk level. All counties were previously in the “yellow,” or moderate, category. The “green” category increases the capacity limits on bars, restaurants, and event venues.</v>
      </c>
      <c r="F731" s="1" t="str">
        <f>IFERROR(__xludf.DUMMYFUNCTION("""COMPUTED_VALUE"""),"National Academy for State Health Policy")</f>
        <v>National Academy for State Health Policy</v>
      </c>
      <c r="G731" s="3" t="str">
        <f>IFERROR(__xludf.DUMMYFUNCTION("""COMPUTED_VALUE"""),"https://www.nashp.org/2021-covid-19-state-restrictions-re-openings-and-mask-requirements/")</f>
        <v>https://www.nashp.org/2021-covid-19-state-restrictions-re-openings-and-mask-requirements/</v>
      </c>
      <c r="H731" s="1"/>
      <c r="I731" s="1"/>
    </row>
    <row r="732">
      <c r="A732" s="2">
        <f>IFERROR(__xludf.DUMMYFUNCTION("""COMPUTED_VALUE"""),44249.0)</f>
        <v>44249</v>
      </c>
      <c r="B732" s="1" t="str">
        <f>IFERROR(__xludf.DUMMYFUNCTION("""COMPUTED_VALUE"""),"North Dakota")</f>
        <v>North Dakota</v>
      </c>
      <c r="C732" s="1" t="str">
        <f>IFERROR(__xludf.DUMMYFUNCTION("""COMPUTED_VALUE"""),"State Proclamations ")</f>
        <v>State Proclamations </v>
      </c>
      <c r="D732" s="1" t="str">
        <f>IFERROR(__xludf.DUMMYFUNCTION("""COMPUTED_VALUE"""),"Opening")</f>
        <v>Opening</v>
      </c>
      <c r="E732" s="1" t="str">
        <f>IFERROR(__xludf.DUMMYFUNCTION("""COMPUTED_VALUE"""),"The governor ended several coronavirus executive orders issued between March 25, 2020, and July 29, 2020. the orders suspended the eligibility requirements for funeral directors applying for workers compensation and allowed state agencies to transfer surp"&amp;"lus property, such as medical supplies and personal protective equipment, to other agencies. Additionally, the state house passed a bill that would prohibit state and local officials from mandating masks.")</f>
        <v>The governor ended several coronavirus executive orders issued between March 25, 2020, and July 29, 2020. the orders suspended the eligibility requirements for funeral directors applying for workers compensation and allowed state agencies to transfer surplus property, such as medical supplies and personal protective equipment, to other agencies. Additionally, the state house passed a bill that would prohibit state and local officials from mandating masks.</v>
      </c>
      <c r="F732" s="1" t="str">
        <f>IFERROR(__xludf.DUMMYFUNCTION("""COMPUTED_VALUE"""),"National Academy for State Health Policy")</f>
        <v>National Academy for State Health Policy</v>
      </c>
      <c r="G732" s="3" t="str">
        <f>IFERROR(__xludf.DUMMYFUNCTION("""COMPUTED_VALUE"""),"https://www.nashp.org/2021-covid-19-state-restrictions-re-openings-and-mask-requirements/")</f>
        <v>https://www.nashp.org/2021-covid-19-state-restrictions-re-openings-and-mask-requirements/</v>
      </c>
      <c r="H732" s="1"/>
      <c r="I732" s="1"/>
    </row>
    <row r="733">
      <c r="A733" s="2">
        <f>IFERROR(__xludf.DUMMYFUNCTION("""COMPUTED_VALUE"""),44293.0)</f>
        <v>44293</v>
      </c>
      <c r="B733" s="1" t="str">
        <f>IFERROR(__xludf.DUMMYFUNCTION("""COMPUTED_VALUE"""),"North Dakota")</f>
        <v>North Dakota</v>
      </c>
      <c r="C733" s="1" t="str">
        <f>IFERROR(__xludf.DUMMYFUNCTION("""COMPUTED_VALUE"""),"State Proclamations ")</f>
        <v>State Proclamations </v>
      </c>
      <c r="D733" s="1" t="str">
        <f>IFERROR(__xludf.DUMMYFUNCTION("""COMPUTED_VALUE"""),"Opening")</f>
        <v>Opening</v>
      </c>
      <c r="E733" s="1" t="str">
        <f>IFERROR(__xludf.DUMMYFUNCTION("""COMPUTED_VALUE"""),"The state Senate voted to pass a bill which would prohibit statewide mask mandates, adding an amendment allowing local governments, businesses, and schools to require masks.")</f>
        <v>The state Senate voted to pass a bill which would prohibit statewide mask mandates, adding an amendment allowing local governments, businesses, and schools to require masks.</v>
      </c>
      <c r="F733" s="1" t="str">
        <f>IFERROR(__xludf.DUMMYFUNCTION("""COMPUTED_VALUE"""),"National Academy for State Health Policy")</f>
        <v>National Academy for State Health Policy</v>
      </c>
      <c r="G733" s="3" t="str">
        <f>IFERROR(__xludf.DUMMYFUNCTION("""COMPUTED_VALUE"""),"https://www.nashp.org/2021-covid-19-state-restrictions-re-openings-and-mask-requirements/")</f>
        <v>https://www.nashp.org/2021-covid-19-state-restrictions-re-openings-and-mask-requirements/</v>
      </c>
      <c r="H733" s="1"/>
      <c r="I733" s="1"/>
    </row>
    <row r="734">
      <c r="A734" s="2">
        <f>IFERROR(__xludf.DUMMYFUNCTION("""COMPUTED_VALUE"""),44316.0)</f>
        <v>44316</v>
      </c>
      <c r="B734" s="1" t="str">
        <f>IFERROR(__xludf.DUMMYFUNCTION("""COMPUTED_VALUE"""),"North Dakota")</f>
        <v>North Dakota</v>
      </c>
      <c r="C734" s="1" t="str">
        <f>IFERROR(__xludf.DUMMYFUNCTION("""COMPUTED_VALUE"""),"State of Emergency")</f>
        <v>State of Emergency</v>
      </c>
      <c r="D734" s="1" t="str">
        <f>IFERROR(__xludf.DUMMYFUNCTION("""COMPUTED_VALUE"""),"End")</f>
        <v>End</v>
      </c>
      <c r="E734" s="1" t="str">
        <f>IFERROR(__xludf.DUMMYFUNCTION("""COMPUTED_VALUE"""),"State of Emergency lifted April 30, 2021")</f>
        <v>State of Emergency lifted April 30, 2021</v>
      </c>
      <c r="F734" s="1" t="str">
        <f>IFERROR(__xludf.DUMMYFUNCTION("""COMPUTED_VALUE"""),"National Academy for State Health Policy")</f>
        <v>National Academy for State Health Policy</v>
      </c>
      <c r="G734" s="3" t="str">
        <f>IFERROR(__xludf.DUMMYFUNCTION("""COMPUTED_VALUE"""),"https://www.nashp.org/2021-covid-19-state-restrictions-re-openings-and-mask-requirements/")</f>
        <v>https://www.nashp.org/2021-covid-19-state-restrictions-re-openings-and-mask-requirements/</v>
      </c>
      <c r="H734" s="1"/>
      <c r="I734" s="1"/>
    </row>
    <row r="735">
      <c r="A735" s="2">
        <f>IFERROR(__xludf.DUMMYFUNCTION("""COMPUTED_VALUE"""),44316.0)</f>
        <v>44316</v>
      </c>
      <c r="B735" s="1" t="str">
        <f>IFERROR(__xludf.DUMMYFUNCTION("""COMPUTED_VALUE"""),"North Dakota")</f>
        <v>North Dakota</v>
      </c>
      <c r="C735" s="1" t="str">
        <f>IFERROR(__xludf.DUMMYFUNCTION("""COMPUTED_VALUE"""),"State Proclamations ")</f>
        <v>State Proclamations </v>
      </c>
      <c r="D735" s="1" t="str">
        <f>IFERROR(__xludf.DUMMYFUNCTION("""COMPUTED_VALUE"""),"Opening")</f>
        <v>Opening</v>
      </c>
      <c r="E735" s="1" t="str">
        <f>IFERROR(__xludf.DUMMYFUNCTION("""COMPUTED_VALUE"""),"All COVID related executive orders end.")</f>
        <v>All COVID related executive orders end.</v>
      </c>
      <c r="F735" s="1" t="str">
        <f>IFERROR(__xludf.DUMMYFUNCTION("""COMPUTED_VALUE"""),"National Academy for State Health Policy")</f>
        <v>National Academy for State Health Policy</v>
      </c>
      <c r="G735" s="3" t="str">
        <f>IFERROR(__xludf.DUMMYFUNCTION("""COMPUTED_VALUE"""),"https://www.nashp.org/2021-covid-19-state-restrictions-re-openings-and-mask-requirements/")</f>
        <v>https://www.nashp.org/2021-covid-19-state-restrictions-re-openings-and-mask-requirements/</v>
      </c>
      <c r="H735" s="1"/>
      <c r="I735" s="1"/>
    </row>
    <row r="736">
      <c r="A736" s="2">
        <f>IFERROR(__xludf.DUMMYFUNCTION("""COMPUTED_VALUE"""),43899.0)</f>
        <v>43899</v>
      </c>
      <c r="B736" s="1" t="str">
        <f>IFERROR(__xludf.DUMMYFUNCTION("""COMPUTED_VALUE"""),"Ohio")</f>
        <v>Ohio</v>
      </c>
      <c r="C736" s="1" t="str">
        <f>IFERROR(__xludf.DUMMYFUNCTION("""COMPUTED_VALUE"""),"State of Emergency")</f>
        <v>State of Emergency</v>
      </c>
      <c r="D736" s="1" t="str">
        <f>IFERROR(__xludf.DUMMYFUNCTION("""COMPUTED_VALUE"""),"Start")</f>
        <v>Start</v>
      </c>
      <c r="E736" s="1" t="str">
        <f>IFERROR(__xludf.DUMMYFUNCTION("""COMPUTED_VALUE"""),"Gov. Mike DeWine signed a state of emergency on March 9.")</f>
        <v>Gov. Mike DeWine signed a state of emergency on March 9.</v>
      </c>
      <c r="F736" s="1" t="str">
        <f>IFERROR(__xludf.DUMMYFUNCTION("""COMPUTED_VALUE"""),"Business Insider")</f>
        <v>Business Insider</v>
      </c>
      <c r="G736" s="3" t="str">
        <f>IFERROR(__xludf.DUMMYFUNCTION("""COMPUTED_VALUE"""),"https://www.businessinsider.com/california-washington-state-of-emergency-coronavirus-what-it-means-2020-3#ohio-13")</f>
        <v>https://www.businessinsider.com/california-washington-state-of-emergency-coronavirus-what-it-means-2020-3#ohio-13</v>
      </c>
      <c r="H736" s="1"/>
      <c r="I736" s="1"/>
    </row>
    <row r="737">
      <c r="A737" s="2">
        <f>IFERROR(__xludf.DUMMYFUNCTION("""COMPUTED_VALUE"""),43913.0)</f>
        <v>43913</v>
      </c>
      <c r="B737" s="1" t="str">
        <f>IFERROR(__xludf.DUMMYFUNCTION("""COMPUTED_VALUE"""),"Ohio")</f>
        <v>Ohio</v>
      </c>
      <c r="C737" s="1" t="str">
        <f>IFERROR(__xludf.DUMMYFUNCTION("""COMPUTED_VALUE"""),"Stay-at-Home Order")</f>
        <v>Stay-at-Home Order</v>
      </c>
      <c r="D737" s="1" t="str">
        <f>IFERROR(__xludf.DUMMYFUNCTION("""COMPUTED_VALUE"""),"Start")</f>
        <v>Start</v>
      </c>
      <c r="E737" s="1" t="str">
        <f>IFERROR(__xludf.DUMMYFUNCTION("""COMPUTED_VALUE"""),"Original stay-at-home order begins")</f>
        <v>Original stay-at-home order begins</v>
      </c>
      <c r="F737" s="1" t="str">
        <f>IFERROR(__xludf.DUMMYFUNCTION("""COMPUTED_VALUE"""),"National Academy for State Health Policy")</f>
        <v>National Academy for State Health Policy</v>
      </c>
      <c r="G737" s="3" t="str">
        <f>IFERROR(__xludf.DUMMYFUNCTION("""COMPUTED_VALUE"""),"https://www.nashp.org/2020-state-reopening-chart/")</f>
        <v>https://www.nashp.org/2020-state-reopening-chart/</v>
      </c>
      <c r="H737" s="1"/>
      <c r="I737" s="1"/>
    </row>
    <row r="738">
      <c r="A738" s="2">
        <f>IFERROR(__xludf.DUMMYFUNCTION("""COMPUTED_VALUE"""),43952.0)</f>
        <v>43952</v>
      </c>
      <c r="B738" s="1" t="str">
        <f>IFERROR(__xludf.DUMMYFUNCTION("""COMPUTED_VALUE"""),"Ohio")</f>
        <v>Ohio</v>
      </c>
      <c r="C738" s="1" t="str">
        <f>IFERROR(__xludf.DUMMYFUNCTION("""COMPUTED_VALUE"""),"State Proclamations ")</f>
        <v>State Proclamations </v>
      </c>
      <c r="D738" s="1" t="str">
        <f>IFERROR(__xludf.DUMMYFUNCTION("""COMPUTED_VALUE"""),"Opening")</f>
        <v>Opening</v>
      </c>
      <c r="E738" s="1" t="str">
        <f>IFERROR(__xludf.DUMMYFUNCTION("""COMPUTED_VALUE"""),"Ohio has reopened retail stores, restaurant dining, bars, personal care services, houses of worship, movie theaters, casinos, gyms, pools, sports leagues, and bowling alleys. Nonessential medical procedures resumed May 1.")</f>
        <v>Ohio has reopened retail stores, restaurant dining, bars, personal care services, houses of worship, movie theaters, casinos, gyms, pools, sports leagues, and bowling alleys. Nonessential medical procedures resumed May 1.</v>
      </c>
      <c r="F738" s="1" t="str">
        <f>IFERROR(__xludf.DUMMYFUNCTION("""COMPUTED_VALUE"""),"National Academy for State Health Policy")</f>
        <v>National Academy for State Health Policy</v>
      </c>
      <c r="G738" s="3" t="str">
        <f>IFERROR(__xludf.DUMMYFUNCTION("""COMPUTED_VALUE"""),"https://www.nashp.org/2020-state-reopening-chart/")</f>
        <v>https://www.nashp.org/2020-state-reopening-chart/</v>
      </c>
      <c r="H738" s="1"/>
      <c r="I738" s="1"/>
    </row>
    <row r="739">
      <c r="A739" s="2">
        <f>IFERROR(__xludf.DUMMYFUNCTION("""COMPUTED_VALUE"""),43980.0)</f>
        <v>43980</v>
      </c>
      <c r="B739" s="1" t="str">
        <f>IFERROR(__xludf.DUMMYFUNCTION("""COMPUTED_VALUE"""),"Ohio")</f>
        <v>Ohio</v>
      </c>
      <c r="C739" s="1" t="str">
        <f>IFERROR(__xludf.DUMMYFUNCTION("""COMPUTED_VALUE"""),"Stay-at-Home Order")</f>
        <v>Stay-at-Home Order</v>
      </c>
      <c r="D739" s="1" t="str">
        <f>IFERROR(__xludf.DUMMYFUNCTION("""COMPUTED_VALUE"""),"End")</f>
        <v>End</v>
      </c>
      <c r="E739" s="1" t="str">
        <f>IFERROR(__xludf.DUMMYFUNCTION("""COMPUTED_VALUE"""),"Original stay-at-home order ends")</f>
        <v>Original stay-at-home order ends</v>
      </c>
      <c r="F739" s="1" t="str">
        <f>IFERROR(__xludf.DUMMYFUNCTION("""COMPUTED_VALUE"""),"National Academy for State Health Policy")</f>
        <v>National Academy for State Health Policy</v>
      </c>
      <c r="G739" s="3" t="str">
        <f>IFERROR(__xludf.DUMMYFUNCTION("""COMPUTED_VALUE"""),"https://www.nashp.org/2020-state-reopening-chart/")</f>
        <v>https://www.nashp.org/2020-state-reopening-chart/</v>
      </c>
      <c r="H739" s="1"/>
      <c r="I739" s="1"/>
    </row>
    <row r="740">
      <c r="A740" s="2">
        <f>IFERROR(__xludf.DUMMYFUNCTION("""COMPUTED_VALUE"""),43983.0)</f>
        <v>43983</v>
      </c>
      <c r="B740" s="1" t="str">
        <f>IFERROR(__xludf.DUMMYFUNCTION("""COMPUTED_VALUE"""),"Ohio")</f>
        <v>Ohio</v>
      </c>
      <c r="C740" s="1" t="str">
        <f>IFERROR(__xludf.DUMMYFUNCTION("""COMPUTED_VALUE"""),"State Proclamations ")</f>
        <v>State Proclamations </v>
      </c>
      <c r="D740" s="1" t="str">
        <f>IFERROR(__xludf.DUMMYFUNCTION("""COMPUTED_VALUE"""),"Opening")</f>
        <v>Opening</v>
      </c>
      <c r="E740" s="1" t="str">
        <f>IFERROR(__xludf.DUMMYFUNCTION("""COMPUTED_VALUE"""),"Catering and banquet centers reopened with a capacity limit of 300 people and with similar guidelines for restaurants")</f>
        <v>Catering and banquet centers reopened with a capacity limit of 300 people and with similar guidelines for restaurants</v>
      </c>
      <c r="F740" s="1" t="str">
        <f>IFERROR(__xludf.DUMMYFUNCTION("""COMPUTED_VALUE"""),"National Academy for State Health Policy")</f>
        <v>National Academy for State Health Policy</v>
      </c>
      <c r="G740" s="3" t="str">
        <f>IFERROR(__xludf.DUMMYFUNCTION("""COMPUTED_VALUE"""),"https://www.nashp.org/2020-state-reopening-chart/")</f>
        <v>https://www.nashp.org/2020-state-reopening-chart/</v>
      </c>
      <c r="H740" s="1"/>
      <c r="I740" s="1"/>
    </row>
    <row r="741">
      <c r="A741" s="2">
        <f>IFERROR(__xludf.DUMMYFUNCTION("""COMPUTED_VALUE"""),43992.0)</f>
        <v>43992</v>
      </c>
      <c r="B741" s="1" t="str">
        <f>IFERROR(__xludf.DUMMYFUNCTION("""COMPUTED_VALUE"""),"Ohio")</f>
        <v>Ohio</v>
      </c>
      <c r="C741" s="1" t="str">
        <f>IFERROR(__xludf.DUMMYFUNCTION("""COMPUTED_VALUE"""),"State Proclamations ")</f>
        <v>State Proclamations </v>
      </c>
      <c r="D741" s="1" t="str">
        <f>IFERROR(__xludf.DUMMYFUNCTION("""COMPUTED_VALUE"""),"Opening")</f>
        <v>Opening</v>
      </c>
      <c r="E741" s="1" t="str">
        <f>IFERROR(__xludf.DUMMYFUNCTION("""COMPUTED_VALUE"""),"Entertainment spaces reopened with additional guidelines. Aquariums, art galleries, country clubs, ice skating rinks, indoor family entertainment centers, indoor sports facilities, laser tag facilities, movie theaters, museums, playgrounds, public recreat"&amp;"ion centers, roller skating rinks, social clubs, trampoline parks and zoos are permitted to open.")</f>
        <v>Entertainment spaces reopened with additional guidelines. Aquariums, art galleries, country clubs, ice skating rinks, indoor family entertainment centers, indoor sports facilities, laser tag facilities, movie theaters, museums, playgrounds, public recreation centers, roller skating rinks, social clubs, trampoline parks and zoos are permitted to open.</v>
      </c>
      <c r="F741" s="1" t="str">
        <f>IFERROR(__xludf.DUMMYFUNCTION("""COMPUTED_VALUE"""),"National Academy for State Health Policy")</f>
        <v>National Academy for State Health Policy</v>
      </c>
      <c r="G741" s="3" t="str">
        <f>IFERROR(__xludf.DUMMYFUNCTION("""COMPUTED_VALUE"""),"https://www.nashp.org/2020-state-reopening-chart/")</f>
        <v>https://www.nashp.org/2020-state-reopening-chart/</v>
      </c>
      <c r="H741" s="1"/>
      <c r="I741" s="1"/>
    </row>
    <row r="742">
      <c r="A742" s="2">
        <f>IFERROR(__xludf.DUMMYFUNCTION("""COMPUTED_VALUE"""),44001.0)</f>
        <v>44001</v>
      </c>
      <c r="B742" s="1" t="str">
        <f>IFERROR(__xludf.DUMMYFUNCTION("""COMPUTED_VALUE"""),"Ohio")</f>
        <v>Ohio</v>
      </c>
      <c r="C742" s="1" t="str">
        <f>IFERROR(__xludf.DUMMYFUNCTION("""COMPUTED_VALUE"""),"State Proclamations ")</f>
        <v>State Proclamations </v>
      </c>
      <c r="D742" s="1" t="str">
        <f>IFERROR(__xludf.DUMMYFUNCTION("""COMPUTED_VALUE"""),"Opening")</f>
        <v>Opening</v>
      </c>
      <c r="E742" s="1" t="str">
        <f>IFERROR(__xludf.DUMMYFUNCTION("""COMPUTED_VALUE"""),"Casinos, amusement parks and water parks were allowed to reopen with additional guidelines")</f>
        <v>Casinos, amusement parks and water parks were allowed to reopen with additional guidelines</v>
      </c>
      <c r="F742" s="1" t="str">
        <f>IFERROR(__xludf.DUMMYFUNCTION("""COMPUTED_VALUE"""),"National Academy for State Health Policy")</f>
        <v>National Academy for State Health Policy</v>
      </c>
      <c r="G742" s="3" t="str">
        <f>IFERROR(__xludf.DUMMYFUNCTION("""COMPUTED_VALUE"""),"https://www.nashp.org/2020-state-reopening-chart/")</f>
        <v>https://www.nashp.org/2020-state-reopening-chart/</v>
      </c>
      <c r="H742" s="1"/>
      <c r="I742" s="1"/>
    </row>
    <row r="743">
      <c r="A743" s="2">
        <f>IFERROR(__xludf.DUMMYFUNCTION("""COMPUTED_VALUE"""),44035.0)</f>
        <v>44035</v>
      </c>
      <c r="B743" s="1" t="str">
        <f>IFERROR(__xludf.DUMMYFUNCTION("""COMPUTED_VALUE"""),"Ohio")</f>
        <v>Ohio</v>
      </c>
      <c r="C743" s="1" t="str">
        <f>IFERROR(__xludf.DUMMYFUNCTION("""COMPUTED_VALUE"""),"Mask Mandate")</f>
        <v>Mask Mandate</v>
      </c>
      <c r="D743" s="1" t="str">
        <f>IFERROR(__xludf.DUMMYFUNCTION("""COMPUTED_VALUE"""),"Start")</f>
        <v>Start</v>
      </c>
      <c r="E743" s="1" t="str">
        <f>IFERROR(__xludf.DUMMYFUNCTION("""COMPUTED_VALUE"""),"Gov. Mike DeWine announced during a news briefing that there will be a mask mandate that requires people to cover their nose and mouth when inside public spaces or outside when social distancing is not possible.")</f>
        <v>Gov. Mike DeWine announced during a news briefing that there will be a mask mandate that requires people to cover their nose and mouth when inside public spaces or outside when social distancing is not possible.</v>
      </c>
      <c r="F743" s="1" t="str">
        <f>IFERROR(__xludf.DUMMYFUNCTION("""COMPUTED_VALUE"""),"CNN")</f>
        <v>CNN</v>
      </c>
      <c r="G743" s="3" t="str">
        <f>IFERROR(__xludf.DUMMYFUNCTION("""COMPUTED_VALUE"""),"https://www.cnn.com/2020/06/19/us/states-face-mask-coronavirus-trnd/index.html")</f>
        <v>https://www.cnn.com/2020/06/19/us/states-face-mask-coronavirus-trnd/index.html</v>
      </c>
      <c r="H743" s="1"/>
      <c r="I743" s="1"/>
    </row>
    <row r="744">
      <c r="A744" s="2">
        <f>IFERROR(__xludf.DUMMYFUNCTION("""COMPUTED_VALUE"""),44054.0)</f>
        <v>44054</v>
      </c>
      <c r="B744" s="1" t="str">
        <f>IFERROR(__xludf.DUMMYFUNCTION("""COMPUTED_VALUE"""),"Ohio")</f>
        <v>Ohio</v>
      </c>
      <c r="C744" s="1" t="str">
        <f>IFERROR(__xludf.DUMMYFUNCTION("""COMPUTED_VALUE"""),"State Proclamations ")</f>
        <v>State Proclamations </v>
      </c>
      <c r="D744" s="1" t="str">
        <f>IFERROR(__xludf.DUMMYFUNCTION("""COMPUTED_VALUE"""),"Opening")</f>
        <v>Opening</v>
      </c>
      <c r="E744" s="1" t="str">
        <f>IFERROR(__xludf.DUMMYFUNCTION("""COMPUTED_VALUE"""),"The governor said more than one-third of students will be in classrooms five days a week when public schools reopen.")</f>
        <v>The governor said more than one-third of students will be in classrooms five days a week when public schools reopen.</v>
      </c>
      <c r="F744" s="1" t="str">
        <f>IFERROR(__xludf.DUMMYFUNCTION("""COMPUTED_VALUE"""),"National Academy for State Health Policy")</f>
        <v>National Academy for State Health Policy</v>
      </c>
      <c r="G744" s="3" t="str">
        <f>IFERROR(__xludf.DUMMYFUNCTION("""COMPUTED_VALUE"""),"https://www.nashp.org/2020-state-reopening-chart/")</f>
        <v>https://www.nashp.org/2020-state-reopening-chart/</v>
      </c>
      <c r="H744" s="1"/>
      <c r="I744" s="1"/>
    </row>
    <row r="745">
      <c r="A745" s="2">
        <f>IFERROR(__xludf.DUMMYFUNCTION("""COMPUTED_VALUE"""),44064.0)</f>
        <v>44064</v>
      </c>
      <c r="B745" s="1" t="str">
        <f>IFERROR(__xludf.DUMMYFUNCTION("""COMPUTED_VALUE"""),"Ohio")</f>
        <v>Ohio</v>
      </c>
      <c r="C745" s="1" t="str">
        <f>IFERROR(__xludf.DUMMYFUNCTION("""COMPUTED_VALUE"""),"State Proclamations ")</f>
        <v>State Proclamations </v>
      </c>
      <c r="D745" s="1" t="str">
        <f>IFERROR(__xludf.DUMMYFUNCTION("""COMPUTED_VALUE"""),"Opening")</f>
        <v>Opening</v>
      </c>
      <c r="E745" s="1" t="str">
        <f>IFERROR(__xludf.DUMMYFUNCTION("""COMPUTED_VALUE"""),"School and professional sports resumed with spectator attendance limited to 15%.")</f>
        <v>School and professional sports resumed with spectator attendance limited to 15%.</v>
      </c>
      <c r="F745" s="1" t="str">
        <f>IFERROR(__xludf.DUMMYFUNCTION("""COMPUTED_VALUE"""),"National Academy for State Health Policy")</f>
        <v>National Academy for State Health Policy</v>
      </c>
      <c r="G745" s="3" t="str">
        <f>IFERROR(__xludf.DUMMYFUNCTION("""COMPUTED_VALUE"""),"https://www.nashp.org/2020-state-reopening-chart/")</f>
        <v>https://www.nashp.org/2020-state-reopening-chart/</v>
      </c>
      <c r="H745" s="1"/>
      <c r="I745" s="1"/>
    </row>
    <row r="746">
      <c r="A746" s="2">
        <f>IFERROR(__xludf.DUMMYFUNCTION("""COMPUTED_VALUE"""),44068.0)</f>
        <v>44068</v>
      </c>
      <c r="B746" s="1" t="str">
        <f>IFERROR(__xludf.DUMMYFUNCTION("""COMPUTED_VALUE"""),"Ohio")</f>
        <v>Ohio</v>
      </c>
      <c r="C746" s="1" t="str">
        <f>IFERROR(__xludf.DUMMYFUNCTION("""COMPUTED_VALUE"""),"State Proclamations ")</f>
        <v>State Proclamations </v>
      </c>
      <c r="D746" s="1" t="str">
        <f>IFERROR(__xludf.DUMMYFUNCTION("""COMPUTED_VALUE"""),"Opening")</f>
        <v>Opening</v>
      </c>
      <c r="E746" s="1" t="str">
        <f>IFERROR(__xludf.DUMMYFUNCTION("""COMPUTED_VALUE"""),"Indoor and outdoor entertainment venues may reopen with capacity limits. Outdoor venues are limited to 15% capacity or 1,500 people, whichever is less. For indoor venues, the limit is 15% capacity or 300 people.")</f>
        <v>Indoor and outdoor entertainment venues may reopen with capacity limits. Outdoor venues are limited to 15% capacity or 1,500 people, whichever is less. For indoor venues, the limit is 15% capacity or 300 people.</v>
      </c>
      <c r="F746" s="1" t="str">
        <f>IFERROR(__xludf.DUMMYFUNCTION("""COMPUTED_VALUE"""),"National Academy for State Health Policy")</f>
        <v>National Academy for State Health Policy</v>
      </c>
      <c r="G746" s="3" t="str">
        <f>IFERROR(__xludf.DUMMYFUNCTION("""COMPUTED_VALUE"""),"https://www.nashp.org/2020-state-reopening-chart/")</f>
        <v>https://www.nashp.org/2020-state-reopening-chart/</v>
      </c>
      <c r="H746" s="1"/>
      <c r="I746" s="1"/>
    </row>
    <row r="747">
      <c r="A747" s="2">
        <f>IFERROR(__xludf.DUMMYFUNCTION("""COMPUTED_VALUE"""),44146.0)</f>
        <v>44146</v>
      </c>
      <c r="B747" s="1" t="str">
        <f>IFERROR(__xludf.DUMMYFUNCTION("""COMPUTED_VALUE"""),"Ohio")</f>
        <v>Ohio</v>
      </c>
      <c r="C747" s="1" t="str">
        <f>IFERROR(__xludf.DUMMYFUNCTION("""COMPUTED_VALUE"""),"State Proclamations ")</f>
        <v>State Proclamations </v>
      </c>
      <c r="D747" s="1" t="str">
        <f>IFERROR(__xludf.DUMMYFUNCTION("""COMPUTED_VALUE"""),"Closing")</f>
        <v>Closing</v>
      </c>
      <c r="E747" s="1" t="str">
        <f>IFERROR(__xludf.DUMMYFUNCTION("""COMPUTED_VALUE"""),"Open congregate areas will no longer be permitted to open, and everyone will be required to be seated and masked unless they are actively consuming food or drinks.")</f>
        <v>Open congregate areas will no longer be permitted to open, and everyone will be required to be seated and masked unless they are actively consuming food or drinks.</v>
      </c>
      <c r="F747" s="1" t="str">
        <f>IFERROR(__xludf.DUMMYFUNCTION("""COMPUTED_VALUE"""),"National Academy for State Health Policy")</f>
        <v>National Academy for State Health Policy</v>
      </c>
      <c r="G747" s="3" t="str">
        <f>IFERROR(__xludf.DUMMYFUNCTION("""COMPUTED_VALUE"""),"https://www.nashp.org/2020-state-reopening-chart/")</f>
        <v>https://www.nashp.org/2020-state-reopening-chart/</v>
      </c>
      <c r="H747" s="1"/>
      <c r="I747" s="1"/>
    </row>
    <row r="748">
      <c r="A748" s="2">
        <f>IFERROR(__xludf.DUMMYFUNCTION("""COMPUTED_VALUE"""),44154.0)</f>
        <v>44154</v>
      </c>
      <c r="B748" s="1" t="str">
        <f>IFERROR(__xludf.DUMMYFUNCTION("""COMPUTED_VALUE"""),"Ohio")</f>
        <v>Ohio</v>
      </c>
      <c r="C748" s="1" t="str">
        <f>IFERROR(__xludf.DUMMYFUNCTION("""COMPUTED_VALUE"""),"State Proclamations ")</f>
        <v>State Proclamations </v>
      </c>
      <c r="D748" s="1" t="str">
        <f>IFERROR(__xludf.DUMMYFUNCTION("""COMPUTED_VALUE"""),"Closing")</f>
        <v>Closing</v>
      </c>
      <c r="E748" s="1" t="str">
        <f>IFERROR(__xludf.DUMMYFUNCTION("""COMPUTED_VALUE"""),"The governor issued a curfew between 10 p.m. and 5 a.m. The curfew will last three weeks.")</f>
        <v>The governor issued a curfew between 10 p.m. and 5 a.m. The curfew will last three weeks.</v>
      </c>
      <c r="F748" s="1" t="str">
        <f>IFERROR(__xludf.DUMMYFUNCTION("""COMPUTED_VALUE"""),"National Academy for State Health Policy")</f>
        <v>National Academy for State Health Policy</v>
      </c>
      <c r="G748" s="3" t="str">
        <f>IFERROR(__xludf.DUMMYFUNCTION("""COMPUTED_VALUE"""),"https://www.nashp.org/2020-state-reopening-chart/")</f>
        <v>https://www.nashp.org/2020-state-reopening-chart/</v>
      </c>
      <c r="H748" s="1"/>
      <c r="I748" s="1"/>
    </row>
    <row r="749">
      <c r="A749" s="2">
        <f>IFERROR(__xludf.DUMMYFUNCTION("""COMPUTED_VALUE"""),44175.0)</f>
        <v>44175</v>
      </c>
      <c r="B749" s="1" t="str">
        <f>IFERROR(__xludf.DUMMYFUNCTION("""COMPUTED_VALUE"""),"Ohio")</f>
        <v>Ohio</v>
      </c>
      <c r="C749" s="1" t="str">
        <f>IFERROR(__xludf.DUMMYFUNCTION("""COMPUTED_VALUE"""),"State Proclamations ")</f>
        <v>State Proclamations </v>
      </c>
      <c r="D749" s="1" t="str">
        <f>IFERROR(__xludf.DUMMYFUNCTION("""COMPUTED_VALUE"""),"Closing")</f>
        <v>Closing</v>
      </c>
      <c r="E749" s="1" t="str">
        <f>IFERROR(__xludf.DUMMYFUNCTION("""COMPUTED_VALUE"""),"The governor extended the current curfew until Jan. 2, 2021.")</f>
        <v>The governor extended the current curfew until Jan. 2, 2021.</v>
      </c>
      <c r="F749" s="1" t="str">
        <f>IFERROR(__xludf.DUMMYFUNCTION("""COMPUTED_VALUE"""),"National Academy for State Health Policy")</f>
        <v>National Academy for State Health Policy</v>
      </c>
      <c r="G749" s="3" t="str">
        <f>IFERROR(__xludf.DUMMYFUNCTION("""COMPUTED_VALUE"""),"https://www.nashp.org/2020-state-reopening-chart/")</f>
        <v>https://www.nashp.org/2020-state-reopening-chart/</v>
      </c>
      <c r="H749" s="1"/>
      <c r="I749" s="1"/>
    </row>
    <row r="750">
      <c r="A750" s="2">
        <f>IFERROR(__xludf.DUMMYFUNCTION("""COMPUTED_VALUE"""),44196.0)</f>
        <v>44196</v>
      </c>
      <c r="B750" s="1" t="str">
        <f>IFERROR(__xludf.DUMMYFUNCTION("""COMPUTED_VALUE"""),"Ohio")</f>
        <v>Ohio</v>
      </c>
      <c r="C750" s="1" t="str">
        <f>IFERROR(__xludf.DUMMYFUNCTION("""COMPUTED_VALUE"""),"State Proclamations ")</f>
        <v>State Proclamations </v>
      </c>
      <c r="D750" s="1" t="str">
        <f>IFERROR(__xludf.DUMMYFUNCTION("""COMPUTED_VALUE"""),"Closing")</f>
        <v>Closing</v>
      </c>
      <c r="E750" s="1" t="str">
        <f>IFERROR(__xludf.DUMMYFUNCTION("""COMPUTED_VALUE"""),"The Department of Health Director Stephanie McCloud issued an order requiring all residents to stay home between the hours of 10:00 p.m. and 5:00 a.m. unless engaged in work or essential activities. The order expires Jan. 23, 2021.")</f>
        <v>The Department of Health Director Stephanie McCloud issued an order requiring all residents to stay home between the hours of 10:00 p.m. and 5:00 a.m. unless engaged in work or essential activities. The order expires Jan. 23, 2021.</v>
      </c>
      <c r="F750" s="1" t="str">
        <f>IFERROR(__xludf.DUMMYFUNCTION("""COMPUTED_VALUE"""),"National Academy for State Health Policy")</f>
        <v>National Academy for State Health Policy</v>
      </c>
      <c r="G750" s="3" t="str">
        <f>IFERROR(__xludf.DUMMYFUNCTION("""COMPUTED_VALUE"""),"https://www.nashp.org/2020-state-reopening-chart/")</f>
        <v>https://www.nashp.org/2020-state-reopening-chart/</v>
      </c>
      <c r="H750" s="1"/>
      <c r="I750" s="1"/>
    </row>
    <row r="751">
      <c r="A751" s="2">
        <f>IFERROR(__xludf.DUMMYFUNCTION("""COMPUTED_VALUE"""),44219.0)</f>
        <v>44219</v>
      </c>
      <c r="B751" s="1" t="str">
        <f>IFERROR(__xludf.DUMMYFUNCTION("""COMPUTED_VALUE"""),"Ohio")</f>
        <v>Ohio</v>
      </c>
      <c r="C751" s="1" t="str">
        <f>IFERROR(__xludf.DUMMYFUNCTION("""COMPUTED_VALUE"""),"State Proclamations ")</f>
        <v>State Proclamations </v>
      </c>
      <c r="D751" s="1" t="str">
        <f>IFERROR(__xludf.DUMMYFUNCTION("""COMPUTED_VALUE"""),"Opening")</f>
        <v>Opening</v>
      </c>
      <c r="E751" s="1" t="str">
        <f>IFERROR(__xludf.DUMMYFUNCTION("""COMPUTED_VALUE"""),"An order expires requiring all residents to stay home between the hours of 10 pm and 5 am unless engaged in work or essential activities.")</f>
        <v>An order expires requiring all residents to stay home between the hours of 10 pm and 5 am unless engaged in work or essential activities.</v>
      </c>
      <c r="F751" s="1" t="str">
        <f>IFERROR(__xludf.DUMMYFUNCTION("""COMPUTED_VALUE"""),"National Academy for State Health Policy")</f>
        <v>National Academy for State Health Policy</v>
      </c>
      <c r="G751" s="3" t="str">
        <f>IFERROR(__xludf.DUMMYFUNCTION("""COMPUTED_VALUE"""),"https://www.nashp.org/2021-covid-19-state-restrictions-re-openings-and-mask-requirements/")</f>
        <v>https://www.nashp.org/2021-covid-19-state-restrictions-re-openings-and-mask-requirements/</v>
      </c>
      <c r="H751" s="1"/>
      <c r="I751" s="1"/>
    </row>
    <row r="752">
      <c r="A752" s="2">
        <f>IFERROR(__xludf.DUMMYFUNCTION("""COMPUTED_VALUE"""),44238.0)</f>
        <v>44238</v>
      </c>
      <c r="B752" s="1" t="str">
        <f>IFERROR(__xludf.DUMMYFUNCTION("""COMPUTED_VALUE"""),"Ohio")</f>
        <v>Ohio</v>
      </c>
      <c r="C752" s="1" t="str">
        <f>IFERROR(__xludf.DUMMYFUNCTION("""COMPUTED_VALUE"""),"State Proclamations ")</f>
        <v>State Proclamations </v>
      </c>
      <c r="D752" s="1" t="str">
        <f>IFERROR(__xludf.DUMMYFUNCTION("""COMPUTED_VALUE"""),"Opening")</f>
        <v>Opening</v>
      </c>
      <c r="E752" s="1" t="str">
        <f>IFERROR(__xludf.DUMMYFUNCTION("""COMPUTED_VALUE"""),"Gov. Mike DeWine announced that buffets and food stations within restaurants and bars can reopen with restrictions. The restrictions include a requirement that customers wear masks and social distance.")</f>
        <v>Gov. Mike DeWine announced that buffets and food stations within restaurants and bars can reopen with restrictions. The restrictions include a requirement that customers wear masks and social distance.</v>
      </c>
      <c r="F752" s="1" t="str">
        <f>IFERROR(__xludf.DUMMYFUNCTION("""COMPUTED_VALUE"""),"National Academy for State Health Policy")</f>
        <v>National Academy for State Health Policy</v>
      </c>
      <c r="G752" s="3" t="str">
        <f>IFERROR(__xludf.DUMMYFUNCTION("""COMPUTED_VALUE"""),"https://www.nashp.org/2021-covid-19-state-restrictions-re-openings-and-mask-requirements/")</f>
        <v>https://www.nashp.org/2021-covid-19-state-restrictions-re-openings-and-mask-requirements/</v>
      </c>
      <c r="H752" s="1"/>
      <c r="I752" s="1"/>
    </row>
    <row r="753">
      <c r="A753" s="2">
        <f>IFERROR(__xludf.DUMMYFUNCTION("""COMPUTED_VALUE"""),44257.0)</f>
        <v>44257</v>
      </c>
      <c r="B753" s="1" t="str">
        <f>IFERROR(__xludf.DUMMYFUNCTION("""COMPUTED_VALUE"""),"Ohio")</f>
        <v>Ohio</v>
      </c>
      <c r="C753" s="1" t="str">
        <f>IFERROR(__xludf.DUMMYFUNCTION("""COMPUTED_VALUE"""),"State Proclamations ")</f>
        <v>State Proclamations </v>
      </c>
      <c r="D753" s="1" t="str">
        <f>IFERROR(__xludf.DUMMYFUNCTION("""COMPUTED_VALUE"""),"Opening")</f>
        <v>Opening</v>
      </c>
      <c r="E753" s="1" t="str">
        <f>IFERROR(__xludf.DUMMYFUNCTION("""COMPUTED_VALUE"""),"The 300-person limit on events at banquet centers was lifted, so long as social distancing is observed. Seating capacity at indoor sports venues is 25%, and 30% at outdoor venues. Additionally, the maximum number of patrons at indoor and outdoor entertain"&amp;"ment venues is 25% and 30%, respectively.")</f>
        <v>The 300-person limit on events at banquet centers was lifted, so long as social distancing is observed. Seating capacity at indoor sports venues is 25%, and 30% at outdoor venues. Additionally, the maximum number of patrons at indoor and outdoor entertainment venues is 25% and 30%, respectively.</v>
      </c>
      <c r="F753" s="1" t="str">
        <f>IFERROR(__xludf.DUMMYFUNCTION("""COMPUTED_VALUE"""),"National Academy for State Health Policy")</f>
        <v>National Academy for State Health Policy</v>
      </c>
      <c r="G753" s="3" t="str">
        <f>IFERROR(__xludf.DUMMYFUNCTION("""COMPUTED_VALUE"""),"https://www.nashp.org/2021-covid-19-state-restrictions-re-openings-and-mask-requirements/")</f>
        <v>https://www.nashp.org/2021-covid-19-state-restrictions-re-openings-and-mask-requirements/</v>
      </c>
      <c r="H753" s="1"/>
      <c r="I753" s="1"/>
    </row>
    <row r="754">
      <c r="A754" s="2">
        <f>IFERROR(__xludf.DUMMYFUNCTION("""COMPUTED_VALUE"""),44259.0)</f>
        <v>44259</v>
      </c>
      <c r="B754" s="1" t="str">
        <f>IFERROR(__xludf.DUMMYFUNCTION("""COMPUTED_VALUE"""),"Ohio")</f>
        <v>Ohio</v>
      </c>
      <c r="C754" s="1" t="str">
        <f>IFERROR(__xludf.DUMMYFUNCTION("""COMPUTED_VALUE"""),"State Proclamations ")</f>
        <v>State Proclamations </v>
      </c>
      <c r="D754" s="1" t="str">
        <f>IFERROR(__xludf.DUMMYFUNCTION("""COMPUTED_VALUE"""),"Opening")</f>
        <v>Opening</v>
      </c>
      <c r="E754" s="1" t="str">
        <f>IFERROR(__xludf.DUMMYFUNCTION("""COMPUTED_VALUE"""),"The governor announced that the state will remove all coronavirus health orders including a statewide mask mandate when the state sees a drop in cases to a rate of 50 or fewer new cases per 100,000 people over two weeks.")</f>
        <v>The governor announced that the state will remove all coronavirus health orders including a statewide mask mandate when the state sees a drop in cases to a rate of 50 or fewer new cases per 100,000 people over two weeks.</v>
      </c>
      <c r="F754" s="1" t="str">
        <f>IFERROR(__xludf.DUMMYFUNCTION("""COMPUTED_VALUE"""),"National Academy for State Health Policy")</f>
        <v>National Academy for State Health Policy</v>
      </c>
      <c r="G754" s="3" t="str">
        <f>IFERROR(__xludf.DUMMYFUNCTION("""COMPUTED_VALUE"""),"https://www.nashp.org/2021-covid-19-state-restrictions-re-openings-and-mask-requirements/")</f>
        <v>https://www.nashp.org/2021-covid-19-state-restrictions-re-openings-and-mask-requirements/</v>
      </c>
      <c r="H754" s="1"/>
      <c r="I754" s="1"/>
    </row>
    <row r="755">
      <c r="A755" s="2">
        <f>IFERROR(__xludf.DUMMYFUNCTION("""COMPUTED_VALUE"""),44291.0)</f>
        <v>44291</v>
      </c>
      <c r="B755" s="1" t="str">
        <f>IFERROR(__xludf.DUMMYFUNCTION("""COMPUTED_VALUE"""),"Ohio")</f>
        <v>Ohio</v>
      </c>
      <c r="C755" s="1" t="str">
        <f>IFERROR(__xludf.DUMMYFUNCTION("""COMPUTED_VALUE"""),"State Proclamations ")</f>
        <v>State Proclamations </v>
      </c>
      <c r="D755" s="1" t="str">
        <f>IFERROR(__xludf.DUMMYFUNCTION("""COMPUTED_VALUE"""),"Opening")</f>
        <v>Opening</v>
      </c>
      <c r="E755" s="1" t="str">
        <f>IFERROR(__xludf.DUMMYFUNCTION("""COMPUTED_VALUE"""),"The governor lifted the gathering limit on outdoor events and activities if people remain socially distanced.")</f>
        <v>The governor lifted the gathering limit on outdoor events and activities if people remain socially distanced.</v>
      </c>
      <c r="F755" s="1" t="str">
        <f>IFERROR(__xludf.DUMMYFUNCTION("""COMPUTED_VALUE"""),"National Academy for State Health Policy")</f>
        <v>National Academy for State Health Policy</v>
      </c>
      <c r="G755" s="3" t="str">
        <f>IFERROR(__xludf.DUMMYFUNCTION("""COMPUTED_VALUE"""),"https://www.nashp.org/2021-covid-19-state-restrictions-re-openings-and-mask-requirements/")</f>
        <v>https://www.nashp.org/2021-covid-19-state-restrictions-re-openings-and-mask-requirements/</v>
      </c>
      <c r="H755" s="1"/>
      <c r="I755" s="1"/>
    </row>
    <row r="756">
      <c r="A756" s="2">
        <f>IFERROR(__xludf.DUMMYFUNCTION("""COMPUTED_VALUE"""),44349.0)</f>
        <v>44349</v>
      </c>
      <c r="B756" s="1" t="str">
        <f>IFERROR(__xludf.DUMMYFUNCTION("""COMPUTED_VALUE"""),"Ohio")</f>
        <v>Ohio</v>
      </c>
      <c r="C756" s="1" t="str">
        <f>IFERROR(__xludf.DUMMYFUNCTION("""COMPUTED_VALUE"""),"Mask Mandate")</f>
        <v>Mask Mandate</v>
      </c>
      <c r="D756" s="1" t="str">
        <f>IFERROR(__xludf.DUMMYFUNCTION("""COMPUTED_VALUE"""),"End")</f>
        <v>End</v>
      </c>
      <c r="E756" s="1" t="str">
        <f>IFERROR(__xludf.DUMMYFUNCTION("""COMPUTED_VALUE"""),"On June 2, the governor ended the mask mandate")</f>
        <v>On June 2, the governor ended the mask mandate</v>
      </c>
      <c r="F756" s="1" t="str">
        <f>IFERROR(__xludf.DUMMYFUNCTION("""COMPUTED_VALUE"""),"National Academy for State Health Policy")</f>
        <v>National Academy for State Health Policy</v>
      </c>
      <c r="G756" s="3" t="str">
        <f>IFERROR(__xludf.DUMMYFUNCTION("""COMPUTED_VALUE"""),"https://www.nashp.org/2021-covid-19-state-restrictions-re-openings-and-mask-requirements/")</f>
        <v>https://www.nashp.org/2021-covid-19-state-restrictions-re-openings-and-mask-requirements/</v>
      </c>
      <c r="H756" s="1"/>
      <c r="I756" s="1"/>
    </row>
    <row r="757">
      <c r="A757" s="2">
        <f>IFERROR(__xludf.DUMMYFUNCTION("""COMPUTED_VALUE"""),44349.0)</f>
        <v>44349</v>
      </c>
      <c r="B757" s="1" t="str">
        <f>IFERROR(__xludf.DUMMYFUNCTION("""COMPUTED_VALUE"""),"Ohio")</f>
        <v>Ohio</v>
      </c>
      <c r="C757" s="1" t="str">
        <f>IFERROR(__xludf.DUMMYFUNCTION("""COMPUTED_VALUE"""),"State Proclamations ")</f>
        <v>State Proclamations </v>
      </c>
      <c r="D757" s="1" t="str">
        <f>IFERROR(__xludf.DUMMYFUNCTION("""COMPUTED_VALUE"""),"Opening")</f>
        <v>Opening</v>
      </c>
      <c r="E757" s="1" t="str">
        <f>IFERROR(__xludf.DUMMYFUNCTION("""COMPUTED_VALUE"""),"The governor ended all statewide coronavirus public health orders.")</f>
        <v>The governor ended all statewide coronavirus public health orders.</v>
      </c>
      <c r="F757" s="1" t="str">
        <f>IFERROR(__xludf.DUMMYFUNCTION("""COMPUTED_VALUE"""),"National Academy for State Health Policy")</f>
        <v>National Academy for State Health Policy</v>
      </c>
      <c r="G757" s="3" t="str">
        <f>IFERROR(__xludf.DUMMYFUNCTION("""COMPUTED_VALUE"""),"https://www.nashp.org/2021-covid-19-state-restrictions-re-openings-and-mask-requirements/")</f>
        <v>https://www.nashp.org/2021-covid-19-state-restrictions-re-openings-and-mask-requirements/</v>
      </c>
      <c r="H757" s="1"/>
      <c r="I757" s="1"/>
    </row>
    <row r="758">
      <c r="A758" s="2">
        <f>IFERROR(__xludf.DUMMYFUNCTION("""COMPUTED_VALUE"""),44365.0)</f>
        <v>44365</v>
      </c>
      <c r="B758" s="1" t="str">
        <f>IFERROR(__xludf.DUMMYFUNCTION("""COMPUTED_VALUE"""),"Ohio")</f>
        <v>Ohio</v>
      </c>
      <c r="C758" s="1" t="str">
        <f>IFERROR(__xludf.DUMMYFUNCTION("""COMPUTED_VALUE"""),"State of Emergency")</f>
        <v>State of Emergency</v>
      </c>
      <c r="D758" s="1" t="str">
        <f>IFERROR(__xludf.DUMMYFUNCTION("""COMPUTED_VALUE"""),"End ")</f>
        <v>End </v>
      </c>
      <c r="E758" s="1" t="str">
        <f>IFERROR(__xludf.DUMMYFUNCTION("""COMPUTED_VALUE"""),"State of Emergency lifted June 18")</f>
        <v>State of Emergency lifted June 18</v>
      </c>
      <c r="F758" s="1" t="str">
        <f>IFERROR(__xludf.DUMMYFUNCTION("""COMPUTED_VALUE"""),"National Academy for State Health Policy")</f>
        <v>National Academy for State Health Policy</v>
      </c>
      <c r="G758" s="3" t="str">
        <f>IFERROR(__xludf.DUMMYFUNCTION("""COMPUTED_VALUE"""),"https://www.nashp.org/2021-covid-19-state-restrictions-re-openings-and-mask-requirements/")</f>
        <v>https://www.nashp.org/2021-covid-19-state-restrictions-re-openings-and-mask-requirements/</v>
      </c>
      <c r="H758" s="1"/>
      <c r="I758" s="1"/>
    </row>
    <row r="759">
      <c r="A759" s="2">
        <f>IFERROR(__xludf.DUMMYFUNCTION("""COMPUTED_VALUE"""),44531.0)</f>
        <v>44531</v>
      </c>
      <c r="B759" s="1" t="str">
        <f>IFERROR(__xludf.DUMMYFUNCTION("""COMPUTED_VALUE"""),"Ohio")</f>
        <v>Ohio</v>
      </c>
      <c r="C759" s="1" t="str">
        <f>IFERROR(__xludf.DUMMYFUNCTION("""COMPUTED_VALUE"""),"State Proclamations ")</f>
        <v>State Proclamations </v>
      </c>
      <c r="D759" s="1" t="str">
        <f>IFERROR(__xludf.DUMMYFUNCTION("""COMPUTED_VALUE"""),"Opening")</f>
        <v>Opening</v>
      </c>
      <c r="E759" s="1" t="str">
        <f>IFERROR(__xludf.DUMMYFUNCTION("""COMPUTED_VALUE"""),"The governor signed a bill that allows businesses that follow safety protocols to remain open during Public Health Emergencies.")</f>
        <v>The governor signed a bill that allows businesses that follow safety protocols to remain open during Public Health Emergencies.</v>
      </c>
      <c r="F759" s="1" t="str">
        <f>IFERROR(__xludf.DUMMYFUNCTION("""COMPUTED_VALUE"""),"National Academy for State Health Policy")</f>
        <v>National Academy for State Health Policy</v>
      </c>
      <c r="G759" s="3" t="str">
        <f>IFERROR(__xludf.DUMMYFUNCTION("""COMPUTED_VALUE"""),"https://www.nashp.org/2021-covid-19-state-restrictions-re-openings-and-mask-requirements/")</f>
        <v>https://www.nashp.org/2021-covid-19-state-restrictions-re-openings-and-mask-requirements/</v>
      </c>
      <c r="H759" s="1"/>
      <c r="I759" s="1"/>
    </row>
    <row r="760">
      <c r="A760" s="2">
        <f>IFERROR(__xludf.DUMMYFUNCTION("""COMPUTED_VALUE"""),43905.0)</f>
        <v>43905</v>
      </c>
      <c r="B760" s="1" t="str">
        <f>IFERROR(__xludf.DUMMYFUNCTION("""COMPUTED_VALUE"""),"Oklahoma")</f>
        <v>Oklahoma</v>
      </c>
      <c r="C760" s="1" t="str">
        <f>IFERROR(__xludf.DUMMYFUNCTION("""COMPUTED_VALUE"""),"State of Emergency")</f>
        <v>State of Emergency</v>
      </c>
      <c r="D760" s="1" t="str">
        <f>IFERROR(__xludf.DUMMYFUNCTION("""COMPUTED_VALUE"""),"Start")</f>
        <v>Start</v>
      </c>
      <c r="E760" s="1" t="str">
        <f>IFERROR(__xludf.DUMMYFUNCTION("""COMPUTED_VALUE"""),"Just one hour after Oklahoma City Mayor David Holt announced a State of Emergency in Oklahoma City, Gov. Kevin Stitt declared a State of Emergency in all 77 Oklahoma counties.")</f>
        <v>Just one hour after Oklahoma City Mayor David Holt announced a State of Emergency in Oklahoma City, Gov. Kevin Stitt declared a State of Emergency in all 77 Oklahoma counties.</v>
      </c>
      <c r="F760" s="1" t="str">
        <f>IFERROR(__xludf.DUMMYFUNCTION("""COMPUTED_VALUE"""),"KOKH")</f>
        <v>KOKH</v>
      </c>
      <c r="G760" s="3" t="str">
        <f>IFERROR(__xludf.DUMMYFUNCTION("""COMPUTED_VALUE"""),"https://okcfox.com/news/local/governor-stitt-declares-state-of-emergency-in-oklahoma")</f>
        <v>https://okcfox.com/news/local/governor-stitt-declares-state-of-emergency-in-oklahoma</v>
      </c>
      <c r="H760" s="1"/>
      <c r="I760" s="1"/>
    </row>
    <row r="761">
      <c r="A761" s="2">
        <f>IFERROR(__xludf.DUMMYFUNCTION("""COMPUTED_VALUE"""),43914.0)</f>
        <v>43914</v>
      </c>
      <c r="B761" s="1" t="str">
        <f>IFERROR(__xludf.DUMMYFUNCTION("""COMPUTED_VALUE"""),"Oklahoma")</f>
        <v>Oklahoma</v>
      </c>
      <c r="C761" s="1" t="str">
        <f>IFERROR(__xludf.DUMMYFUNCTION("""COMPUTED_VALUE"""),"Stay-at-Home Order")</f>
        <v>Stay-at-Home Order</v>
      </c>
      <c r="D761" s="1" t="str">
        <f>IFERROR(__xludf.DUMMYFUNCTION("""COMPUTED_VALUE"""),"Start")</f>
        <v>Start</v>
      </c>
      <c r="E761" s="1" t="str">
        <f>IFERROR(__xludf.DUMMYFUNCTION("""COMPUTED_VALUE"""),"Original stay-at-home order begins")</f>
        <v>Original stay-at-home order begins</v>
      </c>
      <c r="F761" s="1" t="str">
        <f>IFERROR(__xludf.DUMMYFUNCTION("""COMPUTED_VALUE"""),"National Academy for State Health Policy")</f>
        <v>National Academy for State Health Policy</v>
      </c>
      <c r="G761" s="3" t="str">
        <f>IFERROR(__xludf.DUMMYFUNCTION("""COMPUTED_VALUE"""),"https://www.nashp.org/2020-state-reopening-chart/")</f>
        <v>https://www.nashp.org/2020-state-reopening-chart/</v>
      </c>
      <c r="H761" s="1"/>
      <c r="I761" s="1"/>
    </row>
    <row r="762">
      <c r="A762" s="2">
        <f>IFERROR(__xludf.DUMMYFUNCTION("""COMPUTED_VALUE"""),43957.0)</f>
        <v>43957</v>
      </c>
      <c r="B762" s="1" t="str">
        <f>IFERROR(__xludf.DUMMYFUNCTION("""COMPUTED_VALUE"""),"Oklahoma")</f>
        <v>Oklahoma</v>
      </c>
      <c r="C762" s="1" t="str">
        <f>IFERROR(__xludf.DUMMYFUNCTION("""COMPUTED_VALUE"""),"Stay-at-Home Order")</f>
        <v>Stay-at-Home Order</v>
      </c>
      <c r="D762" s="1" t="str">
        <f>IFERROR(__xludf.DUMMYFUNCTION("""COMPUTED_VALUE"""),"End")</f>
        <v>End</v>
      </c>
      <c r="E762" s="1" t="str">
        <f>IFERROR(__xludf.DUMMYFUNCTION("""COMPUTED_VALUE"""),"Original stay-at-home order ends")</f>
        <v>Original stay-at-home order ends</v>
      </c>
      <c r="F762" s="1" t="str">
        <f>IFERROR(__xludf.DUMMYFUNCTION("""COMPUTED_VALUE"""),"National Academy for State Health Policy")</f>
        <v>National Academy for State Health Policy</v>
      </c>
      <c r="G762" s="3" t="str">
        <f>IFERROR(__xludf.DUMMYFUNCTION("""COMPUTED_VALUE"""),"https://www.nashp.org/2020-state-reopening-chart/")</f>
        <v>https://www.nashp.org/2020-state-reopening-chart/</v>
      </c>
      <c r="H762" s="1"/>
      <c r="I762" s="1"/>
    </row>
    <row r="763">
      <c r="A763" s="2">
        <f>IFERROR(__xludf.DUMMYFUNCTION("""COMPUTED_VALUE"""),43957.0)</f>
        <v>43957</v>
      </c>
      <c r="B763" s="1" t="str">
        <f>IFERROR(__xludf.DUMMYFUNCTION("""COMPUTED_VALUE"""),"Oklahoma")</f>
        <v>Oklahoma</v>
      </c>
      <c r="C763" s="1" t="str">
        <f>IFERROR(__xludf.DUMMYFUNCTION("""COMPUTED_VALUE"""),"State Proclamations ")</f>
        <v>State Proclamations </v>
      </c>
      <c r="D763" s="1" t="str">
        <f>IFERROR(__xludf.DUMMYFUNCTION("""COMPUTED_VALUE"""),"Opening")</f>
        <v>Opening</v>
      </c>
      <c r="E763" s="1" t="str">
        <f>IFERROR(__xludf.DUMMYFUNCTION("""COMPUTED_VALUE"""),"Oklahoma reopened retail stores, restaurant dining, bars, personal care services, houses of worship, movie theaters, nightclubs, gyms, and offices. Organized sports, funerals, and weddings may also resume. Nonessential medical procedures resumed April 24.")</f>
        <v>Oklahoma reopened retail stores, restaurant dining, bars, personal care services, houses of worship, movie theaters, nightclubs, gyms, and offices. Organized sports, funerals, and weddings may also resume. Nonessential medical procedures resumed April 24.</v>
      </c>
      <c r="F763" s="1" t="str">
        <f>IFERROR(__xludf.DUMMYFUNCTION("""COMPUTED_VALUE"""),"National Academy for State Health Policy")</f>
        <v>National Academy for State Health Policy</v>
      </c>
      <c r="G763" s="3" t="str">
        <f>IFERROR(__xludf.DUMMYFUNCTION("""COMPUTED_VALUE"""),"https://www.nashp.org/2020-state-reopening-chart/")</f>
        <v>https://www.nashp.org/2020-state-reopening-chart/</v>
      </c>
      <c r="H763" s="1"/>
      <c r="I763" s="1"/>
    </row>
    <row r="764">
      <c r="A764" s="2">
        <f>IFERROR(__xludf.DUMMYFUNCTION("""COMPUTED_VALUE"""),43983.0)</f>
        <v>43983</v>
      </c>
      <c r="B764" s="1" t="str">
        <f>IFERROR(__xludf.DUMMYFUNCTION("""COMPUTED_VALUE"""),"Oklahoma")</f>
        <v>Oklahoma</v>
      </c>
      <c r="C764" s="1" t="str">
        <f>IFERROR(__xludf.DUMMYFUNCTION("""COMPUTED_VALUE"""),"State Proclamations ")</f>
        <v>State Proclamations </v>
      </c>
      <c r="D764" s="1" t="str">
        <f>IFERROR(__xludf.DUMMYFUNCTION("""COMPUTED_VALUE"""),"Opening")</f>
        <v>Opening</v>
      </c>
      <c r="E764" s="1" t="str">
        <f>IFERROR(__xludf.DUMMYFUNCTION("""COMPUTED_VALUE"""),"Unrestricted staffing at worksites is allowed and summer camps can open.")</f>
        <v>Unrestricted staffing at worksites is allowed and summer camps can open.</v>
      </c>
      <c r="F764" s="1" t="str">
        <f>IFERROR(__xludf.DUMMYFUNCTION("""COMPUTED_VALUE"""),"National Academy for State Health Policy")</f>
        <v>National Academy for State Health Policy</v>
      </c>
      <c r="G764" s="3" t="str">
        <f>IFERROR(__xludf.DUMMYFUNCTION("""COMPUTED_VALUE"""),"https://www.nashp.org/2020-state-reopening-chart/")</f>
        <v>https://www.nashp.org/2020-state-reopening-chart/</v>
      </c>
      <c r="H764" s="1"/>
      <c r="I764" s="1"/>
    </row>
    <row r="765">
      <c r="A765" s="2">
        <f>IFERROR(__xludf.DUMMYFUNCTION("""COMPUTED_VALUE"""),44025.0)</f>
        <v>44025</v>
      </c>
      <c r="B765" s="1" t="str">
        <f>IFERROR(__xludf.DUMMYFUNCTION("""COMPUTED_VALUE"""),"Oklahoma")</f>
        <v>Oklahoma</v>
      </c>
      <c r="C765" s="1" t="str">
        <f>IFERROR(__xludf.DUMMYFUNCTION("""COMPUTED_VALUE"""),"State Proclamations ")</f>
        <v>State Proclamations </v>
      </c>
      <c r="D765" s="1" t="str">
        <f>IFERROR(__xludf.DUMMYFUNCTION("""COMPUTED_VALUE"""),"Closing")</f>
        <v>Closing</v>
      </c>
      <c r="E765" s="1" t="str">
        <f>IFERROR(__xludf.DUMMYFUNCTION("""COMPUTED_VALUE"""),"Indoor gatherings of more than 10 people banned.")</f>
        <v>Indoor gatherings of more than 10 people banned.</v>
      </c>
      <c r="F765" s="1" t="str">
        <f>IFERROR(__xludf.DUMMYFUNCTION("""COMPUTED_VALUE"""),"National Academy for State Health Policy")</f>
        <v>National Academy for State Health Policy</v>
      </c>
      <c r="G765" s="3" t="str">
        <f>IFERROR(__xludf.DUMMYFUNCTION("""COMPUTED_VALUE"""),"https://www.nashp.org/2020-state-reopening-chart/")</f>
        <v>https://www.nashp.org/2020-state-reopening-chart/</v>
      </c>
      <c r="H765" s="1"/>
      <c r="I765" s="1"/>
    </row>
    <row r="766">
      <c r="A766" s="2">
        <f>IFERROR(__xludf.DUMMYFUNCTION("""COMPUTED_VALUE"""),44036.0)</f>
        <v>44036</v>
      </c>
      <c r="B766" s="1" t="str">
        <f>IFERROR(__xludf.DUMMYFUNCTION("""COMPUTED_VALUE"""),"Oklahoma")</f>
        <v>Oklahoma</v>
      </c>
      <c r="C766" s="1" t="str">
        <f>IFERROR(__xludf.DUMMYFUNCTION("""COMPUTED_VALUE"""),"State Proclamations ")</f>
        <v>State Proclamations </v>
      </c>
      <c r="D766" s="1" t="str">
        <f>IFERROR(__xludf.DUMMYFUNCTION("""COMPUTED_VALUE"""),"Closing")</f>
        <v>Closing</v>
      </c>
      <c r="E766" s="1" t="str">
        <f>IFERROR(__xludf.DUMMYFUNCTION("""COMPUTED_VALUE"""),"The capacity limit for restaurants, gyms and entertainment venues reduced to 100 people indoors. Restaurants and bars have to close at 10 p.m. statewide.")</f>
        <v>The capacity limit for restaurants, gyms and entertainment venues reduced to 100 people indoors. Restaurants and bars have to close at 10 p.m. statewide.</v>
      </c>
      <c r="F766" s="1" t="str">
        <f>IFERROR(__xludf.DUMMYFUNCTION("""COMPUTED_VALUE"""),"National Academy for State Health Policy")</f>
        <v>National Academy for State Health Policy</v>
      </c>
      <c r="G766" s="3" t="str">
        <f>IFERROR(__xludf.DUMMYFUNCTION("""COMPUTED_VALUE"""),"https://www.nashp.org/2020-state-reopening-chart/")</f>
        <v>https://www.nashp.org/2020-state-reopening-chart/</v>
      </c>
      <c r="H766" s="1"/>
      <c r="I766" s="1"/>
    </row>
    <row r="767">
      <c r="A767" s="2">
        <f>IFERROR(__xludf.DUMMYFUNCTION("""COMPUTED_VALUE"""),44154.0)</f>
        <v>44154</v>
      </c>
      <c r="B767" s="1" t="str">
        <f>IFERROR(__xludf.DUMMYFUNCTION("""COMPUTED_VALUE"""),"Oklahoma")</f>
        <v>Oklahoma</v>
      </c>
      <c r="C767" s="1" t="str">
        <f>IFERROR(__xludf.DUMMYFUNCTION("""COMPUTED_VALUE"""),"State Proclamations ")</f>
        <v>State Proclamations </v>
      </c>
      <c r="D767" s="1" t="str">
        <f>IFERROR(__xludf.DUMMYFUNCTION("""COMPUTED_VALUE"""),"Closing")</f>
        <v>Closing</v>
      </c>
      <c r="E767" s="1" t="str">
        <f>IFERROR(__xludf.DUMMYFUNCTION("""COMPUTED_VALUE"""),"The governor issued an 11 p.m. curfew for bars and restaurants.")</f>
        <v>The governor issued an 11 p.m. curfew for bars and restaurants.</v>
      </c>
      <c r="F767" s="1" t="str">
        <f>IFERROR(__xludf.DUMMYFUNCTION("""COMPUTED_VALUE"""),"National Academy for State Health Policy")</f>
        <v>National Academy for State Health Policy</v>
      </c>
      <c r="G767" s="3" t="str">
        <f>IFERROR(__xludf.DUMMYFUNCTION("""COMPUTED_VALUE"""),"https://www.nashp.org/2020-state-reopening-chart/")</f>
        <v>https://www.nashp.org/2020-state-reopening-chart/</v>
      </c>
      <c r="H767" s="1"/>
      <c r="I767" s="1"/>
    </row>
    <row r="768">
      <c r="A768" s="2">
        <f>IFERROR(__xludf.DUMMYFUNCTION("""COMPUTED_VALUE"""),44176.0)</f>
        <v>44176</v>
      </c>
      <c r="B768" s="1" t="str">
        <f>IFERROR(__xludf.DUMMYFUNCTION("""COMPUTED_VALUE"""),"Oklahoma")</f>
        <v>Oklahoma</v>
      </c>
      <c r="C768" s="1" t="str">
        <f>IFERROR(__xludf.DUMMYFUNCTION("""COMPUTED_VALUE"""),"State Proclamations ")</f>
        <v>State Proclamations </v>
      </c>
      <c r="D768" s="1" t="str">
        <f>IFERROR(__xludf.DUMMYFUNCTION("""COMPUTED_VALUE"""),"Closing")</f>
        <v>Closing</v>
      </c>
      <c r="E768" s="1" t="str">
        <f>IFERROR(__xludf.DUMMYFUNCTION("""COMPUTED_VALUE"""),"he governor limited capacity for indoor gatherings at 50%. This does not include churches.")</f>
        <v>he governor limited capacity for indoor gatherings at 50%. This does not include churches.</v>
      </c>
      <c r="F768" s="1" t="str">
        <f>IFERROR(__xludf.DUMMYFUNCTION("""COMPUTED_VALUE"""),"National Academy for State Health Policy")</f>
        <v>National Academy for State Health Policy</v>
      </c>
      <c r="G768" s="3" t="str">
        <f>IFERROR(__xludf.DUMMYFUNCTION("""COMPUTED_VALUE"""),"https://www.nashp.org/2020-state-reopening-chart/")</f>
        <v>https://www.nashp.org/2020-state-reopening-chart/</v>
      </c>
      <c r="H768" s="1"/>
      <c r="I768" s="1"/>
    </row>
    <row r="769">
      <c r="A769" s="2">
        <f>IFERROR(__xludf.DUMMYFUNCTION("""COMPUTED_VALUE"""),44209.0)</f>
        <v>44209</v>
      </c>
      <c r="B769" s="1" t="str">
        <f>IFERROR(__xludf.DUMMYFUNCTION("""COMPUTED_VALUE"""),"Oklahoma")</f>
        <v>Oklahoma</v>
      </c>
      <c r="C769" s="1" t="str">
        <f>IFERROR(__xludf.DUMMYFUNCTION("""COMPUTED_VALUE"""),"State Proclamations ")</f>
        <v>State Proclamations </v>
      </c>
      <c r="D769" s="1" t="str">
        <f>IFERROR(__xludf.DUMMYFUNCTION("""COMPUTED_VALUE"""),"Opening")</f>
        <v>Opening</v>
      </c>
      <c r="E769" s="1" t="str">
        <f>IFERROR(__xludf.DUMMYFUNCTION("""COMPUTED_VALUE"""),"The governor removed a requirement that bars and restaurants close indoor dining at 11 pm.")</f>
        <v>The governor removed a requirement that bars and restaurants close indoor dining at 11 pm.</v>
      </c>
      <c r="F769" s="1" t="str">
        <f>IFERROR(__xludf.DUMMYFUNCTION("""COMPUTED_VALUE"""),"National Academy for State Health Policy")</f>
        <v>National Academy for State Health Policy</v>
      </c>
      <c r="G769" s="3" t="str">
        <f>IFERROR(__xludf.DUMMYFUNCTION("""COMPUTED_VALUE"""),"https://www.nashp.org/2021-covid-19-state-restrictions-re-openings-and-mask-requirements/")</f>
        <v>https://www.nashp.org/2021-covid-19-state-restrictions-re-openings-and-mask-requirements/</v>
      </c>
      <c r="H769" s="1"/>
      <c r="I769" s="1"/>
    </row>
    <row r="770">
      <c r="A770" s="2">
        <f>IFERROR(__xludf.DUMMYFUNCTION("""COMPUTED_VALUE"""),44267.0)</f>
        <v>44267</v>
      </c>
      <c r="B770" s="1" t="str">
        <f>IFERROR(__xludf.DUMMYFUNCTION("""COMPUTED_VALUE"""),"Oklahoma")</f>
        <v>Oklahoma</v>
      </c>
      <c r="C770" s="1" t="str">
        <f>IFERROR(__xludf.DUMMYFUNCTION("""COMPUTED_VALUE"""),"State Proclamations ")</f>
        <v>State Proclamations </v>
      </c>
      <c r="D770" s="1" t="str">
        <f>IFERROR(__xludf.DUMMYFUNCTION("""COMPUTED_VALUE"""),"Opening")</f>
        <v>Opening</v>
      </c>
      <c r="E770" s="1" t="str">
        <f>IFERROR(__xludf.DUMMYFUNCTION("""COMPUTED_VALUE"""),"The governor eased restrictions on public gatherings and indoor sporting events.")</f>
        <v>The governor eased restrictions on public gatherings and indoor sporting events.</v>
      </c>
      <c r="F770" s="1" t="str">
        <f>IFERROR(__xludf.DUMMYFUNCTION("""COMPUTED_VALUE"""),"National Academy for State Health Policy")</f>
        <v>National Academy for State Health Policy</v>
      </c>
      <c r="G770" s="3" t="str">
        <f>IFERROR(__xludf.DUMMYFUNCTION("""COMPUTED_VALUE"""),"https://www.nashp.org/2021-covid-19-state-restrictions-re-openings-and-mask-requirements/")</f>
        <v>https://www.nashp.org/2021-covid-19-state-restrictions-re-openings-and-mask-requirements/</v>
      </c>
      <c r="H770" s="1"/>
      <c r="I770" s="1"/>
    </row>
    <row r="771">
      <c r="A771" s="2">
        <f>IFERROR(__xludf.DUMMYFUNCTION("""COMPUTED_VALUE"""),44320.0)</f>
        <v>44320</v>
      </c>
      <c r="B771" s="1" t="str">
        <f>IFERROR(__xludf.DUMMYFUNCTION("""COMPUTED_VALUE"""),"Oklahoma")</f>
        <v>Oklahoma</v>
      </c>
      <c r="C771" s="1" t="str">
        <f>IFERROR(__xludf.DUMMYFUNCTION("""COMPUTED_VALUE"""),"State of Emergency")</f>
        <v>State of Emergency</v>
      </c>
      <c r="D771" s="1" t="str">
        <f>IFERROR(__xludf.DUMMYFUNCTION("""COMPUTED_VALUE"""),"End")</f>
        <v>End</v>
      </c>
      <c r="E771" s="1" t="str">
        <f>IFERROR(__xludf.DUMMYFUNCTION("""COMPUTED_VALUE"""),"State of Emergency ended May 4, 2021")</f>
        <v>State of Emergency ended May 4, 2021</v>
      </c>
      <c r="F771" s="1" t="str">
        <f>IFERROR(__xludf.DUMMYFUNCTION("""COMPUTED_VALUE"""),"National Academy for State Health Policy")</f>
        <v>National Academy for State Health Policy</v>
      </c>
      <c r="G771" s="3" t="str">
        <f>IFERROR(__xludf.DUMMYFUNCTION("""COMPUTED_VALUE"""),"https://www.nashp.org/2021-covid-19-state-restrictions-re-openings-and-mask-requirements/")</f>
        <v>https://www.nashp.org/2021-covid-19-state-restrictions-re-openings-and-mask-requirements/</v>
      </c>
      <c r="H771" s="1"/>
      <c r="I771" s="1"/>
    </row>
    <row r="772">
      <c r="A772" s="2">
        <f>IFERROR(__xludf.DUMMYFUNCTION("""COMPUTED_VALUE"""),43898.0)</f>
        <v>43898</v>
      </c>
      <c r="B772" s="1" t="str">
        <f>IFERROR(__xludf.DUMMYFUNCTION("""COMPUTED_VALUE"""),"Oregon")</f>
        <v>Oregon</v>
      </c>
      <c r="C772" s="1" t="str">
        <f>IFERROR(__xludf.DUMMYFUNCTION("""COMPUTED_VALUE"""),"State of Emergency")</f>
        <v>State of Emergency</v>
      </c>
      <c r="D772" s="1" t="str">
        <f>IFERROR(__xludf.DUMMYFUNCTION("""COMPUTED_VALUE"""),"Start")</f>
        <v>Start</v>
      </c>
      <c r="E772" s="1" t="str">
        <f>IFERROR(__xludf.DUMMYFUNCTION("""COMPUTED_VALUE"""),"Gov. Kate Brown announced the declaration on March 8, which will remain in effect for 60 days but could be extended.")</f>
        <v>Gov. Kate Brown announced the declaration on March 8, which will remain in effect for 60 days but could be extended.</v>
      </c>
      <c r="F772" s="1" t="str">
        <f>IFERROR(__xludf.DUMMYFUNCTION("""COMPUTED_VALUE"""),"Business Insider")</f>
        <v>Business Insider</v>
      </c>
      <c r="G772" s="3" t="str">
        <f>IFERROR(__xludf.DUMMYFUNCTION("""COMPUTED_VALUE"""),"https://www.businessinsider.com/california-washington-state-of-emergency-coronavirus-what-it-means-2020-3#oregon-8")</f>
        <v>https://www.businessinsider.com/california-washington-state-of-emergency-coronavirus-what-it-means-2020-3#oregon-8</v>
      </c>
      <c r="H772" s="1"/>
      <c r="I772" s="1"/>
    </row>
    <row r="773">
      <c r="A773" s="2">
        <f>IFERROR(__xludf.DUMMYFUNCTION("""COMPUTED_VALUE"""),43913.0)</f>
        <v>43913</v>
      </c>
      <c r="B773" s="1" t="str">
        <f>IFERROR(__xludf.DUMMYFUNCTION("""COMPUTED_VALUE"""),"Oregon")</f>
        <v>Oregon</v>
      </c>
      <c r="C773" s="1" t="str">
        <f>IFERROR(__xludf.DUMMYFUNCTION("""COMPUTED_VALUE"""),"Stay-at-Home Order")</f>
        <v>Stay-at-Home Order</v>
      </c>
      <c r="D773" s="1" t="str">
        <f>IFERROR(__xludf.DUMMYFUNCTION("""COMPUTED_VALUE"""),"Start")</f>
        <v>Start</v>
      </c>
      <c r="E773" s="1" t="str">
        <f>IFERROR(__xludf.DUMMYFUNCTION("""COMPUTED_VALUE"""),"Original stay-at-home order begins")</f>
        <v>Original stay-at-home order begins</v>
      </c>
      <c r="F773" s="1" t="str">
        <f>IFERROR(__xludf.DUMMYFUNCTION("""COMPUTED_VALUE"""),"National Academy for State Health Policy")</f>
        <v>National Academy for State Health Policy</v>
      </c>
      <c r="G773" s="3" t="str">
        <f>IFERROR(__xludf.DUMMYFUNCTION("""COMPUTED_VALUE"""),"https://www.nashp.org/2020-state-reopening-chart/")</f>
        <v>https://www.nashp.org/2020-state-reopening-chart/</v>
      </c>
      <c r="H773" s="1"/>
      <c r="I773" s="1"/>
    </row>
    <row r="774">
      <c r="A774" s="2">
        <f>IFERROR(__xludf.DUMMYFUNCTION("""COMPUTED_VALUE"""),43952.0)</f>
        <v>43952</v>
      </c>
      <c r="B774" s="1" t="str">
        <f>IFERROR(__xludf.DUMMYFUNCTION("""COMPUTED_VALUE"""),"Oregon")</f>
        <v>Oregon</v>
      </c>
      <c r="C774" s="1" t="str">
        <f>IFERROR(__xludf.DUMMYFUNCTION("""COMPUTED_VALUE"""),"State Proclamations ")</f>
        <v>State Proclamations </v>
      </c>
      <c r="D774" s="1" t="str">
        <f>IFERROR(__xludf.DUMMYFUNCTION("""COMPUTED_VALUE"""),"Opening")</f>
        <v>Opening</v>
      </c>
      <c r="E774" s="1" t="str">
        <f>IFERROR(__xludf.DUMMYFUNCTION("""COMPUTED_VALUE"""),"Oregon has reopened retail stores, restaurant dining, bars, personal care services, houses of worship, and movie theaters, bowling alleys, pools and gyms in most counties. Nonessential medical procedures resumed May 1.")</f>
        <v>Oregon has reopened retail stores, restaurant dining, bars, personal care services, houses of worship, and movie theaters, bowling alleys, pools and gyms in most counties. Nonessential medical procedures resumed May 1.</v>
      </c>
      <c r="F774" s="1" t="str">
        <f>IFERROR(__xludf.DUMMYFUNCTION("""COMPUTED_VALUE"""),"National Academy for State Health Policy")</f>
        <v>National Academy for State Health Policy</v>
      </c>
      <c r="G774" s="3" t="str">
        <f>IFERROR(__xludf.DUMMYFUNCTION("""COMPUTED_VALUE"""),"https://www.nashp.org/2020-state-reopening-chart/")</f>
        <v>https://www.nashp.org/2020-state-reopening-chart/</v>
      </c>
      <c r="H774" s="1"/>
      <c r="I774" s="1"/>
    </row>
    <row r="775">
      <c r="A775" s="2">
        <f>IFERROR(__xludf.DUMMYFUNCTION("""COMPUTED_VALUE"""),43983.0)</f>
        <v>43983</v>
      </c>
      <c r="B775" s="1" t="str">
        <f>IFERROR(__xludf.DUMMYFUNCTION("""COMPUTED_VALUE"""),"Oregon")</f>
        <v>Oregon</v>
      </c>
      <c r="C775" s="1" t="str">
        <f>IFERROR(__xludf.DUMMYFUNCTION("""COMPUTED_VALUE"""),"State Proclamations ")</f>
        <v>State Proclamations </v>
      </c>
      <c r="D775" s="1" t="str">
        <f>IFERROR(__xludf.DUMMYFUNCTION("""COMPUTED_VALUE"""),"Opening")</f>
        <v>Opening</v>
      </c>
      <c r="E775" s="1" t="str">
        <f>IFERROR(__xludf.DUMMYFUNCTION("""COMPUTED_VALUE"""),"Football, basketball and lacrosse teams could train, and catering businesses and banquet halls reopened with capacity limited to 300 guests.")</f>
        <v>Football, basketball and lacrosse teams could train, and catering businesses and banquet halls reopened with capacity limited to 300 guests.</v>
      </c>
      <c r="F775" s="1" t="str">
        <f>IFERROR(__xludf.DUMMYFUNCTION("""COMPUTED_VALUE"""),"National Academy for State Health Policy")</f>
        <v>National Academy for State Health Policy</v>
      </c>
      <c r="G775" s="3" t="str">
        <f>IFERROR(__xludf.DUMMYFUNCTION("""COMPUTED_VALUE"""),"https://www.nashp.org/2020-state-reopening-chart/")</f>
        <v>https://www.nashp.org/2020-state-reopening-chart/</v>
      </c>
      <c r="H775" s="1"/>
      <c r="I775" s="1"/>
    </row>
    <row r="776">
      <c r="A776" s="2">
        <f>IFERROR(__xludf.DUMMYFUNCTION("""COMPUTED_VALUE"""),43987.0)</f>
        <v>43987</v>
      </c>
      <c r="B776" s="1" t="str">
        <f>IFERROR(__xludf.DUMMYFUNCTION("""COMPUTED_VALUE"""),"Oregon")</f>
        <v>Oregon</v>
      </c>
      <c r="C776" s="1" t="str">
        <f>IFERROR(__xludf.DUMMYFUNCTION("""COMPUTED_VALUE"""),"State Proclamations ")</f>
        <v>State Proclamations </v>
      </c>
      <c r="D776" s="1" t="str">
        <f>IFERROR(__xludf.DUMMYFUNCTION("""COMPUTED_VALUE"""),"Opening")</f>
        <v>Opening</v>
      </c>
      <c r="E776" s="1" t="str">
        <f>IFERROR(__xludf.DUMMYFUNCTION("""COMPUTED_VALUE"""),"Many counties were able to reopen movie theaters, bowling alleys, and offices.")</f>
        <v>Many counties were able to reopen movie theaters, bowling alleys, and offices.</v>
      </c>
      <c r="F776" s="1" t="str">
        <f>IFERROR(__xludf.DUMMYFUNCTION("""COMPUTED_VALUE"""),"National Academy for State Health Policy")</f>
        <v>National Academy for State Health Policy</v>
      </c>
      <c r="G776" s="3" t="str">
        <f>IFERROR(__xludf.DUMMYFUNCTION("""COMPUTED_VALUE"""),"https://www.nashp.org/2020-state-reopening-chart/")</f>
        <v>https://www.nashp.org/2020-state-reopening-chart/</v>
      </c>
      <c r="H776" s="1"/>
      <c r="I776" s="1"/>
    </row>
    <row r="777">
      <c r="A777" s="2">
        <f>IFERROR(__xludf.DUMMYFUNCTION("""COMPUTED_VALUE"""),43994.0)</f>
        <v>43994</v>
      </c>
      <c r="B777" s="1" t="str">
        <f>IFERROR(__xludf.DUMMYFUNCTION("""COMPUTED_VALUE"""),"Oregon")</f>
        <v>Oregon</v>
      </c>
      <c r="C777" s="1" t="str">
        <f>IFERROR(__xludf.DUMMYFUNCTION("""COMPUTED_VALUE"""),"State Proclamations ")</f>
        <v>State Proclamations </v>
      </c>
      <c r="D777" s="1" t="str">
        <f>IFERROR(__xludf.DUMMYFUNCTION("""COMPUTED_VALUE"""),"Closing")</f>
        <v>Closing</v>
      </c>
      <c r="E777" s="1" t="str">
        <f>IFERROR(__xludf.DUMMYFUNCTION("""COMPUTED_VALUE"""),"Due to an increase in infections, the governor froze the state’s reopening plan for a week. Most counties are currently in Phase 2 of reopening. The governor has said that concerts, conventions, festivals, sports and other large gatherings will be cancell"&amp;"ed through at least September.")</f>
        <v>Due to an increase in infections, the governor froze the state’s reopening plan for a week. Most counties are currently in Phase 2 of reopening. The governor has said that concerts, conventions, festivals, sports and other large gatherings will be cancelled through at least September.</v>
      </c>
      <c r="F777" s="1" t="str">
        <f>IFERROR(__xludf.DUMMYFUNCTION("""COMPUTED_VALUE"""),"National Academy for State Health Policy")</f>
        <v>National Academy for State Health Policy</v>
      </c>
      <c r="G777" s="3" t="str">
        <f>IFERROR(__xludf.DUMMYFUNCTION("""COMPUTED_VALUE"""),"https://www.nashp.org/2020-state-reopening-chart/")</f>
        <v>https://www.nashp.org/2020-state-reopening-chart/</v>
      </c>
      <c r="H777" s="1"/>
      <c r="I777" s="1"/>
    </row>
    <row r="778">
      <c r="A778" s="2">
        <f>IFERROR(__xludf.DUMMYFUNCTION("""COMPUTED_VALUE"""),44013.0)</f>
        <v>44013</v>
      </c>
      <c r="B778" s="1" t="str">
        <f>IFERROR(__xludf.DUMMYFUNCTION("""COMPUTED_VALUE"""),"Oregon")</f>
        <v>Oregon</v>
      </c>
      <c r="C778" s="1" t="str">
        <f>IFERROR(__xludf.DUMMYFUNCTION("""COMPUTED_VALUE"""),"Mask Mandate")</f>
        <v>Mask Mandate</v>
      </c>
      <c r="D778" s="1" t="str">
        <f>IFERROR(__xludf.DUMMYFUNCTION("""COMPUTED_VALUE"""),"Start")</f>
        <v>Start</v>
      </c>
      <c r="E778" s="1" t="str">
        <f>IFERROR(__xludf.DUMMYFUNCTION("""COMPUTED_VALUE"""),"Gov. Kate Brown has now required the state's residents to wear face coverings in all indoor public spaces beginning July 1. Face covering requirements are already mandated in eight counties but this would broaden the mandate to the whole state.")</f>
        <v>Gov. Kate Brown has now required the state's residents to wear face coverings in all indoor public spaces beginning July 1. Face covering requirements are already mandated in eight counties but this would broaden the mandate to the whole state.</v>
      </c>
      <c r="F778" s="1" t="str">
        <f>IFERROR(__xludf.DUMMYFUNCTION("""COMPUTED_VALUE"""),"CNN")</f>
        <v>CNN</v>
      </c>
      <c r="G778" s="3" t="str">
        <f>IFERROR(__xludf.DUMMYFUNCTION("""COMPUTED_VALUE"""),"https://www.cnn.com/2020/06/19/us/states-face-mask-coronavirus-trnd/index.html")</f>
        <v>https://www.cnn.com/2020/06/19/us/states-face-mask-coronavirus-trnd/index.html</v>
      </c>
      <c r="H778" s="1"/>
      <c r="I778" s="1"/>
    </row>
    <row r="779">
      <c r="A779" s="2">
        <f>IFERROR(__xludf.DUMMYFUNCTION("""COMPUTED_VALUE"""),44027.0)</f>
        <v>44027</v>
      </c>
      <c r="B779" s="1" t="str">
        <f>IFERROR(__xludf.DUMMYFUNCTION("""COMPUTED_VALUE"""),"Oregon")</f>
        <v>Oregon</v>
      </c>
      <c r="C779" s="1" t="str">
        <f>IFERROR(__xludf.DUMMYFUNCTION("""COMPUTED_VALUE"""),"State Proclamations ")</f>
        <v>State Proclamations </v>
      </c>
      <c r="D779" s="1" t="str">
        <f>IFERROR(__xludf.DUMMYFUNCTION("""COMPUTED_VALUE"""),"Closing")</f>
        <v>Closing</v>
      </c>
      <c r="E779" s="1" t="str">
        <f>IFERROR(__xludf.DUMMYFUNCTION("""COMPUTED_VALUE"""),"The governor banned indoor gatherings of more than 10 people.")</f>
        <v>The governor banned indoor gatherings of more than 10 people.</v>
      </c>
      <c r="F779" s="1" t="str">
        <f>IFERROR(__xludf.DUMMYFUNCTION("""COMPUTED_VALUE"""),"National Academy for State Health Policy")</f>
        <v>National Academy for State Health Policy</v>
      </c>
      <c r="G779" s="3" t="str">
        <f>IFERROR(__xludf.DUMMYFUNCTION("""COMPUTED_VALUE"""),"https://www.nashp.org/2020-state-reopening-chart/")</f>
        <v>https://www.nashp.org/2020-state-reopening-chart/</v>
      </c>
      <c r="H779" s="1"/>
      <c r="I779" s="1"/>
    </row>
    <row r="780">
      <c r="A780" s="2">
        <f>IFERROR(__xludf.DUMMYFUNCTION("""COMPUTED_VALUE"""),44036.0)</f>
        <v>44036</v>
      </c>
      <c r="B780" s="1" t="str">
        <f>IFERROR(__xludf.DUMMYFUNCTION("""COMPUTED_VALUE"""),"Oregon")</f>
        <v>Oregon</v>
      </c>
      <c r="C780" s="1" t="str">
        <f>IFERROR(__xludf.DUMMYFUNCTION("""COMPUTED_VALUE"""),"State Proclamations ")</f>
        <v>State Proclamations </v>
      </c>
      <c r="D780" s="1" t="str">
        <f>IFERROR(__xludf.DUMMYFUNCTION("""COMPUTED_VALUE"""),"Closing")</f>
        <v>Closing</v>
      </c>
      <c r="E780" s="1" t="str">
        <f>IFERROR(__xludf.DUMMYFUNCTION("""COMPUTED_VALUE"""),"Capacity was lowered to a maximum of 100 people for indoor venues (restaurants and movie theaters) and restaurants and bars must close at 10 p.m. statewide.")</f>
        <v>Capacity was lowered to a maximum of 100 people for indoor venues (restaurants and movie theaters) and restaurants and bars must close at 10 p.m. statewide.</v>
      </c>
      <c r="F780" s="1" t="str">
        <f>IFERROR(__xludf.DUMMYFUNCTION("""COMPUTED_VALUE"""),"National Academy for State Health Policy")</f>
        <v>National Academy for State Health Policy</v>
      </c>
      <c r="G780" s="3" t="str">
        <f>IFERROR(__xludf.DUMMYFUNCTION("""COMPUTED_VALUE"""),"https://www.nashp.org/2020-state-reopening-chart/")</f>
        <v>https://www.nashp.org/2020-state-reopening-chart/</v>
      </c>
      <c r="H780" s="1"/>
      <c r="I780" s="1"/>
    </row>
    <row r="781">
      <c r="A781" s="2">
        <f>IFERROR(__xludf.DUMMYFUNCTION("""COMPUTED_VALUE"""),44056.0)</f>
        <v>44056</v>
      </c>
      <c r="B781" s="1" t="str">
        <f>IFERROR(__xludf.DUMMYFUNCTION("""COMPUTED_VALUE"""),"Oregon")</f>
        <v>Oregon</v>
      </c>
      <c r="C781" s="1" t="str">
        <f>IFERROR(__xludf.DUMMYFUNCTION("""COMPUTED_VALUE"""),"State Proclamations ")</f>
        <v>State Proclamations </v>
      </c>
      <c r="D781" s="1" t="str">
        <f>IFERROR(__xludf.DUMMYFUNCTION("""COMPUTED_VALUE"""),"Closing")</f>
        <v>Closing</v>
      </c>
      <c r="E781" s="1" t="str">
        <f>IFERROR(__xludf.DUMMYFUNCTION("""COMPUTED_VALUE"""),"The governor announced she is restoring Phase 1 restrctions in Malheur County (near the Idaho border).")</f>
        <v>The governor announced she is restoring Phase 1 restrctions in Malheur County (near the Idaho border).</v>
      </c>
      <c r="F781" s="1" t="str">
        <f>IFERROR(__xludf.DUMMYFUNCTION("""COMPUTED_VALUE"""),"National Academy for State Health Policy")</f>
        <v>National Academy for State Health Policy</v>
      </c>
      <c r="G781" s="3" t="str">
        <f>IFERROR(__xludf.DUMMYFUNCTION("""COMPUTED_VALUE"""),"https://www.nashp.org/2020-state-reopening-chart/")</f>
        <v>https://www.nashp.org/2020-state-reopening-chart/</v>
      </c>
      <c r="H781" s="1"/>
      <c r="I781" s="1"/>
    </row>
    <row r="782">
      <c r="A782" s="2">
        <f>IFERROR(__xludf.DUMMYFUNCTION("""COMPUTED_VALUE"""),44085.0)</f>
        <v>44085</v>
      </c>
      <c r="B782" s="1" t="str">
        <f>IFERROR(__xludf.DUMMYFUNCTION("""COMPUTED_VALUE"""),"Oregon")</f>
        <v>Oregon</v>
      </c>
      <c r="C782" s="1" t="str">
        <f>IFERROR(__xludf.DUMMYFUNCTION("""COMPUTED_VALUE"""),"State Proclamations ")</f>
        <v>State Proclamations </v>
      </c>
      <c r="D782" s="1" t="str">
        <f>IFERROR(__xludf.DUMMYFUNCTION("""COMPUTED_VALUE"""),"Opening")</f>
        <v>Opening</v>
      </c>
      <c r="E782" s="1" t="str">
        <f>IFERROR(__xludf.DUMMYFUNCTION("""COMPUTED_VALUE"""),"Umatilla County returned to Phase 2 of reopening after being under a stay-at-home order due to an increases in cases in July.")</f>
        <v>Umatilla County returned to Phase 2 of reopening after being under a stay-at-home order due to an increases in cases in July.</v>
      </c>
      <c r="F782" s="1" t="str">
        <f>IFERROR(__xludf.DUMMYFUNCTION("""COMPUTED_VALUE"""),"National Academy for State Health Policy")</f>
        <v>National Academy for State Health Policy</v>
      </c>
      <c r="G782" s="3" t="str">
        <f>IFERROR(__xludf.DUMMYFUNCTION("""COMPUTED_VALUE"""),"https://www.nashp.org/2020-state-reopening-chart/")</f>
        <v>https://www.nashp.org/2020-state-reopening-chart/</v>
      </c>
      <c r="H782" s="1"/>
      <c r="I782" s="1"/>
    </row>
    <row r="783">
      <c r="A783" s="2">
        <f>IFERROR(__xludf.DUMMYFUNCTION("""COMPUTED_VALUE"""),44109.0)</f>
        <v>44109</v>
      </c>
      <c r="B783" s="1" t="str">
        <f>IFERROR(__xludf.DUMMYFUNCTION("""COMPUTED_VALUE"""),"Oregon")</f>
        <v>Oregon</v>
      </c>
      <c r="C783" s="1" t="str">
        <f>IFERROR(__xludf.DUMMYFUNCTION("""COMPUTED_VALUE"""),"State Proclamations ")</f>
        <v>State Proclamations </v>
      </c>
      <c r="D783" s="1" t="str">
        <f>IFERROR(__xludf.DUMMYFUNCTION("""COMPUTED_VALUE"""),"Opening")</f>
        <v>Opening</v>
      </c>
      <c r="E783" s="1" t="str">
        <f>IFERROR(__xludf.DUMMYFUNCTION("""COMPUTED_VALUE"""),"School districts can now open for in-person instruction if their counties meet the state’s case count criteria.")</f>
        <v>School districts can now open for in-person instruction if their counties meet the state’s case count criteria.</v>
      </c>
      <c r="F783" s="1" t="str">
        <f>IFERROR(__xludf.DUMMYFUNCTION("""COMPUTED_VALUE"""),"National Academy for State Health Policy")</f>
        <v>National Academy for State Health Policy</v>
      </c>
      <c r="G783" s="3" t="str">
        <f>IFERROR(__xludf.DUMMYFUNCTION("""COMPUTED_VALUE"""),"https://www.nashp.org/2020-state-reopening-chart/")</f>
        <v>https://www.nashp.org/2020-state-reopening-chart/</v>
      </c>
      <c r="H783" s="1"/>
      <c r="I783" s="1"/>
    </row>
    <row r="784">
      <c r="A784" s="2">
        <f>IFERROR(__xludf.DUMMYFUNCTION("""COMPUTED_VALUE"""),44113.0)</f>
        <v>44113</v>
      </c>
      <c r="B784" s="1" t="str">
        <f>IFERROR(__xludf.DUMMYFUNCTION("""COMPUTED_VALUE"""),"Oregon")</f>
        <v>Oregon</v>
      </c>
      <c r="C784" s="1" t="str">
        <f>IFERROR(__xludf.DUMMYFUNCTION("""COMPUTED_VALUE"""),"State Proclamations ")</f>
        <v>State Proclamations </v>
      </c>
      <c r="D784" s="1" t="str">
        <f>IFERROR(__xludf.DUMMYFUNCTION("""COMPUTED_VALUE"""),"Opening")</f>
        <v>Opening</v>
      </c>
      <c r="E784" s="1" t="str">
        <f>IFERROR(__xludf.DUMMYFUNCTION("""COMPUTED_VALUE"""),"Public venues (concert and statdium venues) were allowed to operate with limited capacity.")</f>
        <v>Public venues (concert and statdium venues) were allowed to operate with limited capacity.</v>
      </c>
      <c r="F784" s="1" t="str">
        <f>IFERROR(__xludf.DUMMYFUNCTION("""COMPUTED_VALUE"""),"National Academy for State Health Policy")</f>
        <v>National Academy for State Health Policy</v>
      </c>
      <c r="G784" s="3" t="str">
        <f>IFERROR(__xludf.DUMMYFUNCTION("""COMPUTED_VALUE"""),"https://www.nashp.org/2020-state-reopening-chart/")</f>
        <v>https://www.nashp.org/2020-state-reopening-chart/</v>
      </c>
      <c r="H784" s="1"/>
      <c r="I784" s="1"/>
    </row>
    <row r="785">
      <c r="A785" s="2">
        <f>IFERROR(__xludf.DUMMYFUNCTION("""COMPUTED_VALUE"""),44146.0)</f>
        <v>44146</v>
      </c>
      <c r="B785" s="1" t="str">
        <f>IFERROR(__xludf.DUMMYFUNCTION("""COMPUTED_VALUE"""),"Oregon")</f>
        <v>Oregon</v>
      </c>
      <c r="C785" s="1" t="str">
        <f>IFERROR(__xludf.DUMMYFUNCTION("""COMPUTED_VALUE"""),"State Proclamations ")</f>
        <v>State Proclamations </v>
      </c>
      <c r="D785" s="1" t="str">
        <f>IFERROR(__xludf.DUMMYFUNCTION("""COMPUTED_VALUE"""),"Closing")</f>
        <v>Closing</v>
      </c>
      <c r="E785" s="1" t="str">
        <f>IFERROR(__xludf.DUMMYFUNCTION("""COMPUTED_VALUE"""),"The governor places nine counties with high spread on a two-week pause, reducing maximum restaurant capacity to 50 people for indoor dining with a maximum party size of six and maximum capacity of other indoor activities to 50 people.")</f>
        <v>The governor places nine counties with high spread on a two-week pause, reducing maximum restaurant capacity to 50 people for indoor dining with a maximum party size of six and maximum capacity of other indoor activities to 50 people.</v>
      </c>
      <c r="F785" s="1" t="str">
        <f>IFERROR(__xludf.DUMMYFUNCTION("""COMPUTED_VALUE"""),"National Academy for State Health Policy")</f>
        <v>National Academy for State Health Policy</v>
      </c>
      <c r="G785" s="3" t="str">
        <f>IFERROR(__xludf.DUMMYFUNCTION("""COMPUTED_VALUE"""),"https://www.nashp.org/2020-state-reopening-chart/")</f>
        <v>https://www.nashp.org/2020-state-reopening-chart/</v>
      </c>
      <c r="H785" s="1"/>
      <c r="I785" s="1"/>
    </row>
    <row r="786">
      <c r="A786" s="2">
        <f>IFERROR(__xludf.DUMMYFUNCTION("""COMPUTED_VALUE"""),44153.0)</f>
        <v>44153</v>
      </c>
      <c r="B786" s="1" t="str">
        <f>IFERROR(__xludf.DUMMYFUNCTION("""COMPUTED_VALUE"""),"Oregon")</f>
        <v>Oregon</v>
      </c>
      <c r="C786" s="1" t="str">
        <f>IFERROR(__xludf.DUMMYFUNCTION("""COMPUTED_VALUE"""),"State Proclamations ")</f>
        <v>State Proclamations </v>
      </c>
      <c r="D786" s="1" t="str">
        <f>IFERROR(__xludf.DUMMYFUNCTION("""COMPUTED_VALUE"""),"Closing")</f>
        <v>Closing</v>
      </c>
      <c r="E786" s="1" t="str">
        <f>IFERROR(__xludf.DUMMYFUNCTION("""COMPUTED_VALUE"""),"The governor issued an order closing gyms, halting restaurant and bar in-person service, closing indoor recreation centers as well as zoos and gardens, limiting grocery store capacity to 75%, and mandating that social gatherings have no more than six peop"&amp;"le.")</f>
        <v>The governor issued an order closing gyms, halting restaurant and bar in-person service, closing indoor recreation centers as well as zoos and gardens, limiting grocery store capacity to 75%, and mandating that social gatherings have no more than six people.</v>
      </c>
      <c r="F786" s="1" t="str">
        <f>IFERROR(__xludf.DUMMYFUNCTION("""COMPUTED_VALUE"""),"National Academy for State Health Policy")</f>
        <v>National Academy for State Health Policy</v>
      </c>
      <c r="G786" s="3" t="str">
        <f>IFERROR(__xludf.DUMMYFUNCTION("""COMPUTED_VALUE"""),"https://www.nashp.org/2020-state-reopening-chart/")</f>
        <v>https://www.nashp.org/2020-state-reopening-chart/</v>
      </c>
      <c r="H786" s="1"/>
      <c r="I786" s="1"/>
    </row>
    <row r="787">
      <c r="A787" s="2">
        <f>IFERROR(__xludf.DUMMYFUNCTION("""COMPUTED_VALUE"""),44182.0)</f>
        <v>44182</v>
      </c>
      <c r="B787" s="1" t="str">
        <f>IFERROR(__xludf.DUMMYFUNCTION("""COMPUTED_VALUE"""),"Oregon")</f>
        <v>Oregon</v>
      </c>
      <c r="C787" s="1" t="str">
        <f>IFERROR(__xludf.DUMMYFUNCTION("""COMPUTED_VALUE"""),"State Proclamations ")</f>
        <v>State Proclamations </v>
      </c>
      <c r="D787" s="1" t="str">
        <f>IFERROR(__xludf.DUMMYFUNCTION("""COMPUTED_VALUE"""),"Closing")</f>
        <v>Closing</v>
      </c>
      <c r="E787" s="1" t="str">
        <f>IFERROR(__xludf.DUMMYFUNCTION("""COMPUTED_VALUE"""),"The governor extended the state’s coronavirus emergency order through March 3, 2021.")</f>
        <v>The governor extended the state’s coronavirus emergency order through March 3, 2021.</v>
      </c>
      <c r="F787" s="1" t="str">
        <f>IFERROR(__xludf.DUMMYFUNCTION("""COMPUTED_VALUE"""),"National Academy for State Health Policy")</f>
        <v>National Academy for State Health Policy</v>
      </c>
      <c r="G787" s="3" t="str">
        <f>IFERROR(__xludf.DUMMYFUNCTION("""COMPUTED_VALUE"""),"https://www.nashp.org/2020-state-reopening-chart/")</f>
        <v>https://www.nashp.org/2020-state-reopening-chart/</v>
      </c>
      <c r="H787" s="1"/>
      <c r="I787" s="1"/>
    </row>
    <row r="788">
      <c r="A788" s="2">
        <f>IFERROR(__xludf.DUMMYFUNCTION("""COMPUTED_VALUE"""),44183.0)</f>
        <v>44183</v>
      </c>
      <c r="B788" s="1" t="str">
        <f>IFERROR(__xludf.DUMMYFUNCTION("""COMPUTED_VALUE"""),"Oregon")</f>
        <v>Oregon</v>
      </c>
      <c r="C788" s="1" t="str">
        <f>IFERROR(__xludf.DUMMYFUNCTION("""COMPUTED_VALUE"""),"State Proclamations ")</f>
        <v>State Proclamations </v>
      </c>
      <c r="D788" s="1" t="str">
        <f>IFERROR(__xludf.DUMMYFUNCTION("""COMPUTED_VALUE"""),"Closing")</f>
        <v>Closing</v>
      </c>
      <c r="E788" s="1" t="str">
        <f>IFERROR(__xludf.DUMMYFUNCTION("""COMPUTED_VALUE"""),"Indoor dining is prohibited, some indoor businesses must close, and indoor religious services are limited to 25% of capacity or 100 people.")</f>
        <v>Indoor dining is prohibited, some indoor businesses must close, and indoor religious services are limited to 25% of capacity or 100 people.</v>
      </c>
      <c r="F788" s="1" t="str">
        <f>IFERROR(__xludf.DUMMYFUNCTION("""COMPUTED_VALUE"""),"National Academy for State Health Policy")</f>
        <v>National Academy for State Health Policy</v>
      </c>
      <c r="G788" s="3" t="str">
        <f>IFERROR(__xludf.DUMMYFUNCTION("""COMPUTED_VALUE"""),"https://www.nashp.org/2020-state-reopening-chart/")</f>
        <v>https://www.nashp.org/2020-state-reopening-chart/</v>
      </c>
      <c r="H788" s="1"/>
      <c r="I788" s="1"/>
    </row>
    <row r="789">
      <c r="A789" s="2">
        <f>IFERROR(__xludf.DUMMYFUNCTION("""COMPUTED_VALUE"""),44208.0)</f>
        <v>44208</v>
      </c>
      <c r="B789" s="1" t="str">
        <f>IFERROR(__xludf.DUMMYFUNCTION("""COMPUTED_VALUE"""),"Oregon")</f>
        <v>Oregon</v>
      </c>
      <c r="C789" s="1" t="str">
        <f>IFERROR(__xludf.DUMMYFUNCTION("""COMPUTED_VALUE"""),"State Proclamations ")</f>
        <v>State Proclamations </v>
      </c>
      <c r="D789" s="1" t="str">
        <f>IFERROR(__xludf.DUMMYFUNCTION("""COMPUTED_VALUE"""),"Closing")</f>
        <v>Closing</v>
      </c>
      <c r="E789" s="1" t="str">
        <f>IFERROR(__xludf.DUMMYFUNCTION("""COMPUTED_VALUE"""),"Gov. Kate Brown announced that effective Jan. 15-28, 2021, 26 counties will be in the state’s Extreme Risk level, 2 will be at High Risk, 2 will be at Moderate Risk, and 6 will have Lower Risk restrictions.")</f>
        <v>Gov. Kate Brown announced that effective Jan. 15-28, 2021, 26 counties will be in the state’s Extreme Risk level, 2 will be at High Risk, 2 will be at Moderate Risk, and 6 will have Lower Risk restrictions.</v>
      </c>
      <c r="F789" s="1" t="str">
        <f>IFERROR(__xludf.DUMMYFUNCTION("""COMPUTED_VALUE"""),"National Academy for State Health Policy")</f>
        <v>National Academy for State Health Policy</v>
      </c>
      <c r="G789" s="3" t="str">
        <f>IFERROR(__xludf.DUMMYFUNCTION("""COMPUTED_VALUE"""),"https://www.nashp.org/2021-covid-19-state-restrictions-re-openings-and-mask-requirements/")</f>
        <v>https://www.nashp.org/2021-covid-19-state-restrictions-re-openings-and-mask-requirements/</v>
      </c>
      <c r="H789" s="1"/>
      <c r="I789" s="1"/>
    </row>
    <row r="790">
      <c r="A790" s="2">
        <f>IFERROR(__xludf.DUMMYFUNCTION("""COMPUTED_VALUE"""),44225.0)</f>
        <v>44225</v>
      </c>
      <c r="B790" s="1" t="str">
        <f>IFERROR(__xludf.DUMMYFUNCTION("""COMPUTED_VALUE"""),"Oregon")</f>
        <v>Oregon</v>
      </c>
      <c r="C790" s="1" t="str">
        <f>IFERROR(__xludf.DUMMYFUNCTION("""COMPUTED_VALUE"""),"State Proclamations ")</f>
        <v>State Proclamations </v>
      </c>
      <c r="D790" s="1" t="str">
        <f>IFERROR(__xludf.DUMMYFUNCTION("""COMPUTED_VALUE"""),"Opening")</f>
        <v>Opening</v>
      </c>
      <c r="E790" s="1" t="str">
        <f>IFERROR(__xludf.DUMMYFUNCTION("""COMPUTED_VALUE"""),"Effective through Feb. 11, 25 counties will be in the state’s Extreme Risk level, 2 will be at High Risk, 2 will be at Moderate Risk, and 7 will have Lower Risk restrictions.")</f>
        <v>Effective through Feb. 11, 25 counties will be in the state’s Extreme Risk level, 2 will be at High Risk, 2 will be at Moderate Risk, and 7 will have Lower Risk restrictions.</v>
      </c>
      <c r="F790" s="1" t="str">
        <f>IFERROR(__xludf.DUMMYFUNCTION("""COMPUTED_VALUE"""),"National Academy for State Health Policy")</f>
        <v>National Academy for State Health Policy</v>
      </c>
      <c r="G790" s="3" t="str">
        <f>IFERROR(__xludf.DUMMYFUNCTION("""COMPUTED_VALUE"""),"https://www.nashp.org/2021-covid-19-state-restrictions-re-openings-and-mask-requirements/")</f>
        <v>https://www.nashp.org/2021-covid-19-state-restrictions-re-openings-and-mask-requirements/</v>
      </c>
      <c r="H790" s="1"/>
      <c r="I790" s="1"/>
    </row>
    <row r="791">
      <c r="A791" s="2">
        <f>IFERROR(__xludf.DUMMYFUNCTION("""COMPUTED_VALUE"""),44239.0)</f>
        <v>44239</v>
      </c>
      <c r="B791" s="1" t="str">
        <f>IFERROR(__xludf.DUMMYFUNCTION("""COMPUTED_VALUE"""),"Oregon")</f>
        <v>Oregon</v>
      </c>
      <c r="C791" s="1" t="str">
        <f>IFERROR(__xludf.DUMMYFUNCTION("""COMPUTED_VALUE"""),"State Proclamations ")</f>
        <v>State Proclamations </v>
      </c>
      <c r="D791" s="1" t="str">
        <f>IFERROR(__xludf.DUMMYFUNCTION("""COMPUTED_VALUE"""),"Opening")</f>
        <v>Opening</v>
      </c>
      <c r="E791" s="1" t="str">
        <f>IFERROR(__xludf.DUMMYFUNCTION("""COMPUTED_VALUE"""),"Effective through Feb. 25, 14 counties will be in the state’s Extreme Risk level, 11 will be at High Risk, 3 will be at Moderate Risk, and eigh will have Lower Risk restrictions.")</f>
        <v>Effective through Feb. 25, 14 counties will be in the state’s Extreme Risk level, 11 will be at High Risk, 3 will be at Moderate Risk, and eigh will have Lower Risk restrictions.</v>
      </c>
      <c r="F791" s="1" t="str">
        <f>IFERROR(__xludf.DUMMYFUNCTION("""COMPUTED_VALUE"""),"National Academy for State Health Policy")</f>
        <v>National Academy for State Health Policy</v>
      </c>
      <c r="G791" s="3" t="str">
        <f>IFERROR(__xludf.DUMMYFUNCTION("""COMPUTED_VALUE"""),"https://www.nashp.org/2021-covid-19-state-restrictions-re-openings-and-mask-requirements/")</f>
        <v>https://www.nashp.org/2021-covid-19-state-restrictions-re-openings-and-mask-requirements/</v>
      </c>
      <c r="H791" s="1"/>
      <c r="I791" s="1"/>
    </row>
    <row r="792">
      <c r="A792" s="2">
        <f>IFERROR(__xludf.DUMMYFUNCTION("""COMPUTED_VALUE"""),44253.0)</f>
        <v>44253</v>
      </c>
      <c r="B792" s="1" t="str">
        <f>IFERROR(__xludf.DUMMYFUNCTION("""COMPUTED_VALUE"""),"Oregon")</f>
        <v>Oregon</v>
      </c>
      <c r="C792" s="1" t="str">
        <f>IFERROR(__xludf.DUMMYFUNCTION("""COMPUTED_VALUE"""),"State Proclamations ")</f>
        <v>State Proclamations </v>
      </c>
      <c r="D792" s="1" t="str">
        <f>IFERROR(__xludf.DUMMYFUNCTION("""COMPUTED_VALUE"""),"Opening")</f>
        <v>Opening</v>
      </c>
      <c r="E792" s="1" t="str">
        <f>IFERROR(__xludf.DUMMYFUNCTION("""COMPUTED_VALUE"""),"Effective through March 11, five counties will be in the state’s Extreme Risk level, 11 will be at High Risk, 10 will be at Moderate Risk, and 10 will have Lower Risk restrictions.")</f>
        <v>Effective through March 11, five counties will be in the state’s Extreme Risk level, 11 will be at High Risk, 10 will be at Moderate Risk, and 10 will have Lower Risk restrictions.</v>
      </c>
      <c r="F792" s="1" t="str">
        <f>IFERROR(__xludf.DUMMYFUNCTION("""COMPUTED_VALUE"""),"National Academy for State Health Policy")</f>
        <v>National Academy for State Health Policy</v>
      </c>
      <c r="G792" s="3" t="str">
        <f>IFERROR(__xludf.DUMMYFUNCTION("""COMPUTED_VALUE"""),"https://www.nashp.org/2021-covid-19-state-restrictions-re-openings-and-mask-requirements/")</f>
        <v>https://www.nashp.org/2021-covid-19-state-restrictions-re-openings-and-mask-requirements/</v>
      </c>
      <c r="H792" s="1"/>
      <c r="I792" s="1"/>
    </row>
    <row r="793">
      <c r="A793" s="2">
        <f>IFERROR(__xludf.DUMMYFUNCTION("""COMPUTED_VALUE"""),44267.0)</f>
        <v>44267</v>
      </c>
      <c r="B793" s="1" t="str">
        <f>IFERROR(__xludf.DUMMYFUNCTION("""COMPUTED_VALUE"""),"Oregon")</f>
        <v>Oregon</v>
      </c>
      <c r="C793" s="1" t="str">
        <f>IFERROR(__xludf.DUMMYFUNCTION("""COMPUTED_VALUE"""),"State Proclamations ")</f>
        <v>State Proclamations </v>
      </c>
      <c r="D793" s="1" t="str">
        <f>IFERROR(__xludf.DUMMYFUNCTION("""COMPUTED_VALUE"""),"Opening")</f>
        <v>Opening</v>
      </c>
      <c r="E793" s="1" t="str">
        <f>IFERROR(__xludf.DUMMYFUNCTION("""COMPUTED_VALUE"""),"Effective through March 25, two counties will be in the state’s Extreme Risk level, nine will be at High Risk, 12 will be at Moderate Risk, and 13 will have Lower Risk restrictions.")</f>
        <v>Effective through March 25, two counties will be in the state’s Extreme Risk level, nine will be at High Risk, 12 will be at Moderate Risk, and 13 will have Lower Risk restrictions.</v>
      </c>
      <c r="F793" s="1" t="str">
        <f>IFERROR(__xludf.DUMMYFUNCTION("""COMPUTED_VALUE"""),"National Academy for State Health Policy")</f>
        <v>National Academy for State Health Policy</v>
      </c>
      <c r="G793" s="3" t="str">
        <f>IFERROR(__xludf.DUMMYFUNCTION("""COMPUTED_VALUE"""),"https://www.nashp.org/2021-covid-19-state-restrictions-re-openings-and-mask-requirements/")</f>
        <v>https://www.nashp.org/2021-covid-19-state-restrictions-re-openings-and-mask-requirements/</v>
      </c>
      <c r="H793" s="1"/>
      <c r="I793" s="1"/>
    </row>
    <row r="794">
      <c r="A794" s="2">
        <f>IFERROR(__xludf.DUMMYFUNCTION("""COMPUTED_VALUE"""),44271.0)</f>
        <v>44271</v>
      </c>
      <c r="B794" s="1" t="str">
        <f>IFERROR(__xludf.DUMMYFUNCTION("""COMPUTED_VALUE"""),"Oregon")</f>
        <v>Oregon</v>
      </c>
      <c r="C794" s="1" t="str">
        <f>IFERROR(__xludf.DUMMYFUNCTION("""COMPUTED_VALUE"""),"State Proclamations ")</f>
        <v>State Proclamations </v>
      </c>
      <c r="D794" s="1" t="str">
        <f>IFERROR(__xludf.DUMMYFUNCTION("""COMPUTED_VALUE"""),"Opening")</f>
        <v>Opening</v>
      </c>
      <c r="E794" s="1" t="str">
        <f>IFERROR(__xludf.DUMMYFUNCTION("""COMPUTED_VALUE"""),"Effective through April 8, two counties will be in the state’s Extreme Risk level, six will be at High Risk, 14 will be at Moderate Risk, and 14 will have Lower Risk restrictions.")</f>
        <v>Effective through April 8, two counties will be in the state’s Extreme Risk level, six will be at High Risk, 14 will be at Moderate Risk, and 14 will have Lower Risk restrictions.</v>
      </c>
      <c r="F794" s="1" t="str">
        <f>IFERROR(__xludf.DUMMYFUNCTION("""COMPUTED_VALUE"""),"National Academy for State Health Policy")</f>
        <v>National Academy for State Health Policy</v>
      </c>
      <c r="G794" s="3" t="str">
        <f>IFERROR(__xludf.DUMMYFUNCTION("""COMPUTED_VALUE"""),"https://www.nashp.org/2021-covid-19-state-restrictions-re-openings-and-mask-requirements/")</f>
        <v>https://www.nashp.org/2021-covid-19-state-restrictions-re-openings-and-mask-requirements/</v>
      </c>
      <c r="H794" s="1"/>
      <c r="I794" s="1"/>
    </row>
    <row r="795">
      <c r="A795" s="2">
        <f>IFERROR(__xludf.DUMMYFUNCTION("""COMPUTED_VALUE"""),44284.0)</f>
        <v>44284</v>
      </c>
      <c r="B795" s="1" t="str">
        <f>IFERROR(__xludf.DUMMYFUNCTION("""COMPUTED_VALUE"""),"Oregon")</f>
        <v>Oregon</v>
      </c>
      <c r="C795" s="1" t="str">
        <f>IFERROR(__xludf.DUMMYFUNCTION("""COMPUTED_VALUE"""),"State Proclamations ")</f>
        <v>State Proclamations </v>
      </c>
      <c r="D795" s="1" t="str">
        <f>IFERROR(__xludf.DUMMYFUNCTION("""COMPUTED_VALUE"""),"Opening")</f>
        <v>Opening</v>
      </c>
      <c r="E795" s="1" t="str">
        <f>IFERROR(__xludf.DUMMYFUNCTION("""COMPUTED_VALUE"""),"Public elementary schools must reopen for hybrid or full-time in-person instruction. Parents can still keep their children in fully remote instruction.")</f>
        <v>Public elementary schools must reopen for hybrid or full-time in-person instruction. Parents can still keep their children in fully remote instruction.</v>
      </c>
      <c r="F795" s="1" t="str">
        <f>IFERROR(__xludf.DUMMYFUNCTION("""COMPUTED_VALUE"""),"National Academy for State Health Policy")</f>
        <v>National Academy for State Health Policy</v>
      </c>
      <c r="G795" s="3" t="str">
        <f>IFERROR(__xludf.DUMMYFUNCTION("""COMPUTED_VALUE"""),"https://www.nashp.org/2021-covid-19-state-restrictions-re-openings-and-mask-requirements/")</f>
        <v>https://www.nashp.org/2021-covid-19-state-restrictions-re-openings-and-mask-requirements/</v>
      </c>
      <c r="H795" s="1"/>
      <c r="I795" s="1"/>
    </row>
    <row r="796">
      <c r="A796" s="2">
        <f>IFERROR(__xludf.DUMMYFUNCTION("""COMPUTED_VALUE"""),44295.0)</f>
        <v>44295</v>
      </c>
      <c r="B796" s="1" t="str">
        <f>IFERROR(__xludf.DUMMYFUNCTION("""COMPUTED_VALUE"""),"Oregon")</f>
        <v>Oregon</v>
      </c>
      <c r="C796" s="1" t="str">
        <f>IFERROR(__xludf.DUMMYFUNCTION("""COMPUTED_VALUE"""),"State Proclamations ")</f>
        <v>State Proclamations </v>
      </c>
      <c r="D796" s="1" t="str">
        <f>IFERROR(__xludf.DUMMYFUNCTION("""COMPUTED_VALUE"""),"Closing")</f>
        <v>Closing</v>
      </c>
      <c r="E796" s="1" t="str">
        <f>IFERROR(__xludf.DUMMYFUNCTION("""COMPUTED_VALUE"""),"Effective through April 22, 14 counties will be in the state’s High Risk level, six will be at Moderate Risk, and 16 will have Lower Risk restrictions.")</f>
        <v>Effective through April 22, 14 counties will be in the state’s High Risk level, six will be at Moderate Risk, and 16 will have Lower Risk restrictions.</v>
      </c>
      <c r="F796" s="1" t="str">
        <f>IFERROR(__xludf.DUMMYFUNCTION("""COMPUTED_VALUE"""),"National Academy for State Health Policy")</f>
        <v>National Academy for State Health Policy</v>
      </c>
      <c r="G796" s="3" t="str">
        <f>IFERROR(__xludf.DUMMYFUNCTION("""COMPUTED_VALUE"""),"https://www.nashp.org/2021-covid-19-state-restrictions-re-openings-and-mask-requirements/")</f>
        <v>https://www.nashp.org/2021-covid-19-state-restrictions-re-openings-and-mask-requirements/</v>
      </c>
      <c r="H796" s="1"/>
      <c r="I796" s="1"/>
    </row>
    <row r="797">
      <c r="A797" s="2">
        <f>IFERROR(__xludf.DUMMYFUNCTION("""COMPUTED_VALUE"""),44305.0)</f>
        <v>44305</v>
      </c>
      <c r="B797" s="1" t="str">
        <f>IFERROR(__xludf.DUMMYFUNCTION("""COMPUTED_VALUE"""),"Oregon")</f>
        <v>Oregon</v>
      </c>
      <c r="C797" s="1" t="str">
        <f>IFERROR(__xludf.DUMMYFUNCTION("""COMPUTED_VALUE"""),"State Proclamations ")</f>
        <v>State Proclamations </v>
      </c>
      <c r="D797" s="1" t="str">
        <f>IFERROR(__xludf.DUMMYFUNCTION("""COMPUTED_VALUE"""),"Opening")</f>
        <v>Opening</v>
      </c>
      <c r="E797" s="1" t="str">
        <f>IFERROR(__xludf.DUMMYFUNCTION("""COMPUTED_VALUE"""),"Public schools must reopen for grades 6-12 for hybrid or full-time in-person instruction. Parents can still keep their children in fully remote instruction.")</f>
        <v>Public schools must reopen for grades 6-12 for hybrid or full-time in-person instruction. Parents can still keep their children in fully remote instruction.</v>
      </c>
      <c r="F797" s="1" t="str">
        <f>IFERROR(__xludf.DUMMYFUNCTION("""COMPUTED_VALUE"""),"National Academy for State Health Policy")</f>
        <v>National Academy for State Health Policy</v>
      </c>
      <c r="G797" s="3" t="str">
        <f>IFERROR(__xludf.DUMMYFUNCTION("""COMPUTED_VALUE"""),"https://www.nashp.org/2021-covid-19-state-restrictions-re-openings-and-mask-requirements/")</f>
        <v>https://www.nashp.org/2021-covid-19-state-restrictions-re-openings-and-mask-requirements/</v>
      </c>
      <c r="H797" s="1"/>
      <c r="I797" s="1"/>
    </row>
    <row r="798">
      <c r="A798" s="2">
        <f>IFERROR(__xludf.DUMMYFUNCTION("""COMPUTED_VALUE"""),44309.0)</f>
        <v>44309</v>
      </c>
      <c r="B798" s="1" t="str">
        <f>IFERROR(__xludf.DUMMYFUNCTION("""COMPUTED_VALUE"""),"Oregon")</f>
        <v>Oregon</v>
      </c>
      <c r="C798" s="1" t="str">
        <f>IFERROR(__xludf.DUMMYFUNCTION("""COMPUTED_VALUE"""),"State Proclamations ")</f>
        <v>State Proclamations </v>
      </c>
      <c r="D798" s="1" t="str">
        <f>IFERROR(__xludf.DUMMYFUNCTION("""COMPUTED_VALUE"""),"Closing")</f>
        <v>Closing</v>
      </c>
      <c r="E798" s="1" t="str">
        <f>IFERROR(__xludf.DUMMYFUNCTION("""COMPUTED_VALUE"""),"Effective through May 6, 23 counties will be in the state’s High Risk level, three will be at Moderate Risk, and 10 will have Lower Risk restrictions. In the current period from April 9-22, 14 counties are in the state’s High Risk level, six are at Modera"&amp;"te Risk, and 16 have Lower Risk restrictions.")</f>
        <v>Effective through May 6, 23 counties will be in the state’s High Risk level, three will be at Moderate Risk, and 10 will have Lower Risk restrictions. In the current period from April 9-22, 14 counties are in the state’s High Risk level, six are at Moderate Risk, and 16 have Lower Risk restrictions.</v>
      </c>
      <c r="F798" s="1" t="str">
        <f>IFERROR(__xludf.DUMMYFUNCTION("""COMPUTED_VALUE"""),"National Academy for State Health Policy")</f>
        <v>National Academy for State Health Policy</v>
      </c>
      <c r="G798" s="3" t="str">
        <f>IFERROR(__xludf.DUMMYFUNCTION("""COMPUTED_VALUE"""),"https://www.nashp.org/2021-covid-19-state-restrictions-re-openings-and-mask-requirements/")</f>
        <v>https://www.nashp.org/2021-covid-19-state-restrictions-re-openings-and-mask-requirements/</v>
      </c>
      <c r="H798" s="1"/>
      <c r="I798" s="1"/>
    </row>
    <row r="799">
      <c r="A799" s="2">
        <f>IFERROR(__xludf.DUMMYFUNCTION("""COMPUTED_VALUE"""),44316.0)</f>
        <v>44316</v>
      </c>
      <c r="B799" s="1" t="str">
        <f>IFERROR(__xludf.DUMMYFUNCTION("""COMPUTED_VALUE"""),"Oregon")</f>
        <v>Oregon</v>
      </c>
      <c r="C799" s="1" t="str">
        <f>IFERROR(__xludf.DUMMYFUNCTION("""COMPUTED_VALUE"""),"State Proclamations ")</f>
        <v>State Proclamations </v>
      </c>
      <c r="D799" s="1" t="str">
        <f>IFERROR(__xludf.DUMMYFUNCTION("""COMPUTED_VALUE"""),"Closing")</f>
        <v>Closing</v>
      </c>
      <c r="E799" s="1" t="str">
        <f>IFERROR(__xludf.DUMMYFUNCTION("""COMPUTED_VALUE"""),"Effective through May 6, 15 counties will be in the state’s Extreme Risk level, nine counties will be at High Risk, 4 will be at Moderate Risk, and eight will have Lower Risk restrictions. Currently, 23 counties are in the state’s High Risk level, three a"&amp;"re at Moderate Risk, and 10 have Lower Risk restrictions.")</f>
        <v>Effective through May 6, 15 counties will be in the state’s Extreme Risk level, nine counties will be at High Risk, 4 will be at Moderate Risk, and eight will have Lower Risk restrictions. Currently, 23 counties are in the state’s High Risk level, three are at Moderate Risk, and 10 have Lower Risk restrictions.</v>
      </c>
      <c r="F799" s="1" t="str">
        <f>IFERROR(__xludf.DUMMYFUNCTION("""COMPUTED_VALUE"""),"National Academy for State Health Policy")</f>
        <v>National Academy for State Health Policy</v>
      </c>
      <c r="G799" s="3" t="str">
        <f>IFERROR(__xludf.DUMMYFUNCTION("""COMPUTED_VALUE"""),"https://www.nashp.org/2021-covid-19-state-restrictions-re-openings-and-mask-requirements/")</f>
        <v>https://www.nashp.org/2021-covid-19-state-restrictions-re-openings-and-mask-requirements/</v>
      </c>
      <c r="H799" s="1"/>
      <c r="I799" s="1"/>
    </row>
    <row r="800">
      <c r="A800" s="2">
        <f>IFERROR(__xludf.DUMMYFUNCTION("""COMPUTED_VALUE"""),44323.0)</f>
        <v>44323</v>
      </c>
      <c r="B800" s="1" t="str">
        <f>IFERROR(__xludf.DUMMYFUNCTION("""COMPUTED_VALUE"""),"Oregon")</f>
        <v>Oregon</v>
      </c>
      <c r="C800" s="1" t="str">
        <f>IFERROR(__xludf.DUMMYFUNCTION("""COMPUTED_VALUE"""),"State Proclamations ")</f>
        <v>State Proclamations </v>
      </c>
      <c r="D800" s="1" t="str">
        <f>IFERROR(__xludf.DUMMYFUNCTION("""COMPUTED_VALUE"""),"Closing")</f>
        <v>Closing</v>
      </c>
      <c r="E800" s="1" t="str">
        <f>IFERROR(__xludf.DUMMYFUNCTION("""COMPUTED_VALUE"""),"24 counties will be in the state’s High Risk level, four will be at Moderate Risk, and eight will have Lower Risk restrictions.")</f>
        <v>24 counties will be in the state’s High Risk level, four will be at Moderate Risk, and eight will have Lower Risk restrictions.</v>
      </c>
      <c r="F800" s="1" t="str">
        <f>IFERROR(__xludf.DUMMYFUNCTION("""COMPUTED_VALUE"""),"National Academy for State Health Policy")</f>
        <v>National Academy for State Health Policy</v>
      </c>
      <c r="G800" s="3" t="str">
        <f>IFERROR(__xludf.DUMMYFUNCTION("""COMPUTED_VALUE"""),"https://www.nashp.org/2021-covid-19-state-restrictions-re-openings-and-mask-requirements/")</f>
        <v>https://www.nashp.org/2021-covid-19-state-restrictions-re-openings-and-mask-requirements/</v>
      </c>
      <c r="H800" s="1"/>
      <c r="I800" s="1"/>
    </row>
    <row r="801">
      <c r="A801" s="2">
        <f>IFERROR(__xludf.DUMMYFUNCTION("""COMPUTED_VALUE"""),44327.0)</f>
        <v>44327</v>
      </c>
      <c r="B801" s="1" t="str">
        <f>IFERROR(__xludf.DUMMYFUNCTION("""COMPUTED_VALUE"""),"Oregon")</f>
        <v>Oregon</v>
      </c>
      <c r="C801" s="1" t="str">
        <f>IFERROR(__xludf.DUMMYFUNCTION("""COMPUTED_VALUE"""),"State Proclamations ")</f>
        <v>State Proclamations </v>
      </c>
      <c r="D801" s="1" t="str">
        <f>IFERROR(__xludf.DUMMYFUNCTION("""COMPUTED_VALUE"""),"Opening")</f>
        <v>Opening</v>
      </c>
      <c r="E801" s="1" t="str">
        <f>IFERROR(__xludf.DUMMYFUNCTION("""COMPUTED_VALUE"""),"The governor announced a 70% statewide goal to reach residents 16 and older with a first dose to lift most Risk Level restrictions. Masks and social distancing will still be required.")</f>
        <v>The governor announced a 70% statewide goal to reach residents 16 and older with a first dose to lift most Risk Level restrictions. Masks and social distancing will still be required.</v>
      </c>
      <c r="F801" s="1" t="str">
        <f>IFERROR(__xludf.DUMMYFUNCTION("""COMPUTED_VALUE"""),"National Academy for State Health Policy")</f>
        <v>National Academy for State Health Policy</v>
      </c>
      <c r="G801" s="3" t="str">
        <f>IFERROR(__xludf.DUMMYFUNCTION("""COMPUTED_VALUE"""),"https://www.nashp.org/2021-covid-19-state-restrictions-re-openings-and-mask-requirements/")</f>
        <v>https://www.nashp.org/2021-covid-19-state-restrictions-re-openings-and-mask-requirements/</v>
      </c>
      <c r="H801" s="1"/>
      <c r="I801" s="1"/>
    </row>
    <row r="802">
      <c r="A802" s="2">
        <f>IFERROR(__xludf.DUMMYFUNCTION("""COMPUTED_VALUE"""),44337.0)</f>
        <v>44337</v>
      </c>
      <c r="B802" s="1" t="str">
        <f>IFERROR(__xludf.DUMMYFUNCTION("""COMPUTED_VALUE"""),"Oregon")</f>
        <v>Oregon</v>
      </c>
      <c r="C802" s="1" t="str">
        <f>IFERROR(__xludf.DUMMYFUNCTION("""COMPUTED_VALUE"""),"State Proclamations ")</f>
        <v>State Proclamations </v>
      </c>
      <c r="D802" s="1" t="str">
        <f>IFERROR(__xludf.DUMMYFUNCTION("""COMPUTED_VALUE"""),"Opening")</f>
        <v>Opening</v>
      </c>
      <c r="E802" s="1" t="str">
        <f>IFERROR(__xludf.DUMMYFUNCTION("""COMPUTED_VALUE"""),"Counties will have the option of moving to the Lower Risk level once 65% of county residents 16 and older have received at least one vaccine dose, and counties have submitted a complete plan to close equity gaps in vaccination.")</f>
        <v>Counties will have the option of moving to the Lower Risk level once 65% of county residents 16 and older have received at least one vaccine dose, and counties have submitted a complete plan to close equity gaps in vaccination.</v>
      </c>
      <c r="F802" s="1" t="str">
        <f>IFERROR(__xludf.DUMMYFUNCTION("""COMPUTED_VALUE"""),"National Academy for State Health Policy")</f>
        <v>National Academy for State Health Policy</v>
      </c>
      <c r="G802" s="3" t="str">
        <f>IFERROR(__xludf.DUMMYFUNCTION("""COMPUTED_VALUE"""),"https://www.nashp.org/2021-covid-19-state-restrictions-re-openings-and-mask-requirements/")</f>
        <v>https://www.nashp.org/2021-covid-19-state-restrictions-re-openings-and-mask-requirements/</v>
      </c>
      <c r="H802" s="1"/>
      <c r="I802" s="1"/>
    </row>
    <row r="803">
      <c r="A803" s="2">
        <f>IFERROR(__xludf.DUMMYFUNCTION("""COMPUTED_VALUE"""),44351.0)</f>
        <v>44351</v>
      </c>
      <c r="B803" s="1" t="str">
        <f>IFERROR(__xludf.DUMMYFUNCTION("""COMPUTED_VALUE"""),"Oregon")</f>
        <v>Oregon</v>
      </c>
      <c r="C803" s="1" t="str">
        <f>IFERROR(__xludf.DUMMYFUNCTION("""COMPUTED_VALUE"""),"State Proclamations ")</f>
        <v>State Proclamations </v>
      </c>
      <c r="D803" s="1" t="str">
        <f>IFERROR(__xludf.DUMMYFUNCTION("""COMPUTED_VALUE"""),"Opening")</f>
        <v>Opening</v>
      </c>
      <c r="E803" s="1" t="str">
        <f>IFERROR(__xludf.DUMMYFUNCTION("""COMPUTED_VALUE"""),"The governor announced that once 70% of adult residents 18 and older receive at least their first dose of a vaccine, most restrictions will end. 13 counties will be in the state’s High Risk level, four will be at Moderate Risk, and 19 will have Lower Risk"&amp;" restrictions.")</f>
        <v>The governor announced that once 70% of adult residents 18 and older receive at least their first dose of a vaccine, most restrictions will end. 13 counties will be in the state’s High Risk level, four will be at Moderate Risk, and 19 will have Lower Risk restrictions.</v>
      </c>
      <c r="F803" s="1" t="str">
        <f>IFERROR(__xludf.DUMMYFUNCTION("""COMPUTED_VALUE"""),"National Academy for State Health Policy")</f>
        <v>National Academy for State Health Policy</v>
      </c>
      <c r="G803" s="3" t="str">
        <f>IFERROR(__xludf.DUMMYFUNCTION("""COMPUTED_VALUE"""),"https://www.nashp.org/2021-covid-19-state-restrictions-re-openings-and-mask-requirements/")</f>
        <v>https://www.nashp.org/2021-covid-19-state-restrictions-re-openings-and-mask-requirements/</v>
      </c>
      <c r="H803" s="1"/>
      <c r="I803" s="1"/>
    </row>
    <row r="804">
      <c r="A804" s="2">
        <f>IFERROR(__xludf.DUMMYFUNCTION("""COMPUTED_VALUE"""),44358.0)</f>
        <v>44358</v>
      </c>
      <c r="B804" s="1" t="str">
        <f>IFERROR(__xludf.DUMMYFUNCTION("""COMPUTED_VALUE"""),"Oregon")</f>
        <v>Oregon</v>
      </c>
      <c r="C804" s="1" t="str">
        <f>IFERROR(__xludf.DUMMYFUNCTION("""COMPUTED_VALUE"""),"State Proclamations ")</f>
        <v>State Proclamations </v>
      </c>
      <c r="D804" s="1" t="str">
        <f>IFERROR(__xludf.DUMMYFUNCTION("""COMPUTED_VALUE"""),"Opening")</f>
        <v>Opening</v>
      </c>
      <c r="E804" s="1" t="str">
        <f>IFERROR(__xludf.DUMMYFUNCTION("""COMPUTED_VALUE"""),"11 counties will be in the state’s High Risk level, 4 will be at Moderate Risk, and 21 will have Lower Risk restrictions.")</f>
        <v>11 counties will be in the state’s High Risk level, 4 will be at Moderate Risk, and 21 will have Lower Risk restrictions.</v>
      </c>
      <c r="F804" s="1" t="str">
        <f>IFERROR(__xludf.DUMMYFUNCTION("""COMPUTED_VALUE"""),"National Academy for State Health Policy")</f>
        <v>National Academy for State Health Policy</v>
      </c>
      <c r="G804" s="3" t="str">
        <f>IFERROR(__xludf.DUMMYFUNCTION("""COMPUTED_VALUE"""),"https://www.nashp.org/2021-covid-19-state-restrictions-re-openings-and-mask-requirements/")</f>
        <v>https://www.nashp.org/2021-covid-19-state-restrictions-re-openings-and-mask-requirements/</v>
      </c>
      <c r="H804" s="1"/>
      <c r="I804" s="1"/>
    </row>
    <row r="805">
      <c r="A805" s="2">
        <f>IFERROR(__xludf.DUMMYFUNCTION("""COMPUTED_VALUE"""),44365.0)</f>
        <v>44365</v>
      </c>
      <c r="B805" s="1" t="str">
        <f>IFERROR(__xludf.DUMMYFUNCTION("""COMPUTED_VALUE"""),"Oregon")</f>
        <v>Oregon</v>
      </c>
      <c r="C805" s="1" t="str">
        <f>IFERROR(__xludf.DUMMYFUNCTION("""COMPUTED_VALUE"""),"State Proclamations ")</f>
        <v>State Proclamations </v>
      </c>
      <c r="D805" s="1" t="str">
        <f>IFERROR(__xludf.DUMMYFUNCTION("""COMPUTED_VALUE"""),"Opening")</f>
        <v>Opening</v>
      </c>
      <c r="E805" s="1" t="str">
        <f>IFERROR(__xludf.DUMMYFUNCTION("""COMPUTED_VALUE""")," 9 counties are in the state’s High Risk level, 5 are at Moderate Risk, and 22 have Lower Risk restrictions.")</f>
        <v> 9 counties are in the state’s High Risk level, 5 are at Moderate Risk, and 22 have Lower Risk restrictions.</v>
      </c>
      <c r="F805" s="1" t="str">
        <f>IFERROR(__xludf.DUMMYFUNCTION("""COMPUTED_VALUE"""),"National Academy for State Health Policy")</f>
        <v>National Academy for State Health Policy</v>
      </c>
      <c r="G805" s="3" t="str">
        <f>IFERROR(__xludf.DUMMYFUNCTION("""COMPUTED_VALUE"""),"https://www.nashp.org/2021-covid-19-state-restrictions-re-openings-and-mask-requirements/")</f>
        <v>https://www.nashp.org/2021-covid-19-state-restrictions-re-openings-and-mask-requirements/</v>
      </c>
      <c r="H805" s="1"/>
      <c r="I805" s="1"/>
    </row>
    <row r="806">
      <c r="A806" s="2">
        <f>IFERROR(__xludf.DUMMYFUNCTION("""COMPUTED_VALUE"""),44372.0)</f>
        <v>44372</v>
      </c>
      <c r="B806" s="1" t="str">
        <f>IFERROR(__xludf.DUMMYFUNCTION("""COMPUTED_VALUE"""),"Oregon")</f>
        <v>Oregon</v>
      </c>
      <c r="C806" s="1" t="str">
        <f>IFERROR(__xludf.DUMMYFUNCTION("""COMPUTED_VALUE"""),"State Proclamations ")</f>
        <v>State Proclamations </v>
      </c>
      <c r="D806" s="1" t="str">
        <f>IFERROR(__xludf.DUMMYFUNCTION("""COMPUTED_VALUE"""),"Opening")</f>
        <v>Opening</v>
      </c>
      <c r="E806" s="1" t="str">
        <f>IFERROR(__xludf.DUMMYFUNCTION("""COMPUTED_VALUE"""),"The final county Risk Level list will take effect until the state reaches a 70% first-dose vaccination rate for residents 18 and older. 6 counties will be in the state’s High Risk level, 7 will be at Moderate Risk, and 23 will have Lower Risk restrictions"&amp;".")</f>
        <v>The final county Risk Level list will take effect until the state reaches a 70% first-dose vaccination rate for residents 18 and older. 6 counties will be in the state’s High Risk level, 7 will be at Moderate Risk, and 23 will have Lower Risk restrictions.</v>
      </c>
      <c r="F806" s="1" t="str">
        <f>IFERROR(__xludf.DUMMYFUNCTION("""COMPUTED_VALUE"""),"National Academy for State Health Policy")</f>
        <v>National Academy for State Health Policy</v>
      </c>
      <c r="G806" s="3" t="str">
        <f>IFERROR(__xludf.DUMMYFUNCTION("""COMPUTED_VALUE"""),"https://www.nashp.org/2021-covid-19-state-restrictions-re-openings-and-mask-requirements/")</f>
        <v>https://www.nashp.org/2021-covid-19-state-restrictions-re-openings-and-mask-requirements/</v>
      </c>
      <c r="H806" s="1"/>
      <c r="I806" s="1"/>
    </row>
    <row r="807">
      <c r="A807" s="2">
        <f>IFERROR(__xludf.DUMMYFUNCTION("""COMPUTED_VALUE"""),44377.0)</f>
        <v>44377</v>
      </c>
      <c r="B807" s="1" t="str">
        <f>IFERROR(__xludf.DUMMYFUNCTION("""COMPUTED_VALUE"""),"Oregon")</f>
        <v>Oregon</v>
      </c>
      <c r="C807" s="1" t="str">
        <f>IFERROR(__xludf.DUMMYFUNCTION("""COMPUTED_VALUE"""),"Mask Mandate")</f>
        <v>Mask Mandate</v>
      </c>
      <c r="D807" s="1" t="str">
        <f>IFERROR(__xludf.DUMMYFUNCTION("""COMPUTED_VALUE"""),"End")</f>
        <v>End</v>
      </c>
      <c r="E807" s="1" t="str">
        <f>IFERROR(__xludf.DUMMYFUNCTION("""COMPUTED_VALUE"""),"On June 30, the governor lifted the mask mandate")</f>
        <v>On June 30, the governor lifted the mask mandate</v>
      </c>
      <c r="F807" s="1" t="str">
        <f>IFERROR(__xludf.DUMMYFUNCTION("""COMPUTED_VALUE"""),"National Academy for State Health Policy")</f>
        <v>National Academy for State Health Policy</v>
      </c>
      <c r="G807" s="3" t="str">
        <f>IFERROR(__xludf.DUMMYFUNCTION("""COMPUTED_VALUE"""),"https://www.nashp.org/2021-covid-19-state-restrictions-re-openings-and-mask-requirements/")</f>
        <v>https://www.nashp.org/2021-covid-19-state-restrictions-re-openings-and-mask-requirements/</v>
      </c>
      <c r="H807" s="1"/>
      <c r="I807" s="1"/>
    </row>
    <row r="808">
      <c r="A808" s="2">
        <f>IFERROR(__xludf.DUMMYFUNCTION("""COMPUTED_VALUE"""),44377.0)</f>
        <v>44377</v>
      </c>
      <c r="B808" s="1" t="str">
        <f>IFERROR(__xludf.DUMMYFUNCTION("""COMPUTED_VALUE"""),"Oregon")</f>
        <v>Oregon</v>
      </c>
      <c r="C808" s="1" t="str">
        <f>IFERROR(__xludf.DUMMYFUNCTION("""COMPUTED_VALUE"""),"State Proclamations ")</f>
        <v>State Proclamations </v>
      </c>
      <c r="D808" s="1" t="str">
        <f>IFERROR(__xludf.DUMMYFUNCTION("""COMPUTED_VALUE"""),"Opening")</f>
        <v>Opening</v>
      </c>
      <c r="E808" s="1" t="str">
        <f>IFERROR(__xludf.DUMMYFUNCTION("""COMPUTED_VALUE"""),"The governor lifted capacity limits on businesses and social distancing requirements.")</f>
        <v>The governor lifted capacity limits on businesses and social distancing requirements.</v>
      </c>
      <c r="F808" s="1" t="str">
        <f>IFERROR(__xludf.DUMMYFUNCTION("""COMPUTED_VALUE"""),"National Academy for State Health Policy")</f>
        <v>National Academy for State Health Policy</v>
      </c>
      <c r="G808" s="3" t="str">
        <f>IFERROR(__xludf.DUMMYFUNCTION("""COMPUTED_VALUE"""),"https://www.nashp.org/2021-covid-19-state-restrictions-re-openings-and-mask-requirements/")</f>
        <v>https://www.nashp.org/2021-covid-19-state-restrictions-re-openings-and-mask-requirements/</v>
      </c>
      <c r="H808" s="1"/>
      <c r="I808" s="1"/>
    </row>
    <row r="809">
      <c r="A809" s="2">
        <f>IFERROR(__xludf.DUMMYFUNCTION("""COMPUTED_VALUE"""),44421.0)</f>
        <v>44421</v>
      </c>
      <c r="B809" s="1" t="str">
        <f>IFERROR(__xludf.DUMMYFUNCTION("""COMPUTED_VALUE"""),"Oregon")</f>
        <v>Oregon</v>
      </c>
      <c r="C809" s="1" t="str">
        <f>IFERROR(__xludf.DUMMYFUNCTION("""COMPUTED_VALUE"""),"Mask Mandate")</f>
        <v>Mask Mandate</v>
      </c>
      <c r="D809" s="1" t="str">
        <f>IFERROR(__xludf.DUMMYFUNCTION("""COMPUTED_VALUE"""),"Start")</f>
        <v>Start</v>
      </c>
      <c r="E809" s="1" t="str">
        <f>IFERROR(__xludf.DUMMYFUNCTION("""COMPUTED_VALUE"""),"On Aug. 13, 2021, Gov. Kate Brown reinstated the indoor and outdoor mask mandate for all individuals regardless of vaccination status.")</f>
        <v>On Aug. 13, 2021, Gov. Kate Brown reinstated the indoor and outdoor mask mandate for all individuals regardless of vaccination status.</v>
      </c>
      <c r="F809" s="1" t="str">
        <f>IFERROR(__xludf.DUMMYFUNCTION("""COMPUTED_VALUE"""),"National Academy for State Health Policy")</f>
        <v>National Academy for State Health Policy</v>
      </c>
      <c r="G809" s="3" t="str">
        <f>IFERROR(__xludf.DUMMYFUNCTION("""COMPUTED_VALUE"""),"https://www.nashp.org/2021-covid-19-state-restrictions-re-openings-and-mask-requirements/")</f>
        <v>https://www.nashp.org/2021-covid-19-state-restrictions-re-openings-and-mask-requirements/</v>
      </c>
      <c r="H809" s="1"/>
      <c r="I809" s="1"/>
    </row>
    <row r="810">
      <c r="A810" s="2">
        <f>IFERROR(__xludf.DUMMYFUNCTION("""COMPUTED_VALUE"""),44523.0)</f>
        <v>44523</v>
      </c>
      <c r="B810" s="1" t="str">
        <f>IFERROR(__xludf.DUMMYFUNCTION("""COMPUTED_VALUE"""),"Oregon")</f>
        <v>Oregon</v>
      </c>
      <c r="C810" s="1" t="str">
        <f>IFERROR(__xludf.DUMMYFUNCTION("""COMPUTED_VALUE"""),"Mask Mandate")</f>
        <v>Mask Mandate</v>
      </c>
      <c r="D810" s="1" t="str">
        <f>IFERROR(__xludf.DUMMYFUNCTION("""COMPUTED_VALUE"""),"End")</f>
        <v>End</v>
      </c>
      <c r="E810" s="1" t="str">
        <f>IFERROR(__xludf.DUMMYFUNCTION("""COMPUTED_VALUE"""),"On November 23, 2021, the Oregon Health Authority lifted the state's outdoor large public gathering mask requirement.")</f>
        <v>On November 23, 2021, the Oregon Health Authority lifted the state's outdoor large public gathering mask requirement.</v>
      </c>
      <c r="F810" s="1" t="str">
        <f>IFERROR(__xludf.DUMMYFUNCTION("""COMPUTED_VALUE"""),"National Academy for State Health Policy")</f>
        <v>National Academy for State Health Policy</v>
      </c>
      <c r="G810" s="3" t="str">
        <f>IFERROR(__xludf.DUMMYFUNCTION("""COMPUTED_VALUE"""),"https://www.nashp.org/2021-covid-19-state-restrictions-re-openings-and-mask-requirements/")</f>
        <v>https://www.nashp.org/2021-covid-19-state-restrictions-re-openings-and-mask-requirements/</v>
      </c>
      <c r="H810" s="1"/>
      <c r="I810" s="1"/>
    </row>
    <row r="811">
      <c r="A811" s="2">
        <f>IFERROR(__xludf.DUMMYFUNCTION("""COMPUTED_VALUE"""),43896.0)</f>
        <v>43896</v>
      </c>
      <c r="B811" s="1" t="str">
        <f>IFERROR(__xludf.DUMMYFUNCTION("""COMPUTED_VALUE"""),"Pennsylvania")</f>
        <v>Pennsylvania</v>
      </c>
      <c r="C811" s="1" t="str">
        <f>IFERROR(__xludf.DUMMYFUNCTION("""COMPUTED_VALUE"""),"State of Emergency")</f>
        <v>State of Emergency</v>
      </c>
      <c r="D811" s="1" t="str">
        <f>IFERROR(__xludf.DUMMYFUNCTION("""COMPUTED_VALUE"""),"Start")</f>
        <v>Start</v>
      </c>
      <c r="E811" s="1" t="str">
        <f>IFERROR(__xludf.DUMMYFUNCTION("""COMPUTED_VALUE"""),"Gov. Tom Wolf signed an emergency disaster declaration on March 6.")</f>
        <v>Gov. Tom Wolf signed an emergency disaster declaration on March 6.</v>
      </c>
      <c r="F811" s="1" t="str">
        <f>IFERROR(__xludf.DUMMYFUNCTION("""COMPUTED_VALUE"""),"Business Insider")</f>
        <v>Business Insider</v>
      </c>
      <c r="G811" s="3" t="str">
        <f>IFERROR(__xludf.DUMMYFUNCTION("""COMPUTED_VALUE"""),"https://www.businessinsider.com/california-washington-state-of-emergency-coronavirus-what-it-means-2020-3#pennsylvania-14")</f>
        <v>https://www.businessinsider.com/california-washington-state-of-emergency-coronavirus-what-it-means-2020-3#pennsylvania-14</v>
      </c>
      <c r="H811" s="1"/>
      <c r="I811" s="1"/>
    </row>
    <row r="812">
      <c r="A812" s="2">
        <f>IFERROR(__xludf.DUMMYFUNCTION("""COMPUTED_VALUE"""),43913.0)</f>
        <v>43913</v>
      </c>
      <c r="B812" s="1" t="str">
        <f>IFERROR(__xludf.DUMMYFUNCTION("""COMPUTED_VALUE"""),"Pennsylvania")</f>
        <v>Pennsylvania</v>
      </c>
      <c r="C812" s="1" t="str">
        <f>IFERROR(__xludf.DUMMYFUNCTION("""COMPUTED_VALUE"""),"Stay-at-Home Order")</f>
        <v>Stay-at-Home Order</v>
      </c>
      <c r="D812" s="1" t="str">
        <f>IFERROR(__xludf.DUMMYFUNCTION("""COMPUTED_VALUE"""),"Start")</f>
        <v>Start</v>
      </c>
      <c r="E812" s="1" t="str">
        <f>IFERROR(__xludf.DUMMYFUNCTION("""COMPUTED_VALUE"""),"Original stay-at-home order begins")</f>
        <v>Original stay-at-home order begins</v>
      </c>
      <c r="F812" s="1" t="str">
        <f>IFERROR(__xludf.DUMMYFUNCTION("""COMPUTED_VALUE"""),"National Academy for State Health Policy")</f>
        <v>National Academy for State Health Policy</v>
      </c>
      <c r="G812" s="3" t="str">
        <f>IFERROR(__xludf.DUMMYFUNCTION("""COMPUTED_VALUE"""),"https://www.nashp.org/2020-state-reopening-chart/")</f>
        <v>https://www.nashp.org/2020-state-reopening-chart/</v>
      </c>
      <c r="H812" s="1"/>
      <c r="I812" s="1"/>
    </row>
    <row r="813">
      <c r="A813" s="2">
        <f>IFERROR(__xludf.DUMMYFUNCTION("""COMPUTED_VALUE"""),43940.0)</f>
        <v>43940</v>
      </c>
      <c r="B813" s="1" t="str">
        <f>IFERROR(__xludf.DUMMYFUNCTION("""COMPUTED_VALUE"""),"Pennsylvania")</f>
        <v>Pennsylvania</v>
      </c>
      <c r="C813" s="1" t="str">
        <f>IFERROR(__xludf.DUMMYFUNCTION("""COMPUTED_VALUE"""),"Mask Mandate")</f>
        <v>Mask Mandate</v>
      </c>
      <c r="D813" s="1" t="str">
        <f>IFERROR(__xludf.DUMMYFUNCTION("""COMPUTED_VALUE"""),"Start")</f>
        <v>Start</v>
      </c>
      <c r="E813" s="1" t="str">
        <f>IFERROR(__xludf.DUMMYFUNCTION("""COMPUTED_VALUE"""),"Essential businesses must provide and require their employees to wear masks, according to the order from Pennsylvania's Department of Health. Customers at these businesses must wear masks while on the premises or be denied entry.")</f>
        <v>Essential businesses must provide and require their employees to wear masks, according to the order from Pennsylvania's Department of Health. Customers at these businesses must wear masks while on the premises or be denied entry.</v>
      </c>
      <c r="F813" s="1" t="str">
        <f>IFERROR(__xludf.DUMMYFUNCTION("""COMPUTED_VALUE"""),"CNN")</f>
        <v>CNN</v>
      </c>
      <c r="G813" s="3" t="str">
        <f>IFERROR(__xludf.DUMMYFUNCTION("""COMPUTED_VALUE"""),"https://www.cnn.com/2020/06/19/us/states-face-mask-coronavirus-trnd/index.html")</f>
        <v>https://www.cnn.com/2020/06/19/us/states-face-mask-coronavirus-trnd/index.html</v>
      </c>
      <c r="H813" s="1"/>
      <c r="I813" s="1"/>
    </row>
    <row r="814">
      <c r="A814" s="2">
        <f>IFERROR(__xludf.DUMMYFUNCTION("""COMPUTED_VALUE"""),43986.0)</f>
        <v>43986</v>
      </c>
      <c r="B814" s="1" t="str">
        <f>IFERROR(__xludf.DUMMYFUNCTION("""COMPUTED_VALUE"""),"Pennsylvania")</f>
        <v>Pennsylvania</v>
      </c>
      <c r="C814" s="1" t="str">
        <f>IFERROR(__xludf.DUMMYFUNCTION("""COMPUTED_VALUE"""),"Stay-at-Home Order")</f>
        <v>Stay-at-Home Order</v>
      </c>
      <c r="D814" s="1" t="str">
        <f>IFERROR(__xludf.DUMMYFUNCTION("""COMPUTED_VALUE"""),"End")</f>
        <v>End</v>
      </c>
      <c r="E814" s="1" t="str">
        <f>IFERROR(__xludf.DUMMYFUNCTION("""COMPUTED_VALUE"""),"Original stay-at-home order ends")</f>
        <v>Original stay-at-home order ends</v>
      </c>
      <c r="F814" s="1" t="str">
        <f>IFERROR(__xludf.DUMMYFUNCTION("""COMPUTED_VALUE"""),"National Academy for State Health Policy")</f>
        <v>National Academy for State Health Policy</v>
      </c>
      <c r="G814" s="3" t="str">
        <f>IFERROR(__xludf.DUMMYFUNCTION("""COMPUTED_VALUE"""),"https://www.nashp.org/2020-state-reopening-chart/")</f>
        <v>https://www.nashp.org/2020-state-reopening-chart/</v>
      </c>
      <c r="H814" s="1"/>
      <c r="I814" s="1"/>
    </row>
    <row r="815">
      <c r="A815" s="2">
        <f>IFERROR(__xludf.DUMMYFUNCTION("""COMPUTED_VALUE"""),43986.0)</f>
        <v>43986</v>
      </c>
      <c r="B815" s="1" t="str">
        <f>IFERROR(__xludf.DUMMYFUNCTION("""COMPUTED_VALUE"""),"Pennsylvania")</f>
        <v>Pennsylvania</v>
      </c>
      <c r="C815" s="1" t="str">
        <f>IFERROR(__xludf.DUMMYFUNCTION("""COMPUTED_VALUE"""),"State Proclamations ")</f>
        <v>State Proclamations </v>
      </c>
      <c r="D815" s="1" t="str">
        <f>IFERROR(__xludf.DUMMYFUNCTION("""COMPUTED_VALUE"""),"Opening")</f>
        <v>Opening</v>
      </c>
      <c r="E815" s="1" t="str">
        <f>IFERROR(__xludf.DUMMYFUNCTION("""COMPUTED_VALUE"""),"Pennsylvania has reopened retail stores, houses of worship, pools, beaches throughout the state, and restaurants, bars, personal care services, casinos, malls, and gyms in most counties. Nonessential medical procedures resumed April 27.")</f>
        <v>Pennsylvania has reopened retail stores, houses of worship, pools, beaches throughout the state, and restaurants, bars, personal care services, casinos, malls, and gyms in most counties. Nonessential medical procedures resumed April 27.</v>
      </c>
      <c r="F815" s="1" t="str">
        <f>IFERROR(__xludf.DUMMYFUNCTION("""COMPUTED_VALUE"""),"National Academy for State Health Policy")</f>
        <v>National Academy for State Health Policy</v>
      </c>
      <c r="G815" s="3" t="str">
        <f>IFERROR(__xludf.DUMMYFUNCTION("""COMPUTED_VALUE"""),"https://www.nashp.org/2020-state-reopening-chart/")</f>
        <v>https://www.nashp.org/2020-state-reopening-chart/</v>
      </c>
      <c r="H815" s="1"/>
      <c r="I815" s="1"/>
    </row>
    <row r="816">
      <c r="A816" s="2">
        <f>IFERROR(__xludf.DUMMYFUNCTION("""COMPUTED_VALUE"""),43998.0)</f>
        <v>43998</v>
      </c>
      <c r="B816" s="1" t="str">
        <f>IFERROR(__xludf.DUMMYFUNCTION("""COMPUTED_VALUE"""),"Pennsylvania")</f>
        <v>Pennsylvania</v>
      </c>
      <c r="C816" s="1" t="str">
        <f>IFERROR(__xludf.DUMMYFUNCTION("""COMPUTED_VALUE"""),"State Proclamations ")</f>
        <v>State Proclamations </v>
      </c>
      <c r="D816" s="1" t="str">
        <f>IFERROR(__xludf.DUMMYFUNCTION("""COMPUTED_VALUE"""),"Opening")</f>
        <v>Opening</v>
      </c>
      <c r="E816" s="1" t="str">
        <f>IFERROR(__xludf.DUMMYFUNCTION("""COMPUTED_VALUE"""),"Indoor dining reduced to 25% capacity, and bars can only open for restaurant service.")</f>
        <v>Indoor dining reduced to 25% capacity, and bars can only open for restaurant service.</v>
      </c>
      <c r="F816" s="1" t="str">
        <f>IFERROR(__xludf.DUMMYFUNCTION("""COMPUTED_VALUE"""),"National Academy for State Health Policy")</f>
        <v>National Academy for State Health Policy</v>
      </c>
      <c r="G816" s="3" t="str">
        <f>IFERROR(__xludf.DUMMYFUNCTION("""COMPUTED_VALUE"""),"https://www.nashp.org/2020-state-reopening-chart/")</f>
        <v>https://www.nashp.org/2020-state-reopening-chart/</v>
      </c>
      <c r="H816" s="1"/>
      <c r="I816" s="1"/>
    </row>
    <row r="817">
      <c r="A817" s="2">
        <f>IFERROR(__xludf.DUMMYFUNCTION("""COMPUTED_VALUE"""),44088.0)</f>
        <v>44088</v>
      </c>
      <c r="B817" s="1" t="str">
        <f>IFERROR(__xludf.DUMMYFUNCTION("""COMPUTED_VALUE"""),"Pennsylvania")</f>
        <v>Pennsylvania</v>
      </c>
      <c r="C817" s="1" t="str">
        <f>IFERROR(__xludf.DUMMYFUNCTION("""COMPUTED_VALUE"""),"State Proclamations ")</f>
        <v>State Proclamations </v>
      </c>
      <c r="D817" s="1" t="str">
        <f>IFERROR(__xludf.DUMMYFUNCTION("""COMPUTED_VALUE"""),"Opening")</f>
        <v>Opening</v>
      </c>
      <c r="E817" s="1" t="str">
        <f>IFERROR(__xludf.DUMMYFUNCTION("""COMPUTED_VALUE"""),"A judge stuck down business restrictions and limits on indoor and outdoor gatherings.")</f>
        <v>A judge stuck down business restrictions and limits on indoor and outdoor gatherings.</v>
      </c>
      <c r="F817" s="1" t="str">
        <f>IFERROR(__xludf.DUMMYFUNCTION("""COMPUTED_VALUE"""),"National Academy for State Health Policy")</f>
        <v>National Academy for State Health Policy</v>
      </c>
      <c r="G817" s="3" t="str">
        <f>IFERROR(__xludf.DUMMYFUNCTION("""COMPUTED_VALUE"""),"https://www.nashp.org/2020-state-reopening-chart/")</f>
        <v>https://www.nashp.org/2020-state-reopening-chart/</v>
      </c>
      <c r="H817" s="1"/>
      <c r="I817" s="1"/>
    </row>
    <row r="818">
      <c r="A818" s="2">
        <f>IFERROR(__xludf.DUMMYFUNCTION("""COMPUTED_VALUE"""),44095.0)</f>
        <v>44095</v>
      </c>
      <c r="B818" s="1" t="str">
        <f>IFERROR(__xludf.DUMMYFUNCTION("""COMPUTED_VALUE"""),"Pennsylvania")</f>
        <v>Pennsylvania</v>
      </c>
      <c r="C818" s="1" t="str">
        <f>IFERROR(__xludf.DUMMYFUNCTION("""COMPUTED_VALUE"""),"State Proclamations ")</f>
        <v>State Proclamations </v>
      </c>
      <c r="D818" s="1" t="str">
        <f>IFERROR(__xludf.DUMMYFUNCTION("""COMPUTED_VALUE"""),"Opening")</f>
        <v>Opening</v>
      </c>
      <c r="E818" s="1" t="str">
        <f>IFERROR(__xludf.DUMMYFUNCTION("""COMPUTED_VALUE"""),"Indoor dining increased to 50% capacity.")</f>
        <v>Indoor dining increased to 50% capacity.</v>
      </c>
      <c r="F818" s="1" t="str">
        <f>IFERROR(__xludf.DUMMYFUNCTION("""COMPUTED_VALUE"""),"National Academy for State Health Policy")</f>
        <v>National Academy for State Health Policy</v>
      </c>
      <c r="G818" s="3" t="str">
        <f>IFERROR(__xludf.DUMMYFUNCTION("""COMPUTED_VALUE"""),"https://www.nashp.org/2020-state-reopening-chart/")</f>
        <v>https://www.nashp.org/2020-state-reopening-chart/</v>
      </c>
      <c r="H818" s="1"/>
      <c r="I818" s="1"/>
    </row>
    <row r="819">
      <c r="A819" s="2">
        <f>IFERROR(__xludf.DUMMYFUNCTION("""COMPUTED_VALUE"""),44113.0)</f>
        <v>44113</v>
      </c>
      <c r="B819" s="1" t="str">
        <f>IFERROR(__xludf.DUMMYFUNCTION("""COMPUTED_VALUE"""),"Pennsylvania")</f>
        <v>Pennsylvania</v>
      </c>
      <c r="C819" s="1" t="str">
        <f>IFERROR(__xludf.DUMMYFUNCTION("""COMPUTED_VALUE"""),"State Proclamations ")</f>
        <v>State Proclamations </v>
      </c>
      <c r="D819" s="1" t="str">
        <f>IFERROR(__xludf.DUMMYFUNCTION("""COMPUTED_VALUE"""),"Opening")</f>
        <v>Opening</v>
      </c>
      <c r="E819" s="1" t="str">
        <f>IFERROR(__xludf.DUMMYFUNCTION("""COMPUTED_VALUE"""),"Gatherings of up to 7,500 people in large outdoor venues or 3,750 in indoor venues are permitted.")</f>
        <v>Gatherings of up to 7,500 people in large outdoor venues or 3,750 in indoor venues are permitted.</v>
      </c>
      <c r="F819" s="1" t="str">
        <f>IFERROR(__xludf.DUMMYFUNCTION("""COMPUTED_VALUE"""),"National Academy for State Health Policy")</f>
        <v>National Academy for State Health Policy</v>
      </c>
      <c r="G819" s="3" t="str">
        <f>IFERROR(__xludf.DUMMYFUNCTION("""COMPUTED_VALUE"""),"https://www.nashp.org/2020-state-reopening-chart/")</f>
        <v>https://www.nashp.org/2020-state-reopening-chart/</v>
      </c>
      <c r="H819" s="1"/>
      <c r="I819" s="1"/>
    </row>
    <row r="820">
      <c r="A820" s="2">
        <f>IFERROR(__xludf.DUMMYFUNCTION("""COMPUTED_VALUE"""),44158.0)</f>
        <v>44158</v>
      </c>
      <c r="B820" s="1" t="str">
        <f>IFERROR(__xludf.DUMMYFUNCTION("""COMPUTED_VALUE"""),"Pennsylvania")</f>
        <v>Pennsylvania</v>
      </c>
      <c r="C820" s="1" t="str">
        <f>IFERROR(__xludf.DUMMYFUNCTION("""COMPUTED_VALUE"""),"State Proclamations ")</f>
        <v>State Proclamations </v>
      </c>
      <c r="D820" s="1" t="str">
        <f>IFERROR(__xludf.DUMMYFUNCTION("""COMPUTED_VALUE"""),"Closing")</f>
        <v>Closing</v>
      </c>
      <c r="E820" s="1" t="str">
        <f>IFERROR(__xludf.DUMMYFUNCTION("""COMPUTED_VALUE"""),"The governor reduced the size of outdoor events to between 5% and 15% of capacity, depending on size.")</f>
        <v>The governor reduced the size of outdoor events to between 5% and 15% of capacity, depending on size.</v>
      </c>
      <c r="F820" s="1" t="str">
        <f>IFERROR(__xludf.DUMMYFUNCTION("""COMPUTED_VALUE"""),"National Academy for State Health Policy")</f>
        <v>National Academy for State Health Policy</v>
      </c>
      <c r="G820" s="3" t="str">
        <f>IFERROR(__xludf.DUMMYFUNCTION("""COMPUTED_VALUE"""),"https://www.nashp.org/2020-state-reopening-chart/")</f>
        <v>https://www.nashp.org/2020-state-reopening-chart/</v>
      </c>
      <c r="H820" s="1"/>
      <c r="I820" s="1"/>
    </row>
    <row r="821">
      <c r="A821" s="2">
        <f>IFERROR(__xludf.DUMMYFUNCTION("""COMPUTED_VALUE"""),44160.0)</f>
        <v>44160</v>
      </c>
      <c r="B821" s="1" t="str">
        <f>IFERROR(__xludf.DUMMYFUNCTION("""COMPUTED_VALUE"""),"Pennsylvania")</f>
        <v>Pennsylvania</v>
      </c>
      <c r="C821" s="1" t="str">
        <f>IFERROR(__xludf.DUMMYFUNCTION("""COMPUTED_VALUE"""),"State Proclamations ")</f>
        <v>State Proclamations </v>
      </c>
      <c r="D821" s="1" t="str">
        <f>IFERROR(__xludf.DUMMYFUNCTION("""COMPUTED_VALUE"""),"Closing")</f>
        <v>Closing</v>
      </c>
      <c r="E821" s="1" t="str">
        <f>IFERROR(__xludf.DUMMYFUNCTION("""COMPUTED_VALUE"""),"The governor ordered foodservice businesses to stop serving alcohol after 5 p.m.")</f>
        <v>The governor ordered foodservice businesses to stop serving alcohol after 5 p.m.</v>
      </c>
      <c r="F821" s="1" t="str">
        <f>IFERROR(__xludf.DUMMYFUNCTION("""COMPUTED_VALUE"""),"National Academy for State Health Policy")</f>
        <v>National Academy for State Health Policy</v>
      </c>
      <c r="G821" s="3" t="str">
        <f>IFERROR(__xludf.DUMMYFUNCTION("""COMPUTED_VALUE"""),"https://www.nashp.org/2020-state-reopening-chart/")</f>
        <v>https://www.nashp.org/2020-state-reopening-chart/</v>
      </c>
      <c r="H821" s="1"/>
      <c r="I821" s="1"/>
    </row>
    <row r="822">
      <c r="A822" s="2">
        <f>IFERROR(__xludf.DUMMYFUNCTION("""COMPUTED_VALUE"""),44165.0)</f>
        <v>44165</v>
      </c>
      <c r="B822" s="1" t="str">
        <f>IFERROR(__xludf.DUMMYFUNCTION("""COMPUTED_VALUE"""),"Pennsylvania")</f>
        <v>Pennsylvania</v>
      </c>
      <c r="C822" s="1" t="str">
        <f>IFERROR(__xludf.DUMMYFUNCTION("""COMPUTED_VALUE"""),"State Proclamations ")</f>
        <v>State Proclamations </v>
      </c>
      <c r="D822" s="1" t="str">
        <f>IFERROR(__xludf.DUMMYFUNCTION("""COMPUTED_VALUE"""),"Closing")</f>
        <v>Closing</v>
      </c>
      <c r="E822" s="1" t="str">
        <f>IFERROR(__xludf.DUMMYFUNCTION("""COMPUTED_VALUE"""),"The governor extended the emergency order for 90 days.")</f>
        <v>The governor extended the emergency order for 90 days.</v>
      </c>
      <c r="F822" s="1" t="str">
        <f>IFERROR(__xludf.DUMMYFUNCTION("""COMPUTED_VALUE"""),"National Academy for State Health Policy")</f>
        <v>National Academy for State Health Policy</v>
      </c>
      <c r="G822" s="3" t="str">
        <f>IFERROR(__xludf.DUMMYFUNCTION("""COMPUTED_VALUE"""),"https://www.nashp.org/2020-state-reopening-chart/")</f>
        <v>https://www.nashp.org/2020-state-reopening-chart/</v>
      </c>
      <c r="H822" s="1"/>
      <c r="I822" s="1"/>
    </row>
    <row r="823">
      <c r="A823" s="2">
        <f>IFERROR(__xludf.DUMMYFUNCTION("""COMPUTED_VALUE"""),44177.0)</f>
        <v>44177</v>
      </c>
      <c r="B823" s="1" t="str">
        <f>IFERROR(__xludf.DUMMYFUNCTION("""COMPUTED_VALUE"""),"Pennsylvania")</f>
        <v>Pennsylvania</v>
      </c>
      <c r="C823" s="1" t="str">
        <f>IFERROR(__xludf.DUMMYFUNCTION("""COMPUTED_VALUE"""),"State Proclamations ")</f>
        <v>State Proclamations </v>
      </c>
      <c r="D823" s="1" t="str">
        <f>IFERROR(__xludf.DUMMYFUNCTION("""COMPUTED_VALUE"""),"Closing")</f>
        <v>Closing</v>
      </c>
      <c r="E823" s="1" t="str">
        <f>IFERROR(__xludf.DUMMYFUNCTION("""COMPUTED_VALUE"""),"The governor banned indoor dining and closed gyms, theaters, and casinos through Jan. 4, 2021. Other businesses now have a 50% capacity limit. Indoor social gatherings of more than 10 people and outdoor gatherings of more than 50 people are prohibited.")</f>
        <v>The governor banned indoor dining and closed gyms, theaters, and casinos through Jan. 4, 2021. Other businesses now have a 50% capacity limit. Indoor social gatherings of more than 10 people and outdoor gatherings of more than 50 people are prohibited.</v>
      </c>
      <c r="F823" s="1" t="str">
        <f>IFERROR(__xludf.DUMMYFUNCTION("""COMPUTED_VALUE"""),"National Academy for State Health Policy")</f>
        <v>National Academy for State Health Policy</v>
      </c>
      <c r="G823" s="3" t="str">
        <f>IFERROR(__xludf.DUMMYFUNCTION("""COMPUTED_VALUE"""),"https://www.nashp.org/2020-state-reopening-chart/")</f>
        <v>https://www.nashp.org/2020-state-reopening-chart/</v>
      </c>
      <c r="H823" s="1"/>
      <c r="I823" s="1"/>
    </row>
    <row r="824">
      <c r="A824" s="2">
        <f>IFERROR(__xludf.DUMMYFUNCTION("""COMPUTED_VALUE"""),44200.0)</f>
        <v>44200</v>
      </c>
      <c r="B824" s="1" t="str">
        <f>IFERROR(__xludf.DUMMYFUNCTION("""COMPUTED_VALUE"""),"Pennsylvania")</f>
        <v>Pennsylvania</v>
      </c>
      <c r="C824" s="1" t="str">
        <f>IFERROR(__xludf.DUMMYFUNCTION("""COMPUTED_VALUE"""),"State Proclamations ")</f>
        <v>State Proclamations </v>
      </c>
      <c r="D824" s="1" t="str">
        <f>IFERROR(__xludf.DUMMYFUNCTION("""COMPUTED_VALUE"""),"Closing")</f>
        <v>Closing</v>
      </c>
      <c r="E824" s="1" t="str">
        <f>IFERROR(__xludf.DUMMYFUNCTION("""COMPUTED_VALUE"""),"The state’s additional time-limited mitigation measures prohibiting indoor dining, limiting indoor gatherings to 10 people and outdoor gatherings to 50 people, closing gyms, and setting 50% capacity limits for businesses expired. Previous mitigation order"&amp;"s are still in effect.")</f>
        <v>The state’s additional time-limited mitigation measures prohibiting indoor dining, limiting indoor gatherings to 10 people and outdoor gatherings to 50 people, closing gyms, and setting 50% capacity limits for businesses expired. Previous mitigation orders are still in effect.</v>
      </c>
      <c r="F824" s="1" t="str">
        <f>IFERROR(__xludf.DUMMYFUNCTION("""COMPUTED_VALUE"""),"National Academy for State Health Policy")</f>
        <v>National Academy for State Health Policy</v>
      </c>
      <c r="G824" s="3" t="str">
        <f>IFERROR(__xludf.DUMMYFUNCTION("""COMPUTED_VALUE"""),"https://www.nashp.org/2021-covid-19-state-restrictions-re-openings-and-mask-requirements/")</f>
        <v>https://www.nashp.org/2021-covid-19-state-restrictions-re-openings-and-mask-requirements/</v>
      </c>
      <c r="H824" s="1"/>
      <c r="I824" s="1"/>
    </row>
    <row r="825">
      <c r="A825" s="2">
        <f>IFERROR(__xludf.DUMMYFUNCTION("""COMPUTED_VALUE"""),44290.0)</f>
        <v>44290</v>
      </c>
      <c r="B825" s="1" t="str">
        <f>IFERROR(__xludf.DUMMYFUNCTION("""COMPUTED_VALUE"""),"Pennsylvania")</f>
        <v>Pennsylvania</v>
      </c>
      <c r="C825" s="1" t="str">
        <f>IFERROR(__xludf.DUMMYFUNCTION("""COMPUTED_VALUE"""),"State Proclamations ")</f>
        <v>State Proclamations </v>
      </c>
      <c r="D825" s="1" t="str">
        <f>IFERROR(__xludf.DUMMYFUNCTION("""COMPUTED_VALUE"""),"Opening")</f>
        <v>Opening</v>
      </c>
      <c r="E825" s="1" t="str">
        <f>IFERROR(__xludf.DUMMYFUNCTION("""COMPUTED_VALUE"""),"Restaurants can resume bar service, alcohol service will be allowed without the purchase of food, and the midnight curfew for removing alcoholic drinks from tables will end. Restaurants that complete the self-certification process can expand to 75% capaci"&amp;"ty, while all other restaurants are limited to 50% capacity. Other businesses like personal care service providers, gyms, and entertainment facilities can also expand to 75% capacity. All indoor event venues can expand to 25% capacity, and outdoor event a"&amp;"reas can expand to 50% capacity. Individuals still have to social distance and wear masks.")</f>
        <v>Restaurants can resume bar service, alcohol service will be allowed without the purchase of food, and the midnight curfew for removing alcoholic drinks from tables will end. Restaurants that complete the self-certification process can expand to 75% capacity, while all other restaurants are limited to 50% capacity. Other businesses like personal care service providers, gyms, and entertainment facilities can also expand to 75% capacity. All indoor event venues can expand to 25% capacity, and outdoor event areas can expand to 50% capacity. Individuals still have to social distance and wear masks.</v>
      </c>
      <c r="F825" s="1" t="str">
        <f>IFERROR(__xludf.DUMMYFUNCTION("""COMPUTED_VALUE"""),"National Academy for State Health Policy")</f>
        <v>National Academy for State Health Policy</v>
      </c>
      <c r="G825" s="3" t="str">
        <f>IFERROR(__xludf.DUMMYFUNCTION("""COMPUTED_VALUE"""),"https://www.nashp.org/2021-covid-19-state-restrictions-re-openings-and-mask-requirements/")</f>
        <v>https://www.nashp.org/2021-covid-19-state-restrictions-re-openings-and-mask-requirements/</v>
      </c>
      <c r="H825" s="1"/>
      <c r="I825" s="1"/>
    </row>
    <row r="826">
      <c r="A826" s="2">
        <f>IFERROR(__xludf.DUMMYFUNCTION("""COMPUTED_VALUE"""),44333.0)</f>
        <v>44333</v>
      </c>
      <c r="B826" s="1" t="str">
        <f>IFERROR(__xludf.DUMMYFUNCTION("""COMPUTED_VALUE"""),"Pennsylvania")</f>
        <v>Pennsylvania</v>
      </c>
      <c r="C826" s="1" t="str">
        <f>IFERROR(__xludf.DUMMYFUNCTION("""COMPUTED_VALUE"""),"State Proclamations ")</f>
        <v>State Proclamations </v>
      </c>
      <c r="D826" s="1" t="str">
        <f>IFERROR(__xludf.DUMMYFUNCTION("""COMPUTED_VALUE"""),"Opening")</f>
        <v>Opening</v>
      </c>
      <c r="E826" s="1" t="str">
        <f>IFERROR(__xludf.DUMMYFUNCTION("""COMPUTED_VALUE"""),"Limits for events and gatherings will expand to 50% occupancy indoors and 75% occupancy outdoors.")</f>
        <v>Limits for events and gatherings will expand to 50% occupancy indoors and 75% occupancy outdoors.</v>
      </c>
      <c r="F826" s="1" t="str">
        <f>IFERROR(__xludf.DUMMYFUNCTION("""COMPUTED_VALUE"""),"National Academy for State Health Policy")</f>
        <v>National Academy for State Health Policy</v>
      </c>
      <c r="G826" s="3" t="str">
        <f>IFERROR(__xludf.DUMMYFUNCTION("""COMPUTED_VALUE"""),"https://www.nashp.org/2021-covid-19-state-restrictions-re-openings-and-mask-requirements/")</f>
        <v>https://www.nashp.org/2021-covid-19-state-restrictions-re-openings-and-mask-requirements/</v>
      </c>
      <c r="H826" s="1"/>
      <c r="I826" s="1"/>
    </row>
    <row r="827">
      <c r="A827" s="2">
        <f>IFERROR(__xludf.DUMMYFUNCTION("""COMPUTED_VALUE"""),44347.0)</f>
        <v>44347</v>
      </c>
      <c r="B827" s="1" t="str">
        <f>IFERROR(__xludf.DUMMYFUNCTION("""COMPUTED_VALUE"""),"Pennsylvania")</f>
        <v>Pennsylvania</v>
      </c>
      <c r="C827" s="1" t="str">
        <f>IFERROR(__xludf.DUMMYFUNCTION("""COMPUTED_VALUE"""),"State Proclamations ")</f>
        <v>State Proclamations </v>
      </c>
      <c r="D827" s="1" t="str">
        <f>IFERROR(__xludf.DUMMYFUNCTION("""COMPUTED_VALUE"""),"Opening")</f>
        <v>Opening</v>
      </c>
      <c r="E827" s="1" t="str">
        <f>IFERROR(__xludf.DUMMYFUNCTION("""COMPUTED_VALUE"""),"The governor lifted all mitigation measures, with the exception of the mask mandate.")</f>
        <v>The governor lifted all mitigation measures, with the exception of the mask mandate.</v>
      </c>
      <c r="F827" s="1" t="str">
        <f>IFERROR(__xludf.DUMMYFUNCTION("""COMPUTED_VALUE"""),"National Academy for State Health Policy")</f>
        <v>National Academy for State Health Policy</v>
      </c>
      <c r="G827" s="3" t="str">
        <f>IFERROR(__xludf.DUMMYFUNCTION("""COMPUTED_VALUE"""),"https://www.nashp.org/2021-covid-19-state-restrictions-re-openings-and-mask-requirements/")</f>
        <v>https://www.nashp.org/2021-covid-19-state-restrictions-re-openings-and-mask-requirements/</v>
      </c>
      <c r="H827" s="1"/>
      <c r="I827" s="1"/>
    </row>
    <row r="828">
      <c r="A828" s="2">
        <f>IFERROR(__xludf.DUMMYFUNCTION("""COMPUTED_VALUE"""),44357.0)</f>
        <v>44357</v>
      </c>
      <c r="B828" s="1" t="str">
        <f>IFERROR(__xludf.DUMMYFUNCTION("""COMPUTED_VALUE"""),"Pennsylvania")</f>
        <v>Pennsylvania</v>
      </c>
      <c r="C828" s="1" t="str">
        <f>IFERROR(__xludf.DUMMYFUNCTION("""COMPUTED_VALUE"""),"State of Emergency")</f>
        <v>State of Emergency</v>
      </c>
      <c r="D828" s="1" t="str">
        <f>IFERROR(__xludf.DUMMYFUNCTION("""COMPUTED_VALUE"""),"End")</f>
        <v>End</v>
      </c>
      <c r="E828" s="1" t="str">
        <f>IFERROR(__xludf.DUMMYFUNCTION("""COMPUTED_VALUE"""),"State of Emergency ended after the state legislature voted to end the declaration June 10")</f>
        <v>State of Emergency ended after the state legislature voted to end the declaration June 10</v>
      </c>
      <c r="F828" s="1" t="str">
        <f>IFERROR(__xludf.DUMMYFUNCTION("""COMPUTED_VALUE"""),"National Academy for State Health Policy")</f>
        <v>National Academy for State Health Policy</v>
      </c>
      <c r="G828" s="3" t="str">
        <f>IFERROR(__xludf.DUMMYFUNCTION("""COMPUTED_VALUE"""),"https://www.nashp.org/2021-covid-19-state-restrictions-re-openings-and-mask-requirements/")</f>
        <v>https://www.nashp.org/2021-covid-19-state-restrictions-re-openings-and-mask-requirements/</v>
      </c>
      <c r="H828" s="1"/>
      <c r="I828" s="1"/>
    </row>
    <row r="829">
      <c r="A829" s="2">
        <f>IFERROR(__xludf.DUMMYFUNCTION("""COMPUTED_VALUE"""),44375.0)</f>
        <v>44375</v>
      </c>
      <c r="B829" s="1" t="str">
        <f>IFERROR(__xludf.DUMMYFUNCTION("""COMPUTED_VALUE"""),"Pennsylvania")</f>
        <v>Pennsylvania</v>
      </c>
      <c r="C829" s="1" t="str">
        <f>IFERROR(__xludf.DUMMYFUNCTION("""COMPUTED_VALUE"""),"Mask Mandate")</f>
        <v>Mask Mandate</v>
      </c>
      <c r="D829" s="1" t="str">
        <f>IFERROR(__xludf.DUMMYFUNCTION("""COMPUTED_VALUE"""),"End")</f>
        <v>End</v>
      </c>
      <c r="E829" s="1" t="str">
        <f>IFERROR(__xludf.DUMMYFUNCTION("""COMPUTED_VALUE"""),"On June 28, the state lifted its mask mandate")</f>
        <v>On June 28, the state lifted its mask mandate</v>
      </c>
      <c r="F829" s="1" t="str">
        <f>IFERROR(__xludf.DUMMYFUNCTION("""COMPUTED_VALUE"""),"National Academy for State Health Policy")</f>
        <v>National Academy for State Health Policy</v>
      </c>
      <c r="G829" s="3" t="str">
        <f>IFERROR(__xludf.DUMMYFUNCTION("""COMPUTED_VALUE"""),"https://www.nashp.org/2021-covid-19-state-restrictions-re-openings-and-mask-requirements/")</f>
        <v>https://www.nashp.org/2021-covid-19-state-restrictions-re-openings-and-mask-requirements/</v>
      </c>
      <c r="H829" s="1"/>
      <c r="I829" s="1"/>
    </row>
    <row r="830">
      <c r="A830" s="2">
        <f>IFERROR(__xludf.DUMMYFUNCTION("""COMPUTED_VALUE"""),43899.0)</f>
        <v>43899</v>
      </c>
      <c r="B830" s="1" t="str">
        <f>IFERROR(__xludf.DUMMYFUNCTION("""COMPUTED_VALUE"""),"Rhode Island")</f>
        <v>Rhode Island</v>
      </c>
      <c r="C830" s="1" t="str">
        <f>IFERROR(__xludf.DUMMYFUNCTION("""COMPUTED_VALUE"""),"State of Emergency")</f>
        <v>State of Emergency</v>
      </c>
      <c r="D830" s="1" t="str">
        <f>IFERROR(__xludf.DUMMYFUNCTION("""COMPUTED_VALUE"""),"Start")</f>
        <v>Start</v>
      </c>
      <c r="E830" s="1" t="str">
        <f>IFERROR(__xludf.DUMMYFUNCTION("""COMPUTED_VALUE"""),"Gov. Gina Raimondo declared a state of emergency on March 9, local outlets reported.")</f>
        <v>Gov. Gina Raimondo declared a state of emergency on March 9, local outlets reported.</v>
      </c>
      <c r="F830" s="1" t="str">
        <f>IFERROR(__xludf.DUMMYFUNCTION("""COMPUTED_VALUE"""),"Business Insider")</f>
        <v>Business Insider</v>
      </c>
      <c r="G830" s="3" t="str">
        <f>IFERROR(__xludf.DUMMYFUNCTION("""COMPUTED_VALUE"""),"https://www.businessinsider.com/california-washington-state-of-emergency-coronavirus-what-it-means-2020-3#rhode-island-39")</f>
        <v>https://www.businessinsider.com/california-washington-state-of-emergency-coronavirus-what-it-means-2020-3#rhode-island-39</v>
      </c>
      <c r="H830" s="1"/>
      <c r="I830" s="1"/>
    </row>
    <row r="831">
      <c r="A831" s="2">
        <f>IFERROR(__xludf.DUMMYFUNCTION("""COMPUTED_VALUE"""),43918.0)</f>
        <v>43918</v>
      </c>
      <c r="B831" s="1" t="str">
        <f>IFERROR(__xludf.DUMMYFUNCTION("""COMPUTED_VALUE"""),"Rhode Island")</f>
        <v>Rhode Island</v>
      </c>
      <c r="C831" s="1" t="str">
        <f>IFERROR(__xludf.DUMMYFUNCTION("""COMPUTED_VALUE"""),"Stay-at-Home Order")</f>
        <v>Stay-at-Home Order</v>
      </c>
      <c r="D831" s="1" t="str">
        <f>IFERROR(__xludf.DUMMYFUNCTION("""COMPUTED_VALUE"""),"Start")</f>
        <v>Start</v>
      </c>
      <c r="E831" s="1" t="str">
        <f>IFERROR(__xludf.DUMMYFUNCTION("""COMPUTED_VALUE"""),"Original stay-at-home order begins")</f>
        <v>Original stay-at-home order begins</v>
      </c>
      <c r="F831" s="1" t="str">
        <f>IFERROR(__xludf.DUMMYFUNCTION("""COMPUTED_VALUE"""),"National Academy for State Health Policy")</f>
        <v>National Academy for State Health Policy</v>
      </c>
      <c r="G831" s="3" t="str">
        <f>IFERROR(__xludf.DUMMYFUNCTION("""COMPUTED_VALUE"""),"https://www.nashp.org/2020-state-reopening-chart/")</f>
        <v>https://www.nashp.org/2020-state-reopening-chart/</v>
      </c>
      <c r="H831" s="1"/>
      <c r="I831" s="1"/>
    </row>
    <row r="832">
      <c r="A832" s="2">
        <f>IFERROR(__xludf.DUMMYFUNCTION("""COMPUTED_VALUE"""),43959.0)</f>
        <v>43959</v>
      </c>
      <c r="B832" s="1" t="str">
        <f>IFERROR(__xludf.DUMMYFUNCTION("""COMPUTED_VALUE"""),"Rhode Island")</f>
        <v>Rhode Island</v>
      </c>
      <c r="C832" s="1" t="str">
        <f>IFERROR(__xludf.DUMMYFUNCTION("""COMPUTED_VALUE"""),"Stay-at-Home Order")</f>
        <v>Stay-at-Home Order</v>
      </c>
      <c r="D832" s="1" t="str">
        <f>IFERROR(__xludf.DUMMYFUNCTION("""COMPUTED_VALUE"""),"End")</f>
        <v>End</v>
      </c>
      <c r="E832" s="1" t="str">
        <f>IFERROR(__xludf.DUMMYFUNCTION("""COMPUTED_VALUE"""),"Original stay-at-home order ends")</f>
        <v>Original stay-at-home order ends</v>
      </c>
      <c r="F832" s="1" t="str">
        <f>IFERROR(__xludf.DUMMYFUNCTION("""COMPUTED_VALUE"""),"National Academy for State Health Policy")</f>
        <v>National Academy for State Health Policy</v>
      </c>
      <c r="G832" s="3" t="str">
        <f>IFERROR(__xludf.DUMMYFUNCTION("""COMPUTED_VALUE"""),"https://www.nashp.org/2020-state-reopening-chart/")</f>
        <v>https://www.nashp.org/2020-state-reopening-chart/</v>
      </c>
      <c r="H832" s="1"/>
      <c r="I832" s="1"/>
    </row>
    <row r="833">
      <c r="A833" s="2">
        <f>IFERROR(__xludf.DUMMYFUNCTION("""COMPUTED_VALUE"""),43959.0)</f>
        <v>43959</v>
      </c>
      <c r="B833" s="1" t="str">
        <f>IFERROR(__xludf.DUMMYFUNCTION("""COMPUTED_VALUE"""),"Rhode Island")</f>
        <v>Rhode Island</v>
      </c>
      <c r="C833" s="1" t="str">
        <f>IFERROR(__xludf.DUMMYFUNCTION("""COMPUTED_VALUE"""),"Mask Mandate")</f>
        <v>Mask Mandate</v>
      </c>
      <c r="D833" s="1" t="str">
        <f>IFERROR(__xludf.DUMMYFUNCTION("""COMPUTED_VALUE"""),"Start")</f>
        <v>Start</v>
      </c>
      <c r="E833" s="1" t="str">
        <f>IFERROR(__xludf.DUMMYFUNCTION("""COMPUTED_VALUE"""),"Gov. Gina Raimondo issued an order requiring all residents over the age of 2 to wear face coverings or masks while in public settings, whether indoors or outdoors.")</f>
        <v>Gov. Gina Raimondo issued an order requiring all residents over the age of 2 to wear face coverings or masks while in public settings, whether indoors or outdoors.</v>
      </c>
      <c r="F833" s="1" t="str">
        <f>IFERROR(__xludf.DUMMYFUNCTION("""COMPUTED_VALUE"""),"CNN")</f>
        <v>CNN</v>
      </c>
      <c r="G833" s="3" t="str">
        <f>IFERROR(__xludf.DUMMYFUNCTION("""COMPUTED_VALUE"""),"https://www.cnn.com/2020/06/19/us/states-face-mask-coronavirus-trnd/index.html")</f>
        <v>https://www.cnn.com/2020/06/19/us/states-face-mask-coronavirus-trnd/index.html</v>
      </c>
      <c r="H833" s="1"/>
      <c r="I833" s="1"/>
    </row>
    <row r="834">
      <c r="A834" s="2">
        <f>IFERROR(__xludf.DUMMYFUNCTION("""COMPUTED_VALUE"""),43981.0)</f>
        <v>43981</v>
      </c>
      <c r="B834" s="1" t="str">
        <f>IFERROR(__xludf.DUMMYFUNCTION("""COMPUTED_VALUE"""),"Rhode Island")</f>
        <v>Rhode Island</v>
      </c>
      <c r="C834" s="1" t="str">
        <f>IFERROR(__xludf.DUMMYFUNCTION("""COMPUTED_VALUE"""),"State Proclamations ")</f>
        <v>State Proclamations </v>
      </c>
      <c r="D834" s="1" t="str">
        <f>IFERROR(__xludf.DUMMYFUNCTION("""COMPUTED_VALUE"""),"Opening")</f>
        <v>Opening</v>
      </c>
      <c r="E834" s="1" t="str">
        <f>IFERROR(__xludf.DUMMYFUNCTION("""COMPUTED_VALUE"""),"Rhode Island has reopened retail stores, restaurant dining, personal care services, houses or worship, beaches, gyms, casinos, offices, and malls. Nonessential medical procedures resumed May 30.")</f>
        <v>Rhode Island has reopened retail stores, restaurant dining, personal care services, houses or worship, beaches, gyms, casinos, offices, and malls. Nonessential medical procedures resumed May 30.</v>
      </c>
      <c r="F834" s="1" t="str">
        <f>IFERROR(__xludf.DUMMYFUNCTION("""COMPUTED_VALUE"""),"National Academy for State Health Policy")</f>
        <v>National Academy for State Health Policy</v>
      </c>
      <c r="G834" s="3" t="str">
        <f>IFERROR(__xludf.DUMMYFUNCTION("""COMPUTED_VALUE"""),"https://www.nashp.org/2020-state-reopening-chart/")</f>
        <v>https://www.nashp.org/2020-state-reopening-chart/</v>
      </c>
      <c r="H834" s="1"/>
      <c r="I834" s="1"/>
    </row>
    <row r="835">
      <c r="A835" s="2">
        <f>IFERROR(__xludf.DUMMYFUNCTION("""COMPUTED_VALUE"""),43983.0)</f>
        <v>43983</v>
      </c>
      <c r="B835" s="1" t="str">
        <f>IFERROR(__xludf.DUMMYFUNCTION("""COMPUTED_VALUE"""),"Rhode Island")</f>
        <v>Rhode Island</v>
      </c>
      <c r="C835" s="1" t="str">
        <f>IFERROR(__xludf.DUMMYFUNCTION("""COMPUTED_VALUE"""),"State Proclamations ")</f>
        <v>State Proclamations </v>
      </c>
      <c r="D835" s="1" t="str">
        <f>IFERROR(__xludf.DUMMYFUNCTION("""COMPUTED_VALUE"""),"Opening")</f>
        <v>Opening</v>
      </c>
      <c r="E835" s="1" t="str">
        <f>IFERROR(__xludf.DUMMYFUNCTION("""COMPUTED_VALUE"""),"State parks, beaches, and childcare services reopened, 33% of workers could return to office spaces, indoor dining resumed at 50% capacity, and gyms, fitness studios, small group fitness classes, and malls reopened with restrictions.")</f>
        <v>State parks, beaches, and childcare services reopened, 33% of workers could return to office spaces, indoor dining resumed at 50% capacity, and gyms, fitness studios, small group fitness classes, and malls reopened with restrictions.</v>
      </c>
      <c r="F835" s="1" t="str">
        <f>IFERROR(__xludf.DUMMYFUNCTION("""COMPUTED_VALUE"""),"National Academy for State Health Policy")</f>
        <v>National Academy for State Health Policy</v>
      </c>
      <c r="G835" s="3" t="str">
        <f>IFERROR(__xludf.DUMMYFUNCTION("""COMPUTED_VALUE"""),"https://www.nashp.org/2020-state-reopening-chart/")</f>
        <v>https://www.nashp.org/2020-state-reopening-chart/</v>
      </c>
      <c r="H835" s="1"/>
      <c r="I835" s="1"/>
    </row>
    <row r="836">
      <c r="A836" s="2">
        <f>IFERROR(__xludf.DUMMYFUNCTION("""COMPUTED_VALUE"""),44019.0)</f>
        <v>44019</v>
      </c>
      <c r="B836" s="1" t="str">
        <f>IFERROR(__xludf.DUMMYFUNCTION("""COMPUTED_VALUE"""),"Rhode Island")</f>
        <v>Rhode Island</v>
      </c>
      <c r="C836" s="1" t="str">
        <f>IFERROR(__xludf.DUMMYFUNCTION("""COMPUTED_VALUE"""),"State Proclamations ")</f>
        <v>State Proclamations </v>
      </c>
      <c r="D836" s="1" t="str">
        <f>IFERROR(__xludf.DUMMYFUNCTION("""COMPUTED_VALUE"""),"Opening")</f>
        <v>Opening</v>
      </c>
      <c r="E836" s="1" t="str">
        <f>IFERROR(__xludf.DUMMYFUNCTION("""COMPUTED_VALUE"""),"Phase 3 began with capacity restrictions on private social gatherings, weddings, and musical performances. Bars only allowed to serve customers in seats rather than at a bar. No-contact and low-contact youth and adult sports allowed to be played in stable"&amp;" groups of the same players and coaches with no limit on overall group size.")</f>
        <v>Phase 3 began with capacity restrictions on private social gatherings, weddings, and musical performances. Bars only allowed to serve customers in seats rather than at a bar. No-contact and low-contact youth and adult sports allowed to be played in stable groups of the same players and coaches with no limit on overall group size.</v>
      </c>
      <c r="F836" s="1" t="str">
        <f>IFERROR(__xludf.DUMMYFUNCTION("""COMPUTED_VALUE"""),"National Academy for State Health Policy")</f>
        <v>National Academy for State Health Policy</v>
      </c>
      <c r="G836" s="3" t="str">
        <f>IFERROR(__xludf.DUMMYFUNCTION("""COMPUTED_VALUE"""),"https://www.nashp.org/2020-state-reopening-chart/")</f>
        <v>https://www.nashp.org/2020-state-reopening-chart/</v>
      </c>
      <c r="H836" s="1"/>
      <c r="I836" s="1"/>
    </row>
    <row r="837">
      <c r="A837" s="2">
        <f>IFERROR(__xludf.DUMMYFUNCTION("""COMPUTED_VALUE"""),44041.0)</f>
        <v>44041</v>
      </c>
      <c r="B837" s="1" t="str">
        <f>IFERROR(__xludf.DUMMYFUNCTION("""COMPUTED_VALUE"""),"Rhode Island")</f>
        <v>Rhode Island</v>
      </c>
      <c r="C837" s="1" t="str">
        <f>IFERROR(__xludf.DUMMYFUNCTION("""COMPUTED_VALUE"""),"State Proclamations ")</f>
        <v>State Proclamations </v>
      </c>
      <c r="D837" s="1" t="str">
        <f>IFERROR(__xludf.DUMMYFUNCTION("""COMPUTED_VALUE"""),"Closing")</f>
        <v>Closing</v>
      </c>
      <c r="E837" s="1" t="str">
        <f>IFERROR(__xludf.DUMMYFUNCTION("""COMPUTED_VALUE"""),"The governor extended Phase 3 until Aug. 28 and decreased the limit on social gatherings from 25 to 15 people.")</f>
        <v>The governor extended Phase 3 until Aug. 28 and decreased the limit on social gatherings from 25 to 15 people.</v>
      </c>
      <c r="F837" s="1" t="str">
        <f>IFERROR(__xludf.DUMMYFUNCTION("""COMPUTED_VALUE"""),"National Academy for State Health Policy")</f>
        <v>National Academy for State Health Policy</v>
      </c>
      <c r="G837" s="3" t="str">
        <f>IFERROR(__xludf.DUMMYFUNCTION("""COMPUTED_VALUE"""),"https://www.nashp.org/2020-state-reopening-chart/")</f>
        <v>https://www.nashp.org/2020-state-reopening-chart/</v>
      </c>
      <c r="H837" s="1"/>
      <c r="I837" s="1"/>
    </row>
    <row r="838">
      <c r="A838" s="2">
        <f>IFERROR(__xludf.DUMMYFUNCTION("""COMPUTED_VALUE"""),44071.0)</f>
        <v>44071</v>
      </c>
      <c r="B838" s="1" t="str">
        <f>IFERROR(__xludf.DUMMYFUNCTION("""COMPUTED_VALUE"""),"Rhode Island")</f>
        <v>Rhode Island</v>
      </c>
      <c r="C838" s="1" t="str">
        <f>IFERROR(__xludf.DUMMYFUNCTION("""COMPUTED_VALUE"""),"State Proclamations ")</f>
        <v>State Proclamations </v>
      </c>
      <c r="D838" s="1" t="str">
        <f>IFERROR(__xludf.DUMMYFUNCTION("""COMPUTED_VALUE"""),"Closing")</f>
        <v>Closing</v>
      </c>
      <c r="E838" s="1" t="str">
        <f>IFERROR(__xludf.DUMMYFUNCTION("""COMPUTED_VALUE"""),"The governor extended Phase 3 until Sept. 28.")</f>
        <v>The governor extended Phase 3 until Sept. 28.</v>
      </c>
      <c r="F838" s="1" t="str">
        <f>IFERROR(__xludf.DUMMYFUNCTION("""COMPUTED_VALUE"""),"National Academy for State Health Policy")</f>
        <v>National Academy for State Health Policy</v>
      </c>
      <c r="G838" s="3" t="str">
        <f>IFERROR(__xludf.DUMMYFUNCTION("""COMPUTED_VALUE"""),"https://www.nashp.org/2020-state-reopening-chart/")</f>
        <v>https://www.nashp.org/2020-state-reopening-chart/</v>
      </c>
      <c r="H838" s="1"/>
      <c r="I838" s="1"/>
    </row>
    <row r="839">
      <c r="A839" s="2">
        <f>IFERROR(__xludf.DUMMYFUNCTION("""COMPUTED_VALUE"""),44102.0)</f>
        <v>44102</v>
      </c>
      <c r="B839" s="1" t="str">
        <f>IFERROR(__xludf.DUMMYFUNCTION("""COMPUTED_VALUE"""),"Rhode Island")</f>
        <v>Rhode Island</v>
      </c>
      <c r="C839" s="1" t="str">
        <f>IFERROR(__xludf.DUMMYFUNCTION("""COMPUTED_VALUE"""),"State Proclamations ")</f>
        <v>State Proclamations </v>
      </c>
      <c r="D839" s="1" t="str">
        <f>IFERROR(__xludf.DUMMYFUNCTION("""COMPUTED_VALUE"""),"Closing")</f>
        <v>Closing</v>
      </c>
      <c r="E839" s="1" t="str">
        <f>IFERROR(__xludf.DUMMYFUNCTION("""COMPUTED_VALUE"""),"The governor extended Phase 3 until Oct. 28.")</f>
        <v>The governor extended Phase 3 until Oct. 28.</v>
      </c>
      <c r="F839" s="1" t="str">
        <f>IFERROR(__xludf.DUMMYFUNCTION("""COMPUTED_VALUE"""),"National Academy for State Health Policy")</f>
        <v>National Academy for State Health Policy</v>
      </c>
      <c r="G839" s="3" t="str">
        <f>IFERROR(__xludf.DUMMYFUNCTION("""COMPUTED_VALUE"""),"https://www.nashp.org/2020-state-reopening-chart/")</f>
        <v>https://www.nashp.org/2020-state-reopening-chart/</v>
      </c>
      <c r="H839" s="1"/>
      <c r="I839" s="1"/>
    </row>
    <row r="840">
      <c r="A840" s="2">
        <f>IFERROR(__xludf.DUMMYFUNCTION("""COMPUTED_VALUE"""),44135.0)</f>
        <v>44135</v>
      </c>
      <c r="B840" s="1" t="str">
        <f>IFERROR(__xludf.DUMMYFUNCTION("""COMPUTED_VALUE"""),"Rhode Island")</f>
        <v>Rhode Island</v>
      </c>
      <c r="C840" s="1" t="str">
        <f>IFERROR(__xludf.DUMMYFUNCTION("""COMPUTED_VALUE"""),"State Proclamations ")</f>
        <v>State Proclamations </v>
      </c>
      <c r="D840" s="1" t="str">
        <f>IFERROR(__xludf.DUMMYFUNCTION("""COMPUTED_VALUE"""),"Closing")</f>
        <v>Closing</v>
      </c>
      <c r="E840" s="1" t="str">
        <f>IFERROR(__xludf.DUMMYFUNCTION("""COMPUTED_VALUE"""),"The governor reduced the gathering limit from 15 to 10 people and prohibited spectators at youth sporting events for two weeks. The governor also prohibited visits at hospitals and nursing homes and closed indoor atheltic facilities for a week.")</f>
        <v>The governor reduced the gathering limit from 15 to 10 people and prohibited spectators at youth sporting events for two weeks. The governor also prohibited visits at hospitals and nursing homes and closed indoor atheltic facilities for a week.</v>
      </c>
      <c r="F840" s="1" t="str">
        <f>IFERROR(__xludf.DUMMYFUNCTION("""COMPUTED_VALUE"""),"National Academy for State Health Policy")</f>
        <v>National Academy for State Health Policy</v>
      </c>
      <c r="G840" s="3" t="str">
        <f>IFERROR(__xludf.DUMMYFUNCTION("""COMPUTED_VALUE"""),"https://www.nashp.org/2020-state-reopening-chart/")</f>
        <v>https://www.nashp.org/2020-state-reopening-chart/</v>
      </c>
      <c r="H840" s="1"/>
      <c r="I840" s="1"/>
    </row>
    <row r="841">
      <c r="A841" s="2">
        <f>IFERROR(__xludf.DUMMYFUNCTION("""COMPUTED_VALUE"""),44140.0)</f>
        <v>44140</v>
      </c>
      <c r="B841" s="1" t="str">
        <f>IFERROR(__xludf.DUMMYFUNCTION("""COMPUTED_VALUE"""),"Rhode Island")</f>
        <v>Rhode Island</v>
      </c>
      <c r="C841" s="1" t="str">
        <f>IFERROR(__xludf.DUMMYFUNCTION("""COMPUTED_VALUE"""),"State Proclamations ")</f>
        <v>State Proclamations </v>
      </c>
      <c r="D841" s="1" t="str">
        <f>IFERROR(__xludf.DUMMYFUNCTION("""COMPUTED_VALUE"""),"Closing")</f>
        <v>Closing</v>
      </c>
      <c r="E841" s="1" t="str">
        <f>IFERROR(__xludf.DUMMYFUNCTION("""COMPUTED_VALUE"""),"The governor announced a stay-at-home advisory from 10 p.m. to 5 a.m. on weeknights and from 10:30 p.m. to 5 a.m on weekends. Restaurants and entertainment venues are required to close between the same times.")</f>
        <v>The governor announced a stay-at-home advisory from 10 p.m. to 5 a.m. on weeknights and from 10:30 p.m. to 5 a.m on weekends. Restaurants and entertainment venues are required to close between the same times.</v>
      </c>
      <c r="F841" s="1" t="str">
        <f>IFERROR(__xludf.DUMMYFUNCTION("""COMPUTED_VALUE"""),"National Academy for State Health Policy")</f>
        <v>National Academy for State Health Policy</v>
      </c>
      <c r="G841" s="3" t="str">
        <f>IFERROR(__xludf.DUMMYFUNCTION("""COMPUTED_VALUE"""),"https://www.nashp.org/2020-state-reopening-chart/")</f>
        <v>https://www.nashp.org/2020-state-reopening-chart/</v>
      </c>
      <c r="H841" s="1"/>
      <c r="I841" s="1"/>
    </row>
    <row r="842">
      <c r="A842" s="2">
        <f>IFERROR(__xludf.DUMMYFUNCTION("""COMPUTED_VALUE"""),44165.0)</f>
        <v>44165</v>
      </c>
      <c r="B842" s="1" t="str">
        <f>IFERROR(__xludf.DUMMYFUNCTION("""COMPUTED_VALUE"""),"Rhode Island")</f>
        <v>Rhode Island</v>
      </c>
      <c r="C842" s="1" t="str">
        <f>IFERROR(__xludf.DUMMYFUNCTION("""COMPUTED_VALUE"""),"State Proclamations ")</f>
        <v>State Proclamations </v>
      </c>
      <c r="D842" s="1" t="str">
        <f>IFERROR(__xludf.DUMMYFUNCTION("""COMPUTED_VALUE"""),"Closing")</f>
        <v>Closing</v>
      </c>
      <c r="E842" s="1" t="str">
        <f>IFERROR(__xludf.DUMMYFUNCTION("""COMPUTED_VALUE"""),"The governor instituted “Rhode Island on Pause” with the closing of bars, fitness centers, colleges and universities, offices, and recreational venues from Nov. 30-Dec. 13, 2020, and additional restrictions on dining.")</f>
        <v>The governor instituted “Rhode Island on Pause” with the closing of bars, fitness centers, colleges and universities, offices, and recreational venues from Nov. 30-Dec. 13, 2020, and additional restrictions on dining.</v>
      </c>
      <c r="F842" s="1" t="str">
        <f>IFERROR(__xludf.DUMMYFUNCTION("""COMPUTED_VALUE"""),"National Academy for State Health Policy")</f>
        <v>National Academy for State Health Policy</v>
      </c>
      <c r="G842" s="3" t="str">
        <f>IFERROR(__xludf.DUMMYFUNCTION("""COMPUTED_VALUE"""),"https://www.nashp.org/2020-state-reopening-chart/")</f>
        <v>https://www.nashp.org/2020-state-reopening-chart/</v>
      </c>
      <c r="H842" s="1"/>
      <c r="I842" s="1"/>
    </row>
    <row r="843">
      <c r="A843" s="2">
        <f>IFERROR(__xludf.DUMMYFUNCTION("""COMPUTED_VALUE"""),44186.0)</f>
        <v>44186</v>
      </c>
      <c r="B843" s="1" t="str">
        <f>IFERROR(__xludf.DUMMYFUNCTION("""COMPUTED_VALUE"""),"Rhode Island")</f>
        <v>Rhode Island</v>
      </c>
      <c r="C843" s="1" t="str">
        <f>IFERROR(__xludf.DUMMYFUNCTION("""COMPUTED_VALUE"""),"State Proclamations ")</f>
        <v>State Proclamations </v>
      </c>
      <c r="D843" s="1" t="str">
        <f>IFERROR(__xludf.DUMMYFUNCTION("""COMPUTED_VALUE"""),"Opening")</f>
        <v>Opening</v>
      </c>
      <c r="E843" s="1" t="str">
        <f>IFERROR(__xludf.DUMMYFUNCTION("""COMPUTED_VALUE"""),"Restaurants may move to 50% capacity, and gyms and indoor entertainment businesses can reopen with one person per 150 square feet capacity. Indoor private gatherings are still limited to household members through the holidays.")</f>
        <v>Restaurants may move to 50% capacity, and gyms and indoor entertainment businesses can reopen with one person per 150 square feet capacity. Indoor private gatherings are still limited to household members through the holidays.</v>
      </c>
      <c r="F843" s="1" t="str">
        <f>IFERROR(__xludf.DUMMYFUNCTION("""COMPUTED_VALUE"""),"National Academy for State Health Policy")</f>
        <v>National Academy for State Health Policy</v>
      </c>
      <c r="G843" s="3" t="str">
        <f>IFERROR(__xludf.DUMMYFUNCTION("""COMPUTED_VALUE"""),"https://www.nashp.org/2020-state-reopening-chart/")</f>
        <v>https://www.nashp.org/2020-state-reopening-chart/</v>
      </c>
      <c r="H843" s="1"/>
      <c r="I843" s="1"/>
    </row>
    <row r="844">
      <c r="A844" s="2">
        <f>IFERROR(__xludf.DUMMYFUNCTION("""COMPUTED_VALUE"""),44187.0)</f>
        <v>44187</v>
      </c>
      <c r="B844" s="1" t="str">
        <f>IFERROR(__xludf.DUMMYFUNCTION("""COMPUTED_VALUE"""),"Rhode Island")</f>
        <v>Rhode Island</v>
      </c>
      <c r="C844" s="1" t="str">
        <f>IFERROR(__xludf.DUMMYFUNCTION("""COMPUTED_VALUE"""),"State Proclamations ")</f>
        <v>State Proclamations </v>
      </c>
      <c r="D844" s="1" t="str">
        <f>IFERROR(__xludf.DUMMYFUNCTION("""COMPUTED_VALUE"""),"Closing")</f>
        <v>Closing</v>
      </c>
      <c r="E844" s="1" t="str">
        <f>IFERROR(__xludf.DUMMYFUNCTION("""COMPUTED_VALUE"""),"The governor extended the state’s coronavirus emergency order until Jan. 20, 2021.")</f>
        <v>The governor extended the state’s coronavirus emergency order until Jan. 20, 2021.</v>
      </c>
      <c r="F844" s="1" t="str">
        <f>IFERROR(__xludf.DUMMYFUNCTION("""COMPUTED_VALUE"""),"National Academy for State Health Policy")</f>
        <v>National Academy for State Health Policy</v>
      </c>
      <c r="G844" s="3" t="str">
        <f>IFERROR(__xludf.DUMMYFUNCTION("""COMPUTED_VALUE"""),"https://www.nashp.org/2020-state-reopening-chart/")</f>
        <v>https://www.nashp.org/2020-state-reopening-chart/</v>
      </c>
      <c r="H844" s="1"/>
      <c r="I844" s="1"/>
    </row>
    <row r="845">
      <c r="A845" s="2">
        <f>IFERROR(__xludf.DUMMYFUNCTION("""COMPUTED_VALUE"""),44203.0)</f>
        <v>44203</v>
      </c>
      <c r="B845" s="1" t="str">
        <f>IFERROR(__xludf.DUMMYFUNCTION("""COMPUTED_VALUE"""),"Rhode Island")</f>
        <v>Rhode Island</v>
      </c>
      <c r="C845" s="1" t="str">
        <f>IFERROR(__xludf.DUMMYFUNCTION("""COMPUTED_VALUE"""),"State Proclamations ")</f>
        <v>State Proclamations </v>
      </c>
      <c r="D845" s="1" t="str">
        <f>IFERROR(__xludf.DUMMYFUNCTION("""COMPUTED_VALUE"""),"Opening")</f>
        <v>Opening</v>
      </c>
      <c r="E845" s="1" t="str">
        <f>IFERROR(__xludf.DUMMYFUNCTION("""COMPUTED_VALUE"""),"Public schools were allowed to reopen on a staggered schedule between Jan. 7 and 15, 2021. Districts and schools are allowed to make their own decisions about openings and closures, but the state encourages in-person learning schedules.")</f>
        <v>Public schools were allowed to reopen on a staggered schedule between Jan. 7 and 15, 2021. Districts and schools are allowed to make their own decisions about openings and closures, but the state encourages in-person learning schedules.</v>
      </c>
      <c r="F845" s="1" t="str">
        <f>IFERROR(__xludf.DUMMYFUNCTION("""COMPUTED_VALUE"""),"National Academy for State Health Policy")</f>
        <v>National Academy for State Health Policy</v>
      </c>
      <c r="G845" s="3" t="str">
        <f>IFERROR(__xludf.DUMMYFUNCTION("""COMPUTED_VALUE"""),"https://www.nashp.org/2021-covid-19-state-restrictions-re-openings-and-mask-requirements/")</f>
        <v>https://www.nashp.org/2021-covid-19-state-restrictions-re-openings-and-mask-requirements/</v>
      </c>
      <c r="H845" s="1"/>
      <c r="I845" s="1"/>
    </row>
    <row r="846">
      <c r="A846" s="2">
        <f>IFERROR(__xludf.DUMMYFUNCTION("""COMPUTED_VALUE"""),44216.0)</f>
        <v>44216</v>
      </c>
      <c r="B846" s="1" t="str">
        <f>IFERROR(__xludf.DUMMYFUNCTION("""COMPUTED_VALUE"""),"Rhode Island")</f>
        <v>Rhode Island</v>
      </c>
      <c r="C846" s="1" t="str">
        <f>IFERROR(__xludf.DUMMYFUNCTION("""COMPUTED_VALUE"""),"State Proclamations ")</f>
        <v>State Proclamations </v>
      </c>
      <c r="D846" s="1" t="str">
        <f>IFERROR(__xludf.DUMMYFUNCTION("""COMPUTED_VALUE"""),"Opening")</f>
        <v>Opening</v>
      </c>
      <c r="E846" s="1" t="str">
        <f>IFERROR(__xludf.DUMMYFUNCTION("""COMPUTED_VALUE"""),"State-defined low- and moderate-risk school sports can resume games and practices. Higher-risk sports and interstate competitions are still prohibited.")</f>
        <v>State-defined low- and moderate-risk school sports can resume games and practices. Higher-risk sports and interstate competitions are still prohibited.</v>
      </c>
      <c r="F846" s="1" t="str">
        <f>IFERROR(__xludf.DUMMYFUNCTION("""COMPUTED_VALUE"""),"National Academy for State Health Policy")</f>
        <v>National Academy for State Health Policy</v>
      </c>
      <c r="G846" s="3" t="str">
        <f>IFERROR(__xludf.DUMMYFUNCTION("""COMPUTED_VALUE"""),"https://www.nashp.org/2021-covid-19-state-restrictions-re-openings-and-mask-requirements/")</f>
        <v>https://www.nashp.org/2021-covid-19-state-restrictions-re-openings-and-mask-requirements/</v>
      </c>
      <c r="H846" s="1"/>
      <c r="I846" s="1"/>
    </row>
    <row r="847">
      <c r="A847" s="2">
        <f>IFERROR(__xludf.DUMMYFUNCTION("""COMPUTED_VALUE"""),44227.0)</f>
        <v>44227</v>
      </c>
      <c r="B847" s="1" t="str">
        <f>IFERROR(__xludf.DUMMYFUNCTION("""COMPUTED_VALUE"""),"Rhode Island")</f>
        <v>Rhode Island</v>
      </c>
      <c r="C847" s="1" t="str">
        <f>IFERROR(__xludf.DUMMYFUNCTION("""COMPUTED_VALUE"""),"State Proclamations ")</f>
        <v>State Proclamations </v>
      </c>
      <c r="D847" s="1" t="str">
        <f>IFERROR(__xludf.DUMMYFUNCTION("""COMPUTED_VALUE"""),"Opening")</f>
        <v>Opening</v>
      </c>
      <c r="E847" s="1" t="str">
        <f>IFERROR(__xludf.DUMMYFUNCTION("""COMPUTED_VALUE"""),"Gov. Gina Raimondo ended a Nov. 8, 2020, order, which required businesses such as restaurants, gyms, and recreational facilities to close nightly by 10 p.m. on weekdays and 10:30 p.m. on weekends.")</f>
        <v>Gov. Gina Raimondo ended a Nov. 8, 2020, order, which required businesses such as restaurants, gyms, and recreational facilities to close nightly by 10 p.m. on weekdays and 10:30 p.m. on weekends.</v>
      </c>
      <c r="F847" s="1" t="str">
        <f>IFERROR(__xludf.DUMMYFUNCTION("""COMPUTED_VALUE"""),"National Academy for State Health Policy")</f>
        <v>National Academy for State Health Policy</v>
      </c>
      <c r="G847" s="3" t="str">
        <f>IFERROR(__xludf.DUMMYFUNCTION("""COMPUTED_VALUE"""),"https://www.nashp.org/2021-covid-19-state-restrictions-re-openings-and-mask-requirements/")</f>
        <v>https://www.nashp.org/2021-covid-19-state-restrictions-re-openings-and-mask-requirements/</v>
      </c>
      <c r="H847" s="1"/>
      <c r="I847" s="1"/>
    </row>
    <row r="848">
      <c r="A848" s="2">
        <f>IFERROR(__xludf.DUMMYFUNCTION("""COMPUTED_VALUE"""),44232.0)</f>
        <v>44232</v>
      </c>
      <c r="B848" s="1" t="str">
        <f>IFERROR(__xludf.DUMMYFUNCTION("""COMPUTED_VALUE"""),"Rhode Island")</f>
        <v>Rhode Island</v>
      </c>
      <c r="C848" s="1" t="str">
        <f>IFERROR(__xludf.DUMMYFUNCTION("""COMPUTED_VALUE"""),"State Proclamations ")</f>
        <v>State Proclamations </v>
      </c>
      <c r="D848" s="1" t="str">
        <f>IFERROR(__xludf.DUMMYFUNCTION("""COMPUTED_VALUE"""),"Opening")</f>
        <v>Opening</v>
      </c>
      <c r="E848" s="1" t="str">
        <f>IFERROR(__xludf.DUMMYFUNCTION("""COMPUTED_VALUE"""),"The governor signed an executive order loosening coronavirus restrictions. Catered events are limited to 30 people indoors or 50 outdoors, restaurants can seat up to eight people from two households at an indoor table, and offices can reopen at 33% capaci"&amp;"ty.")</f>
        <v>The governor signed an executive order loosening coronavirus restrictions. Catered events are limited to 30 people indoors or 50 outdoors, restaurants can seat up to eight people from two households at an indoor table, and offices can reopen at 33% capacity.</v>
      </c>
      <c r="F848" s="1" t="str">
        <f>IFERROR(__xludf.DUMMYFUNCTION("""COMPUTED_VALUE"""),"National Academy for State Health Policy")</f>
        <v>National Academy for State Health Policy</v>
      </c>
      <c r="G848" s="3" t="str">
        <f>IFERROR(__xludf.DUMMYFUNCTION("""COMPUTED_VALUE"""),"https://www.nashp.org/2021-covid-19-state-restrictions-re-openings-and-mask-requirements/")</f>
        <v>https://www.nashp.org/2021-covid-19-state-restrictions-re-openings-and-mask-requirements/</v>
      </c>
      <c r="H848" s="1"/>
      <c r="I848" s="1"/>
    </row>
    <row r="849">
      <c r="A849" s="2">
        <f>IFERROR(__xludf.DUMMYFUNCTION("""COMPUTED_VALUE"""),44239.0)</f>
        <v>44239</v>
      </c>
      <c r="B849" s="1" t="str">
        <f>IFERROR(__xludf.DUMMYFUNCTION("""COMPUTED_VALUE"""),"Rhode Island")</f>
        <v>Rhode Island</v>
      </c>
      <c r="C849" s="1" t="str">
        <f>IFERROR(__xludf.DUMMYFUNCTION("""COMPUTED_VALUE"""),"State Proclamations ")</f>
        <v>State Proclamations </v>
      </c>
      <c r="D849" s="1" t="str">
        <f>IFERROR(__xludf.DUMMYFUNCTION("""COMPUTED_VALUE"""),"Opening")</f>
        <v>Opening</v>
      </c>
      <c r="E849" s="1" t="str">
        <f>IFERROR(__xludf.DUMMYFUNCTION("""COMPUTED_VALUE"""),"Places of worship and theaters are allowed to expand from 25% to 40% capacity, and bar areas in restaurants can reopen.")</f>
        <v>Places of worship and theaters are allowed to expand from 25% to 40% capacity, and bar areas in restaurants can reopen.</v>
      </c>
      <c r="F849" s="1" t="str">
        <f>IFERROR(__xludf.DUMMYFUNCTION("""COMPUTED_VALUE"""),"National Academy for State Health Policy")</f>
        <v>National Academy for State Health Policy</v>
      </c>
      <c r="G849" s="3" t="str">
        <f>IFERROR(__xludf.DUMMYFUNCTION("""COMPUTED_VALUE"""),"https://www.nashp.org/2021-covid-19-state-restrictions-re-openings-and-mask-requirements/")</f>
        <v>https://www.nashp.org/2021-covid-19-state-restrictions-re-openings-and-mask-requirements/</v>
      </c>
      <c r="H849" s="1"/>
      <c r="I849" s="1"/>
    </row>
    <row r="850">
      <c r="A850" s="2">
        <f>IFERROR(__xludf.DUMMYFUNCTION("""COMPUTED_VALUE"""),44267.0)</f>
        <v>44267</v>
      </c>
      <c r="B850" s="1" t="str">
        <f>IFERROR(__xludf.DUMMYFUNCTION("""COMPUTED_VALUE"""),"Rhode Island")</f>
        <v>Rhode Island</v>
      </c>
      <c r="C850" s="1" t="str">
        <f>IFERROR(__xludf.DUMMYFUNCTION("""COMPUTED_VALUE"""),"State Proclamations ")</f>
        <v>State Proclamations </v>
      </c>
      <c r="D850" s="1" t="str">
        <f>IFERROR(__xludf.DUMMYFUNCTION("""COMPUTED_VALUE"""),"Opening")</f>
        <v>Opening</v>
      </c>
      <c r="E850" s="1" t="str">
        <f>IFERROR(__xludf.DUMMYFUNCTION("""COMPUTED_VALUE"""),"Gov. Dan McKee announced restaurants can move indoor dining tables from eight feet apart to six feet, and bar areas can also seat patrons until 12 am.")</f>
        <v>Gov. Dan McKee announced restaurants can move indoor dining tables from eight feet apart to six feet, and bar areas can also seat patrons until 12 am.</v>
      </c>
      <c r="F850" s="1" t="str">
        <f>IFERROR(__xludf.DUMMYFUNCTION("""COMPUTED_VALUE"""),"National Academy for State Health Policy")</f>
        <v>National Academy for State Health Policy</v>
      </c>
      <c r="G850" s="3" t="str">
        <f>IFERROR(__xludf.DUMMYFUNCTION("""COMPUTED_VALUE"""),"https://www.nashp.org/2021-covid-19-state-restrictions-re-openings-and-mask-requirements/")</f>
        <v>https://www.nashp.org/2021-covid-19-state-restrictions-re-openings-and-mask-requirements/</v>
      </c>
      <c r="H850" s="1"/>
      <c r="I850" s="1"/>
    </row>
    <row r="851">
      <c r="A851" s="2">
        <f>IFERROR(__xludf.DUMMYFUNCTION("""COMPUTED_VALUE"""),44274.0)</f>
        <v>44274</v>
      </c>
      <c r="B851" s="1" t="str">
        <f>IFERROR(__xludf.DUMMYFUNCTION("""COMPUTED_VALUE"""),"Rhode Island")</f>
        <v>Rhode Island</v>
      </c>
      <c r="C851" s="1" t="str">
        <f>IFERROR(__xludf.DUMMYFUNCTION("""COMPUTED_VALUE"""),"State Proclamations ")</f>
        <v>State Proclamations </v>
      </c>
      <c r="D851" s="1" t="str">
        <f>IFERROR(__xludf.DUMMYFUNCTION("""COMPUTED_VALUE"""),"Opening")</f>
        <v>Opening</v>
      </c>
      <c r="E851" s="1" t="str">
        <f>IFERROR(__xludf.DUMMYFUNCTION("""COMPUTED_VALUE"""),"Indoor dining capacity will increase from 66% to 75%. Indoor attendance limits at catered events will increase from 30 to 100 people, with the maximum capacity limit increasing from 50% to 75%. Outdoor catered event attendance limits will increase from 10"&amp;"0 to 200 people. Social gatherings of 15 people indoors or 50 people outdoors will be permitted. Previously, social gatherings were capped at two households indoors or three outdoors. Places of worship can operate at 75% capacity, up from the current 40% "&amp;"limit. Retailers, personal care service providers, gyms, and other businesses can also increase capacity.")</f>
        <v>Indoor dining capacity will increase from 66% to 75%. Indoor attendance limits at catered events will increase from 30 to 100 people, with the maximum capacity limit increasing from 50% to 75%. Outdoor catered event attendance limits will increase from 100 to 200 people. Social gatherings of 15 people indoors or 50 people outdoors will be permitted. Previously, social gatherings were capped at two households indoors or three outdoors. Places of worship can operate at 75% capacity, up from the current 40% limit. Retailers, personal care service providers, gyms, and other businesses can also increase capacity.</v>
      </c>
      <c r="F851" s="1" t="str">
        <f>IFERROR(__xludf.DUMMYFUNCTION("""COMPUTED_VALUE"""),"National Academy for State Health Policy")</f>
        <v>National Academy for State Health Policy</v>
      </c>
      <c r="G851" s="3" t="str">
        <f>IFERROR(__xludf.DUMMYFUNCTION("""COMPUTED_VALUE"""),"https://www.nashp.org/2021-covid-19-state-restrictions-re-openings-and-mask-requirements/")</f>
        <v>https://www.nashp.org/2021-covid-19-state-restrictions-re-openings-and-mask-requirements/</v>
      </c>
      <c r="H851" s="1"/>
      <c r="I851" s="1"/>
    </row>
    <row r="852">
      <c r="A852" s="2">
        <f>IFERROR(__xludf.DUMMYFUNCTION("""COMPUTED_VALUE"""),44323.0)</f>
        <v>44323</v>
      </c>
      <c r="B852" s="1" t="str">
        <f>IFERROR(__xludf.DUMMYFUNCTION("""COMPUTED_VALUE"""),"Rhode Island")</f>
        <v>Rhode Island</v>
      </c>
      <c r="C852" s="1" t="str">
        <f>IFERROR(__xludf.DUMMYFUNCTION("""COMPUTED_VALUE"""),"State Proclamations ")</f>
        <v>State Proclamations </v>
      </c>
      <c r="D852" s="1" t="str">
        <f>IFERROR(__xludf.DUMMYFUNCTION("""COMPUTED_VALUE"""),"Opening")</f>
        <v>Opening</v>
      </c>
      <c r="E852" s="1" t="str">
        <f>IFERROR(__xludf.DUMMYFUNCTION("""COMPUTED_VALUE"""),"Places of worship, restaurants, retailers, gyms, and personal care services can expand to 80% capacity as long as three-foot distancing can be maintained. Outdoor dining is permitted at 100% capacity with three-foot distancing between tables. Social gathe"&amp;"rings can expand to 25 people indoors and to 75 people outdoors.")</f>
        <v>Places of worship, restaurants, retailers, gyms, and personal care services can expand to 80% capacity as long as three-foot distancing can be maintained. Outdoor dining is permitted at 100% capacity with three-foot distancing between tables. Social gatherings can expand to 25 people indoors and to 75 people outdoors.</v>
      </c>
      <c r="F852" s="1" t="str">
        <f>IFERROR(__xludf.DUMMYFUNCTION("""COMPUTED_VALUE"""),"National Academy for State Health Policy")</f>
        <v>National Academy for State Health Policy</v>
      </c>
      <c r="G852" s="3" t="str">
        <f>IFERROR(__xludf.DUMMYFUNCTION("""COMPUTED_VALUE"""),"https://www.nashp.org/2021-covid-19-state-restrictions-re-openings-and-mask-requirements/")</f>
        <v>https://www.nashp.org/2021-covid-19-state-restrictions-re-openings-and-mask-requirements/</v>
      </c>
      <c r="H852" s="1"/>
      <c r="I852" s="1"/>
    </row>
    <row r="853">
      <c r="A853" s="2">
        <f>IFERROR(__xludf.DUMMYFUNCTION("""COMPUTED_VALUE"""),44337.0)</f>
        <v>44337</v>
      </c>
      <c r="B853" s="1" t="str">
        <f>IFERROR(__xludf.DUMMYFUNCTION("""COMPUTED_VALUE"""),"Rhode Island")</f>
        <v>Rhode Island</v>
      </c>
      <c r="C853" s="1" t="str">
        <f>IFERROR(__xludf.DUMMYFUNCTION("""COMPUTED_VALUE"""),"State Proclamations ")</f>
        <v>State Proclamations </v>
      </c>
      <c r="D853" s="1" t="str">
        <f>IFERROR(__xludf.DUMMYFUNCTION("""COMPUTED_VALUE"""),"Opening")</f>
        <v>Opening</v>
      </c>
      <c r="E853" s="1" t="str">
        <f>IFERROR(__xludf.DUMMYFUNCTION("""COMPUTED_VALUE"""),"All remaining coronavirus restrictions, except social distancing requirements at indoor businesses and the indoor mask mandate for unvaccinated individuals, ended.")</f>
        <v>All remaining coronavirus restrictions, except social distancing requirements at indoor businesses and the indoor mask mandate for unvaccinated individuals, ended.</v>
      </c>
      <c r="F853" s="1" t="str">
        <f>IFERROR(__xludf.DUMMYFUNCTION("""COMPUTED_VALUE"""),"National Academy for State Health Policy")</f>
        <v>National Academy for State Health Policy</v>
      </c>
      <c r="G853" s="3" t="str">
        <f>IFERROR(__xludf.DUMMYFUNCTION("""COMPUTED_VALUE"""),"https://www.nashp.org/2021-covid-19-state-restrictions-re-openings-and-mask-requirements/")</f>
        <v>https://www.nashp.org/2021-covid-19-state-restrictions-re-openings-and-mask-requirements/</v>
      </c>
      <c r="H853" s="1"/>
      <c r="I853" s="1"/>
    </row>
    <row r="854">
      <c r="A854" s="2">
        <f>IFERROR(__xludf.DUMMYFUNCTION("""COMPUTED_VALUE"""),44365.0)</f>
        <v>44365</v>
      </c>
      <c r="B854" s="1" t="str">
        <f>IFERROR(__xludf.DUMMYFUNCTION("""COMPUTED_VALUE"""),"Rhode Island")</f>
        <v>Rhode Island</v>
      </c>
      <c r="C854" s="1" t="str">
        <f>IFERROR(__xludf.DUMMYFUNCTION("""COMPUTED_VALUE"""),"State Proclamations ")</f>
        <v>State Proclamations </v>
      </c>
      <c r="D854" s="1" t="str">
        <f>IFERROR(__xludf.DUMMYFUNCTION("""COMPUTED_VALUE"""),"Opening")</f>
        <v>Opening</v>
      </c>
      <c r="E854" s="1" t="str">
        <f>IFERROR(__xludf.DUMMYFUNCTION("""COMPUTED_VALUE"""),"The governor lifted mitigation measures for live indoor performances, indoor hookah lounges, saunas, and nightclubs.")</f>
        <v>The governor lifted mitigation measures for live indoor performances, indoor hookah lounges, saunas, and nightclubs.</v>
      </c>
      <c r="F854" s="1" t="str">
        <f>IFERROR(__xludf.DUMMYFUNCTION("""COMPUTED_VALUE"""),"National Academy for State Health Policy")</f>
        <v>National Academy for State Health Policy</v>
      </c>
      <c r="G854" s="3" t="str">
        <f>IFERROR(__xludf.DUMMYFUNCTION("""COMPUTED_VALUE"""),"https://www.nashp.org/2021-covid-19-state-restrictions-re-openings-and-mask-requirements/")</f>
        <v>https://www.nashp.org/2021-covid-19-state-restrictions-re-openings-and-mask-requirements/</v>
      </c>
      <c r="H854" s="1"/>
      <c r="I854" s="1"/>
    </row>
    <row r="855">
      <c r="A855" s="2">
        <f>IFERROR(__xludf.DUMMYFUNCTION("""COMPUTED_VALUE"""),44383.0)</f>
        <v>44383</v>
      </c>
      <c r="B855" s="1" t="str">
        <f>IFERROR(__xludf.DUMMYFUNCTION("""COMPUTED_VALUE"""),"Rhode Island")</f>
        <v>Rhode Island</v>
      </c>
      <c r="C855" s="1" t="str">
        <f>IFERROR(__xludf.DUMMYFUNCTION("""COMPUTED_VALUE"""),"Mask Mandate")</f>
        <v>Mask Mandate</v>
      </c>
      <c r="D855" s="1" t="str">
        <f>IFERROR(__xludf.DUMMYFUNCTION("""COMPUTED_VALUE"""),"End")</f>
        <v>End</v>
      </c>
      <c r="E855" s="1" t="str">
        <f>IFERROR(__xludf.DUMMYFUNCTION("""COMPUTED_VALUE"""),"On July 6, the governor ended the mask mandate")</f>
        <v>On July 6, the governor ended the mask mandate</v>
      </c>
      <c r="F855" s="1" t="str">
        <f>IFERROR(__xludf.DUMMYFUNCTION("""COMPUTED_VALUE"""),"National Academy for State Health Policy")</f>
        <v>National Academy for State Health Policy</v>
      </c>
      <c r="G855" s="3" t="str">
        <f>IFERROR(__xludf.DUMMYFUNCTION("""COMPUTED_VALUE"""),"https://www.nashp.org/2021-covid-19-state-restrictions-re-openings-and-mask-requirements/")</f>
        <v>https://www.nashp.org/2021-covid-19-state-restrictions-re-openings-and-mask-requirements/</v>
      </c>
      <c r="H855" s="1"/>
      <c r="I855" s="1"/>
    </row>
    <row r="856">
      <c r="A856" s="2">
        <f>IFERROR(__xludf.DUMMYFUNCTION("""COMPUTED_VALUE"""),44545.0)</f>
        <v>44545</v>
      </c>
      <c r="B856" s="1" t="str">
        <f>IFERROR(__xludf.DUMMYFUNCTION("""COMPUTED_VALUE"""),"Rhode Island")</f>
        <v>Rhode Island</v>
      </c>
      <c r="C856" s="1" t="str">
        <f>IFERROR(__xludf.DUMMYFUNCTION("""COMPUTED_VALUE"""),"Mask Mandate")</f>
        <v>Mask Mandate</v>
      </c>
      <c r="D856" s="1" t="str">
        <f>IFERROR(__xludf.DUMMYFUNCTION("""COMPUTED_VALUE"""),"Start")</f>
        <v>Start</v>
      </c>
      <c r="E856" s="1" t="str">
        <f>IFERROR(__xludf.DUMMYFUNCTION("""COMPUTED_VALUE"""),"On Dec. 15, 2021 the governor announced a new statewide indoor mask requirement effective Dec. 20. In indoor venues with a capacity of 250 or more, masks will be required regardless of vaccination status. Smaller venues must require either masks or vaccin"&amp;"es for all individuals, or allow individuals to either wear a mask or show proof of vaccination.")</f>
        <v>On Dec. 15, 2021 the governor announced a new statewide indoor mask requirement effective Dec. 20. In indoor venues with a capacity of 250 or more, masks will be required regardless of vaccination status. Smaller venues must require either masks or vaccines for all individuals, or allow individuals to either wear a mask or show proof of vaccination.</v>
      </c>
      <c r="F856" s="1" t="str">
        <f>IFERROR(__xludf.DUMMYFUNCTION("""COMPUTED_VALUE"""),"National Academy for State Health Policy")</f>
        <v>National Academy for State Health Policy</v>
      </c>
      <c r="G856" s="3" t="str">
        <f>IFERROR(__xludf.DUMMYFUNCTION("""COMPUTED_VALUE"""),"https://www.nashp.org/2021-covid-19-state-restrictions-re-openings-and-mask-requirements/")</f>
        <v>https://www.nashp.org/2021-covid-19-state-restrictions-re-openings-and-mask-requirements/</v>
      </c>
      <c r="H856" s="1"/>
      <c r="I856" s="1"/>
    </row>
    <row r="857">
      <c r="A857" s="2">
        <f>IFERROR(__xludf.DUMMYFUNCTION("""COMPUTED_VALUE"""),43903.0)</f>
        <v>43903</v>
      </c>
      <c r="B857" s="1" t="str">
        <f>IFERROR(__xludf.DUMMYFUNCTION("""COMPUTED_VALUE"""),"South Carolina")</f>
        <v>South Carolina</v>
      </c>
      <c r="C857" s="1" t="str">
        <f>IFERROR(__xludf.DUMMYFUNCTION("""COMPUTED_VALUE"""),"State of Emergency")</f>
        <v>State of Emergency</v>
      </c>
      <c r="D857" s="1" t="str">
        <f>IFERROR(__xludf.DUMMYFUNCTION("""COMPUTED_VALUE"""),"Start")</f>
        <v>Start</v>
      </c>
      <c r="E857" s="1" t="str">
        <f>IFERROR(__xludf.DUMMYFUNCTION("""COMPUTED_VALUE"""),"Gov. Henry McMaster declared a state of emergency on March 13.")</f>
        <v>Gov. Henry McMaster declared a state of emergency on March 13.</v>
      </c>
      <c r="F857" s="1" t="str">
        <f>IFERROR(__xludf.DUMMYFUNCTION("""COMPUTED_VALUE"""),"Business Insider")</f>
        <v>Business Insider</v>
      </c>
      <c r="G857" s="3" t="str">
        <f>IFERROR(__xludf.DUMMYFUNCTION("""COMPUTED_VALUE"""),"https://www.businessinsider.com/california-washington-state-of-emergency-coronavirus-what-it-means-2020-3#south-carolina-33")</f>
        <v>https://www.businessinsider.com/california-washington-state-of-emergency-coronavirus-what-it-means-2020-3#south-carolina-33</v>
      </c>
      <c r="H857" s="1"/>
      <c r="I857" s="1"/>
    </row>
    <row r="858">
      <c r="A858" s="2">
        <f>IFERROR(__xludf.DUMMYFUNCTION("""COMPUTED_VALUE"""),43927.0)</f>
        <v>43927</v>
      </c>
      <c r="B858" s="1" t="str">
        <f>IFERROR(__xludf.DUMMYFUNCTION("""COMPUTED_VALUE"""),"South Carolina")</f>
        <v>South Carolina</v>
      </c>
      <c r="C858" s="1" t="str">
        <f>IFERROR(__xludf.DUMMYFUNCTION("""COMPUTED_VALUE"""),"Stay-at-Home Order")</f>
        <v>Stay-at-Home Order</v>
      </c>
      <c r="D858" s="1" t="str">
        <f>IFERROR(__xludf.DUMMYFUNCTION("""COMPUTED_VALUE"""),"Start")</f>
        <v>Start</v>
      </c>
      <c r="E858" s="1" t="str">
        <f>IFERROR(__xludf.DUMMYFUNCTION("""COMPUTED_VALUE"""),"Original stay-at-home order begins")</f>
        <v>Original stay-at-home order begins</v>
      </c>
      <c r="F858" s="1" t="str">
        <f>IFERROR(__xludf.DUMMYFUNCTION("""COMPUTED_VALUE"""),"National Academy for State Health Policy")</f>
        <v>National Academy for State Health Policy</v>
      </c>
      <c r="G858" s="3" t="str">
        <f>IFERROR(__xludf.DUMMYFUNCTION("""COMPUTED_VALUE"""),"https://www.nashp.org/2020-state-reopening-chart/")</f>
        <v>https://www.nashp.org/2020-state-reopening-chart/</v>
      </c>
      <c r="H858" s="1"/>
      <c r="I858" s="1"/>
    </row>
    <row r="859">
      <c r="A859" s="2">
        <f>IFERROR(__xludf.DUMMYFUNCTION("""COMPUTED_VALUE"""),43955.0)</f>
        <v>43955</v>
      </c>
      <c r="B859" s="1" t="str">
        <f>IFERROR(__xludf.DUMMYFUNCTION("""COMPUTED_VALUE"""),"South Carolina")</f>
        <v>South Carolina</v>
      </c>
      <c r="C859" s="1" t="str">
        <f>IFERROR(__xludf.DUMMYFUNCTION("""COMPUTED_VALUE"""),"Stay-at-Home Order")</f>
        <v>Stay-at-Home Order</v>
      </c>
      <c r="D859" s="1" t="str">
        <f>IFERROR(__xludf.DUMMYFUNCTION("""COMPUTED_VALUE"""),"End")</f>
        <v>End</v>
      </c>
      <c r="E859" s="1" t="str">
        <f>IFERROR(__xludf.DUMMYFUNCTION("""COMPUTED_VALUE"""),"Original stay-at-home order ends ")</f>
        <v>Original stay-at-home order ends </v>
      </c>
      <c r="F859" s="1" t="str">
        <f>IFERROR(__xludf.DUMMYFUNCTION("""COMPUTED_VALUE"""),"National Academy for State Health Policy")</f>
        <v>National Academy for State Health Policy</v>
      </c>
      <c r="G859" s="3" t="str">
        <f>IFERROR(__xludf.DUMMYFUNCTION("""COMPUTED_VALUE"""),"https://www.nashp.org/2020-state-reopening-chart/")</f>
        <v>https://www.nashp.org/2020-state-reopening-chart/</v>
      </c>
      <c r="H859" s="1"/>
      <c r="I859" s="1"/>
    </row>
    <row r="860">
      <c r="A860" s="2">
        <f>IFERROR(__xludf.DUMMYFUNCTION("""COMPUTED_VALUE"""),43955.0)</f>
        <v>43955</v>
      </c>
      <c r="B860" s="1" t="str">
        <f>IFERROR(__xludf.DUMMYFUNCTION("""COMPUTED_VALUE"""),"South Carolina")</f>
        <v>South Carolina</v>
      </c>
      <c r="C860" s="1" t="str">
        <f>IFERROR(__xludf.DUMMYFUNCTION("""COMPUTED_VALUE"""),"State Proclamations ")</f>
        <v>State Proclamations </v>
      </c>
      <c r="D860" s="1" t="str">
        <f>IFERROR(__xludf.DUMMYFUNCTION("""COMPUTED_VALUE"""),"Opening")</f>
        <v>Opening</v>
      </c>
      <c r="E860" s="1" t="str">
        <f>IFERROR(__xludf.DUMMYFUNCTION("""COMPUTED_VALUE"""),"South Carolina has reopened retail stores, restaurant dining, houses of worship, personal care services, gyms and public pools, recreational attractions, and youth and adult sports leagues. Elective medical procedures can resume at the discretion of provi"&amp;"ders.")</f>
        <v>South Carolina has reopened retail stores, restaurant dining, houses of worship, personal care services, gyms and public pools, recreational attractions, and youth and adult sports leagues. Elective medical procedures can resume at the discretion of providers.</v>
      </c>
      <c r="F860" s="1" t="str">
        <f>IFERROR(__xludf.DUMMYFUNCTION("""COMPUTED_VALUE"""),"National Academy for State Health Policy")</f>
        <v>National Academy for State Health Policy</v>
      </c>
      <c r="G860" s="3" t="str">
        <f>IFERROR(__xludf.DUMMYFUNCTION("""COMPUTED_VALUE"""),"https://www.nashp.org/2020-state-reopening-chart/")</f>
        <v>https://www.nashp.org/2020-state-reopening-chart/</v>
      </c>
      <c r="H860" s="1"/>
      <c r="I860" s="1"/>
    </row>
    <row r="861">
      <c r="A861" s="2">
        <f>IFERROR(__xludf.DUMMYFUNCTION("""COMPUTED_VALUE"""),44023.0)</f>
        <v>44023</v>
      </c>
      <c r="B861" s="1" t="str">
        <f>IFERROR(__xludf.DUMMYFUNCTION("""COMPUTED_VALUE"""),"South Carolina")</f>
        <v>South Carolina</v>
      </c>
      <c r="C861" s="1" t="str">
        <f>IFERROR(__xludf.DUMMYFUNCTION("""COMPUTED_VALUE"""),"State Proclamations ")</f>
        <v>State Proclamations </v>
      </c>
      <c r="D861" s="1" t="str">
        <f>IFERROR(__xludf.DUMMYFUNCTION("""COMPUTED_VALUE"""),"Closing")</f>
        <v>Closing</v>
      </c>
      <c r="E861" s="1" t="str">
        <f>IFERROR(__xludf.DUMMYFUNCTION("""COMPUTED_VALUE"""),"Restaurants and bars prohibited from selling alcoholic beverages after 11 p.m.")</f>
        <v>Restaurants and bars prohibited from selling alcoholic beverages after 11 p.m.</v>
      </c>
      <c r="F861" s="1" t="str">
        <f>IFERROR(__xludf.DUMMYFUNCTION("""COMPUTED_VALUE"""),"National Academy for State Health Policy")</f>
        <v>National Academy for State Health Policy</v>
      </c>
      <c r="G861" s="3" t="str">
        <f>IFERROR(__xludf.DUMMYFUNCTION("""COMPUTED_VALUE"""),"https://www.nashp.org/2020-state-reopening-chart/")</f>
        <v>https://www.nashp.org/2020-state-reopening-chart/</v>
      </c>
      <c r="H861" s="1"/>
      <c r="I861" s="1"/>
    </row>
    <row r="862">
      <c r="A862" s="2">
        <f>IFERROR(__xludf.DUMMYFUNCTION("""COMPUTED_VALUE"""),44046.0)</f>
        <v>44046</v>
      </c>
      <c r="B862" s="1" t="str">
        <f>IFERROR(__xludf.DUMMYFUNCTION("""COMPUTED_VALUE"""),"South Carolina")</f>
        <v>South Carolina</v>
      </c>
      <c r="C862" s="1" t="str">
        <f>IFERROR(__xludf.DUMMYFUNCTION("""COMPUTED_VALUE"""),"State Proclamations ")</f>
        <v>State Proclamations </v>
      </c>
      <c r="D862" s="1" t="str">
        <f>IFERROR(__xludf.DUMMYFUNCTION("""COMPUTED_VALUE"""),"Opening")</f>
        <v>Opening</v>
      </c>
      <c r="E862" s="1" t="str">
        <f>IFERROR(__xludf.DUMMYFUNCTION("""COMPUTED_VALUE"""),"Movie theaters, concerts, dance halls, and other businesses may reopen with additional guidelines and capacity limits. The governor outlined additional restrictions for dine-in services at restaurants, including a 50% capacity maximum.")</f>
        <v>Movie theaters, concerts, dance halls, and other businesses may reopen with additional guidelines and capacity limits. The governor outlined additional restrictions for dine-in services at restaurants, including a 50% capacity maximum.</v>
      </c>
      <c r="F862" s="1" t="str">
        <f>IFERROR(__xludf.DUMMYFUNCTION("""COMPUTED_VALUE"""),"National Academy for State Health Policy")</f>
        <v>National Academy for State Health Policy</v>
      </c>
      <c r="G862" s="3" t="str">
        <f>IFERROR(__xludf.DUMMYFUNCTION("""COMPUTED_VALUE"""),"https://www.nashp.org/2020-state-reopening-chart/")</f>
        <v>https://www.nashp.org/2020-state-reopening-chart/</v>
      </c>
      <c r="H862" s="1"/>
      <c r="I862" s="1"/>
    </row>
    <row r="863">
      <c r="A863" s="2">
        <f>IFERROR(__xludf.DUMMYFUNCTION("""COMPUTED_VALUE"""),44106.0)</f>
        <v>44106</v>
      </c>
      <c r="B863" s="1" t="str">
        <f>IFERROR(__xludf.DUMMYFUNCTION("""COMPUTED_VALUE"""),"South Carolina")</f>
        <v>South Carolina</v>
      </c>
      <c r="C863" s="1" t="str">
        <f>IFERROR(__xludf.DUMMYFUNCTION("""COMPUTED_VALUE"""),"State Proclamations ")</f>
        <v>State Proclamations </v>
      </c>
      <c r="D863" s="1" t="str">
        <f>IFERROR(__xludf.DUMMYFUNCTION("""COMPUTED_VALUE"""),"Opening")</f>
        <v>Opening</v>
      </c>
      <c r="E863" s="1" t="str">
        <f>IFERROR(__xludf.DUMMYFUNCTION("""COMPUTED_VALUE"""),"The governor lifted capacity limits at restaurants.")</f>
        <v>The governor lifted capacity limits at restaurants.</v>
      </c>
      <c r="F863" s="1" t="str">
        <f>IFERROR(__xludf.DUMMYFUNCTION("""COMPUTED_VALUE"""),"National Academy for State Health Policy")</f>
        <v>National Academy for State Health Policy</v>
      </c>
      <c r="G863" s="3" t="str">
        <f>IFERROR(__xludf.DUMMYFUNCTION("""COMPUTED_VALUE"""),"https://www.nashp.org/2020-state-reopening-chart/")</f>
        <v>https://www.nashp.org/2020-state-reopening-chart/</v>
      </c>
      <c r="H863" s="1"/>
      <c r="I863" s="1"/>
    </row>
    <row r="864">
      <c r="A864" s="2">
        <f>IFERROR(__xludf.DUMMYFUNCTION("""COMPUTED_VALUE"""),44142.0)</f>
        <v>44142</v>
      </c>
      <c r="B864" s="1" t="str">
        <f>IFERROR(__xludf.DUMMYFUNCTION("""COMPUTED_VALUE"""),"South Carolina")</f>
        <v>South Carolina</v>
      </c>
      <c r="C864" s="1" t="str">
        <f>IFERROR(__xludf.DUMMYFUNCTION("""COMPUTED_VALUE"""),"State Proclamations ")</f>
        <v>State Proclamations </v>
      </c>
      <c r="D864" s="1" t="str">
        <f>IFERROR(__xludf.DUMMYFUNCTION("""COMPUTED_VALUE"""),"Opening")</f>
        <v>Opening</v>
      </c>
      <c r="E864" s="1" t="str">
        <f>IFERROR(__xludf.DUMMYFUNCTION("""COMPUTED_VALUE"""),"The governor announced he has no plans to enact new statewide restrictions.")</f>
        <v>The governor announced he has no plans to enact new statewide restrictions.</v>
      </c>
      <c r="F864" s="1" t="str">
        <f>IFERROR(__xludf.DUMMYFUNCTION("""COMPUTED_VALUE"""),"National Academy for State Health Policy")</f>
        <v>National Academy for State Health Policy</v>
      </c>
      <c r="G864" s="3" t="str">
        <f>IFERROR(__xludf.DUMMYFUNCTION("""COMPUTED_VALUE"""),"https://www.nashp.org/2020-state-reopening-chart/")</f>
        <v>https://www.nashp.org/2020-state-reopening-chart/</v>
      </c>
      <c r="H864" s="1"/>
      <c r="I864" s="1"/>
    </row>
    <row r="865">
      <c r="A865" s="2">
        <f>IFERROR(__xludf.DUMMYFUNCTION("""COMPUTED_VALUE"""),44256.0)</f>
        <v>44256</v>
      </c>
      <c r="B865" s="1" t="str">
        <f>IFERROR(__xludf.DUMMYFUNCTION("""COMPUTED_VALUE"""),"South Carolina")</f>
        <v>South Carolina</v>
      </c>
      <c r="C865" s="1" t="str">
        <f>IFERROR(__xludf.DUMMYFUNCTION("""COMPUTED_VALUE"""),"State Proclamations ")</f>
        <v>State Proclamations </v>
      </c>
      <c r="D865" s="1" t="str">
        <f>IFERROR(__xludf.DUMMYFUNCTION("""COMPUTED_VALUE"""),"Opening")</f>
        <v>Opening</v>
      </c>
      <c r="E865" s="1" t="str">
        <f>IFERROR(__xludf.DUMMYFUNCTION("""COMPUTED_VALUE"""),"Gov. Henry McMaster lifted restrictions on alcohol sales after 11 pm, and the Department of Commerce no longer needs to approve events larger than 250 people.")</f>
        <v>Gov. Henry McMaster lifted restrictions on alcohol sales after 11 pm, and the Department of Commerce no longer needs to approve events larger than 250 people.</v>
      </c>
      <c r="F865" s="1" t="str">
        <f>IFERROR(__xludf.DUMMYFUNCTION("""COMPUTED_VALUE"""),"National Academy for State Health Policy")</f>
        <v>National Academy for State Health Policy</v>
      </c>
      <c r="G865" s="3" t="str">
        <f>IFERROR(__xludf.DUMMYFUNCTION("""COMPUTED_VALUE"""),"https://www.nashp.org/2021-covid-19-state-restrictions-re-openings-and-mask-requirements/")</f>
        <v>https://www.nashp.org/2021-covid-19-state-restrictions-re-openings-and-mask-requirements/</v>
      </c>
      <c r="H865" s="1"/>
      <c r="I865" s="1"/>
    </row>
    <row r="866">
      <c r="A866" s="2">
        <f>IFERROR(__xludf.DUMMYFUNCTION("""COMPUTED_VALUE"""),44327.0)</f>
        <v>44327</v>
      </c>
      <c r="B866" s="1" t="str">
        <f>IFERROR(__xludf.DUMMYFUNCTION("""COMPUTED_VALUE"""),"South Carolina")</f>
        <v>South Carolina</v>
      </c>
      <c r="C866" s="1" t="str">
        <f>IFERROR(__xludf.DUMMYFUNCTION("""COMPUTED_VALUE"""),"State Proclamations ")</f>
        <v>State Proclamations </v>
      </c>
      <c r="D866" s="1" t="str">
        <f>IFERROR(__xludf.DUMMYFUNCTION("""COMPUTED_VALUE"""),"Opening")</f>
        <v>Opening</v>
      </c>
      <c r="E866" s="1" t="str">
        <f>IFERROR(__xludf.DUMMYFUNCTION("""COMPUTED_VALUE"""),"Parents may choose whether their children wear a mask in public schools.")</f>
        <v>Parents may choose whether their children wear a mask in public schools.</v>
      </c>
      <c r="F866" s="1" t="str">
        <f>IFERROR(__xludf.DUMMYFUNCTION("""COMPUTED_VALUE"""),"National Academy for State Health Policy")</f>
        <v>National Academy for State Health Policy</v>
      </c>
      <c r="G866" s="3" t="str">
        <f>IFERROR(__xludf.DUMMYFUNCTION("""COMPUTED_VALUE"""),"https://www.nashp.org/2021-covid-19-state-restrictions-re-openings-and-mask-requirements/")</f>
        <v>https://www.nashp.org/2021-covid-19-state-restrictions-re-openings-and-mask-requirements/</v>
      </c>
      <c r="H866" s="1"/>
      <c r="I866" s="1"/>
    </row>
    <row r="867">
      <c r="A867" s="2">
        <f>IFERROR(__xludf.DUMMYFUNCTION("""COMPUTED_VALUE"""),44353.0)</f>
        <v>44353</v>
      </c>
      <c r="B867" s="1" t="str">
        <f>IFERROR(__xludf.DUMMYFUNCTION("""COMPUTED_VALUE"""),"South Carolina")</f>
        <v>South Carolina</v>
      </c>
      <c r="C867" s="1" t="str">
        <f>IFERROR(__xludf.DUMMYFUNCTION("""COMPUTED_VALUE"""),"State of Emergency")</f>
        <v>State of Emergency</v>
      </c>
      <c r="D867" s="1" t="str">
        <f>IFERROR(__xludf.DUMMYFUNCTION("""COMPUTED_VALUE"""),"End")</f>
        <v>End</v>
      </c>
      <c r="E867" s="1" t="str">
        <f>IFERROR(__xludf.DUMMYFUNCTION("""COMPUTED_VALUE"""),"State of Emergency expired June 6")</f>
        <v>State of Emergency expired June 6</v>
      </c>
      <c r="F867" s="1" t="str">
        <f>IFERROR(__xludf.DUMMYFUNCTION("""COMPUTED_VALUE"""),"National Academy for State Health Policy")</f>
        <v>National Academy for State Health Policy</v>
      </c>
      <c r="G867" s="3" t="str">
        <f>IFERROR(__xludf.DUMMYFUNCTION("""COMPUTED_VALUE"""),"https://www.nashp.org/2021-covid-19-state-restrictions-re-openings-and-mask-requirements/")</f>
        <v>https://www.nashp.org/2021-covid-19-state-restrictions-re-openings-and-mask-requirements/</v>
      </c>
      <c r="H867" s="1"/>
      <c r="I867" s="1"/>
    </row>
    <row r="868">
      <c r="A868" s="2">
        <f>IFERROR(__xludf.DUMMYFUNCTION("""COMPUTED_VALUE"""),44377.0)</f>
        <v>44377</v>
      </c>
      <c r="B868" s="1" t="str">
        <f>IFERROR(__xludf.DUMMYFUNCTION("""COMPUTED_VALUE"""),"South Carolina")</f>
        <v>South Carolina</v>
      </c>
      <c r="C868" s="1" t="str">
        <f>IFERROR(__xludf.DUMMYFUNCTION("""COMPUTED_VALUE"""),"State Proclamations ")</f>
        <v>State Proclamations </v>
      </c>
      <c r="D868" s="1" t="str">
        <f>IFERROR(__xludf.DUMMYFUNCTION("""COMPUTED_VALUE"""),"Opening")</f>
        <v>Opening</v>
      </c>
      <c r="E868" s="1" t="str">
        <f>IFERROR(__xludf.DUMMYFUNCTION("""COMPUTED_VALUE"""),"The state will stop participating in federal pandemic-related unemployment benefits.")</f>
        <v>The state will stop participating in federal pandemic-related unemployment benefits.</v>
      </c>
      <c r="F868" s="1" t="str">
        <f>IFERROR(__xludf.DUMMYFUNCTION("""COMPUTED_VALUE"""),"National Academy for State Health Policy")</f>
        <v>National Academy for State Health Policy</v>
      </c>
      <c r="G868" s="3" t="str">
        <f>IFERROR(__xludf.DUMMYFUNCTION("""COMPUTED_VALUE"""),"https://www.nashp.org/2021-covid-19-state-restrictions-re-openings-and-mask-requirements/")</f>
        <v>https://www.nashp.org/2021-covid-19-state-restrictions-re-openings-and-mask-requirements/</v>
      </c>
      <c r="H868" s="1"/>
      <c r="I868" s="1"/>
    </row>
    <row r="869">
      <c r="A869" s="2">
        <f>IFERROR(__xludf.DUMMYFUNCTION("""COMPUTED_VALUE"""),43903.0)</f>
        <v>43903</v>
      </c>
      <c r="B869" s="1" t="str">
        <f>IFERROR(__xludf.DUMMYFUNCTION("""COMPUTED_VALUE"""),"South Dakota")</f>
        <v>South Dakota</v>
      </c>
      <c r="C869" s="1" t="str">
        <f>IFERROR(__xludf.DUMMYFUNCTION("""COMPUTED_VALUE"""),"State of Emergency")</f>
        <v>State of Emergency</v>
      </c>
      <c r="D869" s="1" t="str">
        <f>IFERROR(__xludf.DUMMYFUNCTION("""COMPUTED_VALUE"""),"Start")</f>
        <v>Start</v>
      </c>
      <c r="E869" s="1" t="str">
        <f>IFERROR(__xludf.DUMMYFUNCTION("""COMPUTED_VALUE"""),"Gov. Kristi Noem declared a state of emergency on March 13, local outlets reported.")</f>
        <v>Gov. Kristi Noem declared a state of emergency on March 13, local outlets reported.</v>
      </c>
      <c r="F869" s="1" t="str">
        <f>IFERROR(__xludf.DUMMYFUNCTION("""COMPUTED_VALUE"""),"Business Insider")</f>
        <v>Business Insider</v>
      </c>
      <c r="G869" s="3" t="str">
        <f>IFERROR(__xludf.DUMMYFUNCTION("""COMPUTED_VALUE"""),"https://www.businessinsider.com/california-washington-state-of-emergency-coronavirus-what-it-means-2020-3#south-dakota-44")</f>
        <v>https://www.businessinsider.com/california-washington-state-of-emergency-coronavirus-what-it-means-2020-3#south-dakota-44</v>
      </c>
      <c r="H869" s="1"/>
      <c r="I869" s="1"/>
    </row>
    <row r="870">
      <c r="A870" s="2">
        <f>IFERROR(__xludf.DUMMYFUNCTION("""COMPUTED_VALUE"""),43952.0)</f>
        <v>43952</v>
      </c>
      <c r="B870" s="1" t="str">
        <f>IFERROR(__xludf.DUMMYFUNCTION("""COMPUTED_VALUE"""),"South Dakota")</f>
        <v>South Dakota</v>
      </c>
      <c r="C870" s="1" t="str">
        <f>IFERROR(__xludf.DUMMYFUNCTION("""COMPUTED_VALUE"""),"State Proclamations ")</f>
        <v>State Proclamations </v>
      </c>
      <c r="D870" s="1" t="str">
        <f>IFERROR(__xludf.DUMMYFUNCTION("""COMPUTED_VALUE"""),"Opening")</f>
        <v>Opening</v>
      </c>
      <c r="E870" s="1" t="str">
        <f>IFERROR(__xludf.DUMMYFUNCTION("""COMPUTED_VALUE"""),"The governor never issued a stay-at-home order and did not close businesses in the state.")</f>
        <v>The governor never issued a stay-at-home order and did not close businesses in the state.</v>
      </c>
      <c r="F870" s="1" t="str">
        <f>IFERROR(__xludf.DUMMYFUNCTION("""COMPUTED_VALUE"""),"National Academy for State Health Policy")</f>
        <v>National Academy for State Health Policy</v>
      </c>
      <c r="G870" s="3" t="str">
        <f>IFERROR(__xludf.DUMMYFUNCTION("""COMPUTED_VALUE"""),"https://www.nashp.org/2020-state-reopening-chart/")</f>
        <v>https://www.nashp.org/2020-state-reopening-chart/</v>
      </c>
      <c r="H870" s="1"/>
      <c r="I870" s="1"/>
    </row>
    <row r="871">
      <c r="A871" s="2">
        <f>IFERROR(__xludf.DUMMYFUNCTION("""COMPUTED_VALUE"""),44183.0)</f>
        <v>44183</v>
      </c>
      <c r="B871" s="1" t="str">
        <f>IFERROR(__xludf.DUMMYFUNCTION("""COMPUTED_VALUE"""),"South Dakota")</f>
        <v>South Dakota</v>
      </c>
      <c r="C871" s="1" t="str">
        <f>IFERROR(__xludf.DUMMYFUNCTION("""COMPUTED_VALUE"""),"State Proclamations ")</f>
        <v>State Proclamations </v>
      </c>
      <c r="D871" s="1" t="str">
        <f>IFERROR(__xludf.DUMMYFUNCTION("""COMPUTED_VALUE"""),"Closing")</f>
        <v>Closing</v>
      </c>
      <c r="E871" s="1" t="str">
        <f>IFERROR(__xludf.DUMMYFUNCTION("""COMPUTED_VALUE"""),"The governor issued an order extending the statewide COVID-19 emergency through June 30, 2021.")</f>
        <v>The governor issued an order extending the statewide COVID-19 emergency through June 30, 2021.</v>
      </c>
      <c r="F871" s="1" t="str">
        <f>IFERROR(__xludf.DUMMYFUNCTION("""COMPUTED_VALUE"""),"National Academy for State Health Policy")</f>
        <v>National Academy for State Health Policy</v>
      </c>
      <c r="G871" s="3" t="str">
        <f>IFERROR(__xludf.DUMMYFUNCTION("""COMPUTED_VALUE"""),"https://www.nashp.org/2020-state-reopening-chart/")</f>
        <v>https://www.nashp.org/2020-state-reopening-chart/</v>
      </c>
      <c r="H871" s="1"/>
      <c r="I871" s="1"/>
    </row>
    <row r="872">
      <c r="A872" s="2">
        <f>IFERROR(__xludf.DUMMYFUNCTION("""COMPUTED_VALUE"""),43902.0)</f>
        <v>43902</v>
      </c>
      <c r="B872" s="1" t="str">
        <f>IFERROR(__xludf.DUMMYFUNCTION("""COMPUTED_VALUE"""),"Tennessee")</f>
        <v>Tennessee</v>
      </c>
      <c r="C872" s="1" t="str">
        <f>IFERROR(__xludf.DUMMYFUNCTION("""COMPUTED_VALUE"""),"State of Emergency")</f>
        <v>State of Emergency</v>
      </c>
      <c r="D872" s="1" t="str">
        <f>IFERROR(__xludf.DUMMYFUNCTION("""COMPUTED_VALUE"""),"Start")</f>
        <v>Start</v>
      </c>
      <c r="E872" s="1" t="str">
        <f>IFERROR(__xludf.DUMMYFUNCTION("""COMPUTED_VALUE"""),"Gov. Bill Lee issued a state of emergency on March 12.")</f>
        <v>Gov. Bill Lee issued a state of emergency on March 12.</v>
      </c>
      <c r="F872" s="1" t="str">
        <f>IFERROR(__xludf.DUMMYFUNCTION("""COMPUTED_VALUE"""),"Business Insider")</f>
        <v>Business Insider</v>
      </c>
      <c r="G872" s="3" t="str">
        <f>IFERROR(__xludf.DUMMYFUNCTION("""COMPUTED_VALUE"""),"https://www.businessinsider.com/california-washington-state-of-emergency-coronavirus-what-it-means-2020-3#tennessee-30")</f>
        <v>https://www.businessinsider.com/california-washington-state-of-emergency-coronavirus-what-it-means-2020-3#tennessee-30</v>
      </c>
      <c r="H872" s="1"/>
      <c r="I872" s="1"/>
    </row>
    <row r="873">
      <c r="A873" s="2">
        <f>IFERROR(__xludf.DUMMYFUNCTION("""COMPUTED_VALUE"""),43921.0)</f>
        <v>43921</v>
      </c>
      <c r="B873" s="1" t="str">
        <f>IFERROR(__xludf.DUMMYFUNCTION("""COMPUTED_VALUE"""),"Tennessee")</f>
        <v>Tennessee</v>
      </c>
      <c r="C873" s="1" t="str">
        <f>IFERROR(__xludf.DUMMYFUNCTION("""COMPUTED_VALUE"""),"Stay-at-Home Order")</f>
        <v>Stay-at-Home Order</v>
      </c>
      <c r="D873" s="1" t="str">
        <f>IFERROR(__xludf.DUMMYFUNCTION("""COMPUTED_VALUE"""),"Start")</f>
        <v>Start</v>
      </c>
      <c r="E873" s="1" t="str">
        <f>IFERROR(__xludf.DUMMYFUNCTION("""COMPUTED_VALUE"""),"Original stay-at-home order begins")</f>
        <v>Original stay-at-home order begins</v>
      </c>
      <c r="F873" s="1" t="str">
        <f>IFERROR(__xludf.DUMMYFUNCTION("""COMPUTED_VALUE"""),"National Academy for State Health Policy")</f>
        <v>National Academy for State Health Policy</v>
      </c>
      <c r="G873" s="3" t="str">
        <f>IFERROR(__xludf.DUMMYFUNCTION("""COMPUTED_VALUE"""),"https://www.nashp.org/2020-state-reopening-chart/")</f>
        <v>https://www.nashp.org/2020-state-reopening-chart/</v>
      </c>
      <c r="H873" s="1"/>
      <c r="I873" s="1"/>
    </row>
    <row r="874">
      <c r="A874" s="2">
        <f>IFERROR(__xludf.DUMMYFUNCTION("""COMPUTED_VALUE"""),43951.0)</f>
        <v>43951</v>
      </c>
      <c r="B874" s="1" t="str">
        <f>IFERROR(__xludf.DUMMYFUNCTION("""COMPUTED_VALUE"""),"Tennessee")</f>
        <v>Tennessee</v>
      </c>
      <c r="C874" s="1" t="str">
        <f>IFERROR(__xludf.DUMMYFUNCTION("""COMPUTED_VALUE"""),"Stay-at-Home Order")</f>
        <v>Stay-at-Home Order</v>
      </c>
      <c r="D874" s="1" t="str">
        <f>IFERROR(__xludf.DUMMYFUNCTION("""COMPUTED_VALUE"""),"End")</f>
        <v>End</v>
      </c>
      <c r="E874" s="1" t="str">
        <f>IFERROR(__xludf.DUMMYFUNCTION("""COMPUTED_VALUE"""),"Original stay-at-home order ends")</f>
        <v>Original stay-at-home order ends</v>
      </c>
      <c r="F874" s="1" t="str">
        <f>IFERROR(__xludf.DUMMYFUNCTION("""COMPUTED_VALUE"""),"National Academy for State Health Policy")</f>
        <v>National Academy for State Health Policy</v>
      </c>
      <c r="G874" s="3" t="str">
        <f>IFERROR(__xludf.DUMMYFUNCTION("""COMPUTED_VALUE"""),"https://www.nashp.org/2020-state-reopening-chart/")</f>
        <v>https://www.nashp.org/2020-state-reopening-chart/</v>
      </c>
      <c r="H874" s="1"/>
      <c r="I874" s="1"/>
    </row>
    <row r="875">
      <c r="A875" s="2">
        <f>IFERROR(__xludf.DUMMYFUNCTION("""COMPUTED_VALUE"""),43952.0)</f>
        <v>43952</v>
      </c>
      <c r="B875" s="1" t="str">
        <f>IFERROR(__xludf.DUMMYFUNCTION("""COMPUTED_VALUE"""),"Tennessee")</f>
        <v>Tennessee</v>
      </c>
      <c r="C875" s="1" t="str">
        <f>IFERROR(__xludf.DUMMYFUNCTION("""COMPUTED_VALUE"""),"State Proclamations ")</f>
        <v>State Proclamations </v>
      </c>
      <c r="D875" s="1" t="str">
        <f>IFERROR(__xludf.DUMMYFUNCTION("""COMPUTED_VALUE"""),"Opening")</f>
        <v>Opening</v>
      </c>
      <c r="E875" s="1" t="str">
        <f>IFERROR(__xludf.DUMMYFUNCTION("""COMPUTED_VALUE"""),"Tennessee has reopened restaurants and retail outlets, gyms and exercise facilities, and non-contact attractions, and venues in most counties. Other counties are following individual reopening plans. Nonessential medical procedures resumed May 1.")</f>
        <v>Tennessee has reopened restaurants and retail outlets, gyms and exercise facilities, and non-contact attractions, and venues in most counties. Other counties are following individual reopening plans. Nonessential medical procedures resumed May 1.</v>
      </c>
      <c r="F875" s="1" t="str">
        <f>IFERROR(__xludf.DUMMYFUNCTION("""COMPUTED_VALUE"""),"National Academy for State Health Policy")</f>
        <v>National Academy for State Health Policy</v>
      </c>
      <c r="G875" s="3" t="str">
        <f>IFERROR(__xludf.DUMMYFUNCTION("""COMPUTED_VALUE"""),"https://www.nashp.org/2020-state-reopening-chart/")</f>
        <v>https://www.nashp.org/2020-state-reopening-chart/</v>
      </c>
      <c r="H875" s="1"/>
      <c r="I875" s="1"/>
    </row>
    <row r="876">
      <c r="A876" s="2">
        <f>IFERROR(__xludf.DUMMYFUNCTION("""COMPUTED_VALUE"""),43990.0)</f>
        <v>43990</v>
      </c>
      <c r="B876" s="1" t="str">
        <f>IFERROR(__xludf.DUMMYFUNCTION("""COMPUTED_VALUE"""),"Tennessee")</f>
        <v>Tennessee</v>
      </c>
      <c r="C876" s="1" t="str">
        <f>IFERROR(__xludf.DUMMYFUNCTION("""COMPUTED_VALUE"""),"State Proclamations ")</f>
        <v>State Proclamations </v>
      </c>
      <c r="D876" s="1" t="str">
        <f>IFERROR(__xludf.DUMMYFUNCTION("""COMPUTED_VALUE"""),"Closing")</f>
        <v>Closing</v>
      </c>
      <c r="E876" s="1" t="str">
        <f>IFERROR(__xludf.DUMMYFUNCTION("""COMPUTED_VALUE"""),"Bars in the two most populous counties reclosed.")</f>
        <v>Bars in the two most populous counties reclosed.</v>
      </c>
      <c r="F876" s="1" t="str">
        <f>IFERROR(__xludf.DUMMYFUNCTION("""COMPUTED_VALUE"""),"National Academy for State Health Policy")</f>
        <v>National Academy for State Health Policy</v>
      </c>
      <c r="G876" s="3" t="str">
        <f>IFERROR(__xludf.DUMMYFUNCTION("""COMPUTED_VALUE"""),"https://www.nashp.org/2020-state-reopening-chart/")</f>
        <v>https://www.nashp.org/2020-state-reopening-chart/</v>
      </c>
      <c r="H876" s="1"/>
      <c r="I876" s="1"/>
    </row>
    <row r="877">
      <c r="A877" s="2">
        <f>IFERROR(__xludf.DUMMYFUNCTION("""COMPUTED_VALUE"""),44039.0)</f>
        <v>44039</v>
      </c>
      <c r="B877" s="1" t="str">
        <f>IFERROR(__xludf.DUMMYFUNCTION("""COMPUTED_VALUE"""),"Tennessee")</f>
        <v>Tennessee</v>
      </c>
      <c r="C877" s="1" t="str">
        <f>IFERROR(__xludf.DUMMYFUNCTION("""COMPUTED_VALUE"""),"State Proclamations ")</f>
        <v>State Proclamations </v>
      </c>
      <c r="D877" s="1" t="str">
        <f>IFERROR(__xludf.DUMMYFUNCTION("""COMPUTED_VALUE"""),"Opening")</f>
        <v>Opening</v>
      </c>
      <c r="E877" s="1" t="str">
        <f>IFERROR(__xludf.DUMMYFUNCTION("""COMPUTED_VALUE"""),"The governor said he has no plans to close bars or restrict indoor dining.")</f>
        <v>The governor said he has no plans to close bars or restrict indoor dining.</v>
      </c>
      <c r="F877" s="1" t="str">
        <f>IFERROR(__xludf.DUMMYFUNCTION("""COMPUTED_VALUE"""),"National Academy for State Health Policy")</f>
        <v>National Academy for State Health Policy</v>
      </c>
      <c r="G877" s="3" t="str">
        <f>IFERROR(__xludf.DUMMYFUNCTION("""COMPUTED_VALUE"""),"https://www.nashp.org/2020-state-reopening-chart/")</f>
        <v>https://www.nashp.org/2020-state-reopening-chart/</v>
      </c>
      <c r="H877" s="1"/>
      <c r="I877" s="1"/>
    </row>
    <row r="878">
      <c r="A878" s="2">
        <f>IFERROR(__xludf.DUMMYFUNCTION("""COMPUTED_VALUE"""),44092.0)</f>
        <v>44092</v>
      </c>
      <c r="B878" s="1" t="str">
        <f>IFERROR(__xludf.DUMMYFUNCTION("""COMPUTED_VALUE"""),"Tennessee")</f>
        <v>Tennessee</v>
      </c>
      <c r="C878" s="1" t="str">
        <f>IFERROR(__xludf.DUMMYFUNCTION("""COMPUTED_VALUE"""),"State Proclamations ")</f>
        <v>State Proclamations </v>
      </c>
      <c r="D878" s="1" t="str">
        <f>IFERROR(__xludf.DUMMYFUNCTION("""COMPUTED_VALUE"""),"Closing")</f>
        <v>Closing</v>
      </c>
      <c r="E878" s="1" t="str">
        <f>IFERROR(__xludf.DUMMYFUNCTION("""COMPUTED_VALUE"""),"Bars and limited service restaurants in Nashville can increase capacity to 50%.")</f>
        <v>Bars and limited service restaurants in Nashville can increase capacity to 50%.</v>
      </c>
      <c r="F878" s="1" t="str">
        <f>IFERROR(__xludf.DUMMYFUNCTION("""COMPUTED_VALUE"""),"National Academy for State Health Policy")</f>
        <v>National Academy for State Health Policy</v>
      </c>
      <c r="G878" s="3" t="str">
        <f>IFERROR(__xludf.DUMMYFUNCTION("""COMPUTED_VALUE"""),"https://www.nashp.org/2020-state-reopening-chart/")</f>
        <v>https://www.nashp.org/2020-state-reopening-chart/</v>
      </c>
      <c r="H878" s="1"/>
      <c r="I878" s="1"/>
    </row>
    <row r="879">
      <c r="A879" s="2">
        <f>IFERROR(__xludf.DUMMYFUNCTION("""COMPUTED_VALUE"""),44104.0)</f>
        <v>44104</v>
      </c>
      <c r="B879" s="1" t="str">
        <f>IFERROR(__xludf.DUMMYFUNCTION("""COMPUTED_VALUE"""),"Tennessee")</f>
        <v>Tennessee</v>
      </c>
      <c r="C879" s="1" t="str">
        <f>IFERROR(__xludf.DUMMYFUNCTION("""COMPUTED_VALUE"""),"State Proclamations ")</f>
        <v>State Proclamations </v>
      </c>
      <c r="D879" s="1" t="str">
        <f>IFERROR(__xludf.DUMMYFUNCTION("""COMPUTED_VALUE"""),"Opening")</f>
        <v>Opening</v>
      </c>
      <c r="E879" s="1" t="str">
        <f>IFERROR(__xludf.DUMMYFUNCTION("""COMPUTED_VALUE"""),"The governor eliminated coronavirus restrictions on businesses and gatherings in 89 of the state’s 95 counties.")</f>
        <v>The governor eliminated coronavirus restrictions on businesses and gatherings in 89 of the state’s 95 counties.</v>
      </c>
      <c r="F879" s="1" t="str">
        <f>IFERROR(__xludf.DUMMYFUNCTION("""COMPUTED_VALUE"""),"National Academy for State Health Policy")</f>
        <v>National Academy for State Health Policy</v>
      </c>
      <c r="G879" s="3" t="str">
        <f>IFERROR(__xludf.DUMMYFUNCTION("""COMPUTED_VALUE"""),"https://www.nashp.org/2020-state-reopening-chart/")</f>
        <v>https://www.nashp.org/2020-state-reopening-chart/</v>
      </c>
      <c r="H879" s="1"/>
      <c r="I879" s="1"/>
    </row>
    <row r="880">
      <c r="A880" s="2">
        <f>IFERROR(__xludf.DUMMYFUNCTION("""COMPUTED_VALUE"""),44105.0)</f>
        <v>44105</v>
      </c>
      <c r="B880" s="1" t="str">
        <f>IFERROR(__xludf.DUMMYFUNCTION("""COMPUTED_VALUE"""),"Tennessee")</f>
        <v>Tennessee</v>
      </c>
      <c r="C880" s="1" t="str">
        <f>IFERROR(__xludf.DUMMYFUNCTION("""COMPUTED_VALUE"""),"State Proclamations ")</f>
        <v>State Proclamations </v>
      </c>
      <c r="D880" s="1" t="str">
        <f>IFERROR(__xludf.DUMMYFUNCTION("""COMPUTED_VALUE"""),"Opening")</f>
        <v>Opening</v>
      </c>
      <c r="E880" s="1" t="str">
        <f>IFERROR(__xludf.DUMMYFUNCTION("""COMPUTED_VALUE"""),"Nashville moved into Phase 3 of reopening.")</f>
        <v>Nashville moved into Phase 3 of reopening.</v>
      </c>
      <c r="F880" s="1" t="str">
        <f>IFERROR(__xludf.DUMMYFUNCTION("""COMPUTED_VALUE"""),"National Academy for State Health Policy")</f>
        <v>National Academy for State Health Policy</v>
      </c>
      <c r="G880" s="3" t="str">
        <f>IFERROR(__xludf.DUMMYFUNCTION("""COMPUTED_VALUE"""),"https://www.nashp.org/2020-state-reopening-chart/")</f>
        <v>https://www.nashp.org/2020-state-reopening-chart/</v>
      </c>
      <c r="H880" s="1"/>
      <c r="I880" s="1"/>
    </row>
    <row r="881">
      <c r="A881" s="2">
        <f>IFERROR(__xludf.DUMMYFUNCTION("""COMPUTED_VALUE"""),44108.0)</f>
        <v>44108</v>
      </c>
      <c r="B881" s="1" t="str">
        <f>IFERROR(__xludf.DUMMYFUNCTION("""COMPUTED_VALUE"""),"Tennessee")</f>
        <v>Tennessee</v>
      </c>
      <c r="C881" s="1" t="str">
        <f>IFERROR(__xludf.DUMMYFUNCTION("""COMPUTED_VALUE"""),"State Proclamations ")</f>
        <v>State Proclamations </v>
      </c>
      <c r="D881" s="1" t="str">
        <f>IFERROR(__xludf.DUMMYFUNCTION("""COMPUTED_VALUE"""),"Opening")</f>
        <v>Opening</v>
      </c>
      <c r="E881" s="1" t="str">
        <f>IFERROR(__xludf.DUMMYFUNCTION("""COMPUTED_VALUE"""),"Nissan Stadium (home of the Tennessee Titans) reopened for spectators at 10% capacity.")</f>
        <v>Nissan Stadium (home of the Tennessee Titans) reopened for spectators at 10% capacity.</v>
      </c>
      <c r="F881" s="1" t="str">
        <f>IFERROR(__xludf.DUMMYFUNCTION("""COMPUTED_VALUE"""),"National Academy for State Health Policy")</f>
        <v>National Academy for State Health Policy</v>
      </c>
      <c r="G881" s="3" t="str">
        <f>IFERROR(__xludf.DUMMYFUNCTION("""COMPUTED_VALUE"""),"https://www.nashp.org/2020-state-reopening-chart/")</f>
        <v>https://www.nashp.org/2020-state-reopening-chart/</v>
      </c>
      <c r="H881" s="1"/>
      <c r="I881" s="1"/>
    </row>
    <row r="882">
      <c r="A882" s="2">
        <f>IFERROR(__xludf.DUMMYFUNCTION("""COMPUTED_VALUE"""),44124.0)</f>
        <v>44124</v>
      </c>
      <c r="B882" s="1" t="str">
        <f>IFERROR(__xludf.DUMMYFUNCTION("""COMPUTED_VALUE"""),"Tennessee")</f>
        <v>Tennessee</v>
      </c>
      <c r="C882" s="1" t="str">
        <f>IFERROR(__xludf.DUMMYFUNCTION("""COMPUTED_VALUE"""),"State Proclamations ")</f>
        <v>State Proclamations </v>
      </c>
      <c r="D882" s="1" t="str">
        <f>IFERROR(__xludf.DUMMYFUNCTION("""COMPUTED_VALUE"""),"Closing")</f>
        <v>Closing</v>
      </c>
      <c r="E882" s="1" t="str">
        <f>IFERROR(__xludf.DUMMYFUNCTION("""COMPUTED_VALUE"""),"The governor announced he is extending the executive order that permits local governments to impose mask requirements through the end of the year.")</f>
        <v>The governor announced he is extending the executive order that permits local governments to impose mask requirements through the end of the year.</v>
      </c>
      <c r="F882" s="1" t="str">
        <f>IFERROR(__xludf.DUMMYFUNCTION("""COMPUTED_VALUE"""),"National Academy for State Health Policy")</f>
        <v>National Academy for State Health Policy</v>
      </c>
      <c r="G882" s="3" t="str">
        <f>IFERROR(__xludf.DUMMYFUNCTION("""COMPUTED_VALUE"""),"https://www.nashp.org/2020-state-reopening-chart/")</f>
        <v>https://www.nashp.org/2020-state-reopening-chart/</v>
      </c>
      <c r="H882" s="1"/>
      <c r="I882" s="1"/>
    </row>
    <row r="883">
      <c r="A883" s="2">
        <f>IFERROR(__xludf.DUMMYFUNCTION("""COMPUTED_VALUE"""),44185.0)</f>
        <v>44185</v>
      </c>
      <c r="B883" s="1" t="str">
        <f>IFERROR(__xludf.DUMMYFUNCTION("""COMPUTED_VALUE"""),"Tennessee")</f>
        <v>Tennessee</v>
      </c>
      <c r="C883" s="1" t="str">
        <f>IFERROR(__xludf.DUMMYFUNCTION("""COMPUTED_VALUE"""),"State Proclamations ")</f>
        <v>State Proclamations </v>
      </c>
      <c r="D883" s="1" t="str">
        <f>IFERROR(__xludf.DUMMYFUNCTION("""COMPUTED_VALUE"""),"Closing")</f>
        <v>Closing</v>
      </c>
      <c r="E883" s="1" t="str">
        <f>IFERROR(__xludf.DUMMYFUNCTION("""COMPUTED_VALUE"""),"Gatherings are limited to 10 people.")</f>
        <v>Gatherings are limited to 10 people.</v>
      </c>
      <c r="F883" s="1" t="str">
        <f>IFERROR(__xludf.DUMMYFUNCTION("""COMPUTED_VALUE"""),"National Academy for State Health Policy")</f>
        <v>National Academy for State Health Policy</v>
      </c>
      <c r="G883" s="3" t="str">
        <f>IFERROR(__xludf.DUMMYFUNCTION("""COMPUTED_VALUE"""),"https://www.nashp.org/2020-state-reopening-chart/")</f>
        <v>https://www.nashp.org/2020-state-reopening-chart/</v>
      </c>
      <c r="H883" s="1"/>
      <c r="I883" s="1"/>
    </row>
    <row r="884">
      <c r="A884" s="2">
        <f>IFERROR(__xludf.DUMMYFUNCTION("""COMPUTED_VALUE"""),44187.0)</f>
        <v>44187</v>
      </c>
      <c r="B884" s="1" t="str">
        <f>IFERROR(__xludf.DUMMYFUNCTION("""COMPUTED_VALUE"""),"Tennessee")</f>
        <v>Tennessee</v>
      </c>
      <c r="C884" s="1" t="str">
        <f>IFERROR(__xludf.DUMMYFUNCTION("""COMPUTED_VALUE"""),"State Proclamations ")</f>
        <v>State Proclamations </v>
      </c>
      <c r="D884" s="1" t="str">
        <f>IFERROR(__xludf.DUMMYFUNCTION("""COMPUTED_VALUE"""),"Closing")</f>
        <v>Closing</v>
      </c>
      <c r="E884" s="1" t="str">
        <f>IFERROR(__xludf.DUMMYFUNCTION("""COMPUTED_VALUE"""),"The governor extended the state’s coronavirus emergency through Feb. 27, 2021.")</f>
        <v>The governor extended the state’s coronavirus emergency through Feb. 27, 2021.</v>
      </c>
      <c r="F884" s="1" t="str">
        <f>IFERROR(__xludf.DUMMYFUNCTION("""COMPUTED_VALUE"""),"National Academy for State Health Policy")</f>
        <v>National Academy for State Health Policy</v>
      </c>
      <c r="G884" s="3" t="str">
        <f>IFERROR(__xludf.DUMMYFUNCTION("""COMPUTED_VALUE"""),"https://www.nashp.org/2020-state-reopening-chart/")</f>
        <v>https://www.nashp.org/2020-state-reopening-chart/</v>
      </c>
      <c r="H884" s="1"/>
      <c r="I884" s="1"/>
    </row>
    <row r="885">
      <c r="A885" s="2">
        <f>IFERROR(__xludf.DUMMYFUNCTION("""COMPUTED_VALUE"""),44215.0)</f>
        <v>44215</v>
      </c>
      <c r="B885" s="1" t="str">
        <f>IFERROR(__xludf.DUMMYFUNCTION("""COMPUTED_VALUE"""),"Tennessee")</f>
        <v>Tennessee</v>
      </c>
      <c r="C885" s="1" t="str">
        <f>IFERROR(__xludf.DUMMYFUNCTION("""COMPUTED_VALUE"""),"State Proclamations ")</f>
        <v>State Proclamations </v>
      </c>
      <c r="D885" s="1" t="str">
        <f>IFERROR(__xludf.DUMMYFUNCTION("""COMPUTED_VALUE"""),"Closing")</f>
        <v>Closing</v>
      </c>
      <c r="E885" s="1" t="str">
        <f>IFERROR(__xludf.DUMMYFUNCTION("""COMPUTED_VALUE"""),"Gov. Bill Lee extended and modified an order that restricts spectators at school sporting events through Feb. 27. The new order prohibits bands, cheerleaders, and dance teams from attending games.")</f>
        <v>Gov. Bill Lee extended and modified an order that restricts spectators at school sporting events through Feb. 27. The new order prohibits bands, cheerleaders, and dance teams from attending games.</v>
      </c>
      <c r="F885" s="1" t="str">
        <f>IFERROR(__xludf.DUMMYFUNCTION("""COMPUTED_VALUE"""),"National Academy for State Health Policy")</f>
        <v>National Academy for State Health Policy</v>
      </c>
      <c r="G885" s="3" t="str">
        <f>IFERROR(__xludf.DUMMYFUNCTION("""COMPUTED_VALUE"""),"https://www.nashp.org/2021-covid-19-state-restrictions-re-openings-and-mask-requirements/")</f>
        <v>https://www.nashp.org/2021-covid-19-state-restrictions-re-openings-and-mask-requirements/</v>
      </c>
      <c r="H885" s="1"/>
      <c r="I885" s="1"/>
    </row>
    <row r="886">
      <c r="A886" s="2">
        <f>IFERROR(__xludf.DUMMYFUNCTION("""COMPUTED_VALUE"""),44228.0)</f>
        <v>44228</v>
      </c>
      <c r="B886" s="1" t="str">
        <f>IFERROR(__xludf.DUMMYFUNCTION("""COMPUTED_VALUE"""),"Tennessee")</f>
        <v>Tennessee</v>
      </c>
      <c r="C886" s="1" t="str">
        <f>IFERROR(__xludf.DUMMYFUNCTION("""COMPUTED_VALUE"""),"State Proclamations ")</f>
        <v>State Proclamations </v>
      </c>
      <c r="D886" s="1" t="str">
        <f>IFERROR(__xludf.DUMMYFUNCTION("""COMPUTED_VALUE"""),"Opening")</f>
        <v>Opening</v>
      </c>
      <c r="E886" s="1" t="str">
        <f>IFERROR(__xludf.DUMMYFUNCTION("""COMPUTED_VALUE"""),"The governor lifted restrictions on spectators and participants such as cheerleaders at indoor and outdoor school sporting events.")</f>
        <v>The governor lifted restrictions on spectators and participants such as cheerleaders at indoor and outdoor school sporting events.</v>
      </c>
      <c r="F886" s="1" t="str">
        <f>IFERROR(__xludf.DUMMYFUNCTION("""COMPUTED_VALUE"""),"National Academy for State Health Policy")</f>
        <v>National Academy for State Health Policy</v>
      </c>
      <c r="G886" s="3" t="str">
        <f>IFERROR(__xludf.DUMMYFUNCTION("""COMPUTED_VALUE"""),"https://www.nashp.org/2021-covid-19-state-restrictions-re-openings-and-mask-requirements/")</f>
        <v>https://www.nashp.org/2021-covid-19-state-restrictions-re-openings-and-mask-requirements/</v>
      </c>
      <c r="H886" s="1"/>
      <c r="I886" s="1"/>
    </row>
    <row r="887">
      <c r="A887" s="2">
        <f>IFERROR(__xludf.DUMMYFUNCTION("""COMPUTED_VALUE"""),44313.0)</f>
        <v>44313</v>
      </c>
      <c r="B887" s="1" t="str">
        <f>IFERROR(__xludf.DUMMYFUNCTION("""COMPUTED_VALUE"""),"Tennessee")</f>
        <v>Tennessee</v>
      </c>
      <c r="C887" s="1" t="str">
        <f>IFERROR(__xludf.DUMMYFUNCTION("""COMPUTED_VALUE"""),"State Proclamations ")</f>
        <v>State Proclamations </v>
      </c>
      <c r="D887" s="1" t="str">
        <f>IFERROR(__xludf.DUMMYFUNCTION("""COMPUTED_VALUE"""),"Opening")</f>
        <v>Opening</v>
      </c>
      <c r="E887" s="1" t="str">
        <f>IFERROR(__xludf.DUMMYFUNCTION("""COMPUTED_VALUE"""),"The governor ended all statewide health orders.")</f>
        <v>The governor ended all statewide health orders.</v>
      </c>
      <c r="F887" s="1" t="str">
        <f>IFERROR(__xludf.DUMMYFUNCTION("""COMPUTED_VALUE"""),"National Academy for State Health Policy")</f>
        <v>National Academy for State Health Policy</v>
      </c>
      <c r="G887" s="3" t="str">
        <f>IFERROR(__xludf.DUMMYFUNCTION("""COMPUTED_VALUE"""),"https://www.nashp.org/2021-covid-19-state-restrictions-re-openings-and-mask-requirements/")</f>
        <v>https://www.nashp.org/2021-covid-19-state-restrictions-re-openings-and-mask-requirements/</v>
      </c>
      <c r="H887" s="1"/>
      <c r="I887" s="1"/>
    </row>
    <row r="888">
      <c r="A888" s="2">
        <f>IFERROR(__xludf.DUMMYFUNCTION("""COMPUTED_VALUE"""),44519.0)</f>
        <v>44519</v>
      </c>
      <c r="B888" s="1" t="str">
        <f>IFERROR(__xludf.DUMMYFUNCTION("""COMPUTED_VALUE"""),"Tennessee")</f>
        <v>Tennessee</v>
      </c>
      <c r="C888" s="1" t="str">
        <f>IFERROR(__xludf.DUMMYFUNCTION("""COMPUTED_VALUE"""),"State of Emergency")</f>
        <v>State of Emergency</v>
      </c>
      <c r="D888" s="1" t="str">
        <f>IFERROR(__xludf.DUMMYFUNCTION("""COMPUTED_VALUE"""),"End")</f>
        <v>End</v>
      </c>
      <c r="E888" s="1" t="str">
        <f>IFERROR(__xludf.DUMMYFUNCTION("""COMPUTED_VALUE"""),"The State of Emergency expired on Nov. 19, 2021.")</f>
        <v>The State of Emergency expired on Nov. 19, 2021.</v>
      </c>
      <c r="F888" s="1" t="str">
        <f>IFERROR(__xludf.DUMMYFUNCTION("""COMPUTED_VALUE"""),"National Academy for State Health Policy")</f>
        <v>National Academy for State Health Policy</v>
      </c>
      <c r="G888" s="3" t="str">
        <f>IFERROR(__xludf.DUMMYFUNCTION("""COMPUTED_VALUE"""),"https://www.nashp.org/governors-prioritize-health-for-all/")</f>
        <v>https://www.nashp.org/governors-prioritize-health-for-all/</v>
      </c>
      <c r="H888" s="1"/>
      <c r="I888" s="1"/>
    </row>
    <row r="889">
      <c r="A889" s="2">
        <f>IFERROR(__xludf.DUMMYFUNCTION("""COMPUTED_VALUE"""),43903.0)</f>
        <v>43903</v>
      </c>
      <c r="B889" s="1" t="str">
        <f>IFERROR(__xludf.DUMMYFUNCTION("""COMPUTED_VALUE"""),"Texas")</f>
        <v>Texas</v>
      </c>
      <c r="C889" s="1" t="str">
        <f>IFERROR(__xludf.DUMMYFUNCTION("""COMPUTED_VALUE"""),"State of Emergency")</f>
        <v>State of Emergency</v>
      </c>
      <c r="D889" s="1" t="str">
        <f>IFERROR(__xludf.DUMMYFUNCTION("""COMPUTED_VALUE"""),"Start")</f>
        <v>Start</v>
      </c>
      <c r="E889" s="1" t="str">
        <f>IFERROR(__xludf.DUMMYFUNCTION("""COMPUTED_VALUE"""),"Gov. Greg Abbott declared a state of disaster on March 13.")</f>
        <v>Gov. Greg Abbott declared a state of disaster on March 13.</v>
      </c>
      <c r="F889" s="1" t="str">
        <f>IFERROR(__xludf.DUMMYFUNCTION("""COMPUTED_VALUE"""),"Business Insider")</f>
        <v>Business Insider</v>
      </c>
      <c r="G889" s="3" t="str">
        <f>IFERROR(__xludf.DUMMYFUNCTION("""COMPUTED_VALUE"""),"https://www.businessinsider.com/california-washington-state-of-emergency-coronavirus-what-it-means-2020-3#texas-48")</f>
        <v>https://www.businessinsider.com/california-washington-state-of-emergency-coronavirus-what-it-means-2020-3#texas-48</v>
      </c>
      <c r="H889" s="1"/>
      <c r="I889" s="1"/>
    </row>
    <row r="890">
      <c r="A890" s="2">
        <f>IFERROR(__xludf.DUMMYFUNCTION("""COMPUTED_VALUE"""),43921.0)</f>
        <v>43921</v>
      </c>
      <c r="B890" s="1" t="str">
        <f>IFERROR(__xludf.DUMMYFUNCTION("""COMPUTED_VALUE"""),"Texas")</f>
        <v>Texas</v>
      </c>
      <c r="C890" s="1" t="str">
        <f>IFERROR(__xludf.DUMMYFUNCTION("""COMPUTED_VALUE"""),"Stay-at-Home Order")</f>
        <v>Stay-at-Home Order</v>
      </c>
      <c r="D890" s="1" t="str">
        <f>IFERROR(__xludf.DUMMYFUNCTION("""COMPUTED_VALUE"""),"Start")</f>
        <v>Start</v>
      </c>
      <c r="E890" s="1" t="str">
        <f>IFERROR(__xludf.DUMMYFUNCTION("""COMPUTED_VALUE"""),"Original stay-at-home order begins")</f>
        <v>Original stay-at-home order begins</v>
      </c>
      <c r="F890" s="1" t="str">
        <f>IFERROR(__xludf.DUMMYFUNCTION("""COMPUTED_VALUE"""),"National Academy for State Health Policy")</f>
        <v>National Academy for State Health Policy</v>
      </c>
      <c r="G890" s="3" t="str">
        <f>IFERROR(__xludf.DUMMYFUNCTION("""COMPUTED_VALUE"""),"https://www.nashp.org/2020-state-reopening-chart/")</f>
        <v>https://www.nashp.org/2020-state-reopening-chart/</v>
      </c>
      <c r="H890" s="1"/>
      <c r="I890" s="1"/>
    </row>
    <row r="891">
      <c r="A891" s="2">
        <f>IFERROR(__xludf.DUMMYFUNCTION("""COMPUTED_VALUE"""),43951.0)</f>
        <v>43951</v>
      </c>
      <c r="B891" s="1" t="str">
        <f>IFERROR(__xludf.DUMMYFUNCTION("""COMPUTED_VALUE"""),"Texas")</f>
        <v>Texas</v>
      </c>
      <c r="C891" s="1" t="str">
        <f>IFERROR(__xludf.DUMMYFUNCTION("""COMPUTED_VALUE"""),"Stay-at-Home Order")</f>
        <v>Stay-at-Home Order</v>
      </c>
      <c r="D891" s="1" t="str">
        <f>IFERROR(__xludf.DUMMYFUNCTION("""COMPUTED_VALUE"""),"End")</f>
        <v>End</v>
      </c>
      <c r="E891" s="1" t="str">
        <f>IFERROR(__xludf.DUMMYFUNCTION("""COMPUTED_VALUE"""),"Original stay-at-home order ends ")</f>
        <v>Original stay-at-home order ends </v>
      </c>
      <c r="F891" s="1" t="str">
        <f>IFERROR(__xludf.DUMMYFUNCTION("""COMPUTED_VALUE"""),"National Academy for State Health Policy")</f>
        <v>National Academy for State Health Policy</v>
      </c>
      <c r="G891" s="3" t="str">
        <f>IFERROR(__xludf.DUMMYFUNCTION("""COMPUTED_VALUE"""),"https://www.nashp.org/2020-state-reopening-chart/")</f>
        <v>https://www.nashp.org/2020-state-reopening-chart/</v>
      </c>
      <c r="H891" s="1"/>
      <c r="I891" s="1"/>
    </row>
    <row r="892">
      <c r="A892" s="2">
        <f>IFERROR(__xludf.DUMMYFUNCTION("""COMPUTED_VALUE"""),43952.0)</f>
        <v>43952</v>
      </c>
      <c r="B892" s="1" t="str">
        <f>IFERROR(__xludf.DUMMYFUNCTION("""COMPUTED_VALUE"""),"Texas")</f>
        <v>Texas</v>
      </c>
      <c r="C892" s="1" t="str">
        <f>IFERROR(__xludf.DUMMYFUNCTION("""COMPUTED_VALUE"""),"State Proclamations ")</f>
        <v>State Proclamations </v>
      </c>
      <c r="D892" s="1" t="str">
        <f>IFERROR(__xludf.DUMMYFUNCTION("""COMPUTED_VALUE"""),"Opening")</f>
        <v>Opening</v>
      </c>
      <c r="E892" s="1" t="str">
        <f>IFERROR(__xludf.DUMMYFUNCTION("""COMPUTED_VALUE"""),"Texas has reopened retail stores, restaurants, movie theaters, malls, museums, libraries, bowling alleys, bingo halls, rodeos, professional sports with spectators and youth sports camps, and summer camps and overnight camps. Nonessential medical procedure"&amp;"s resumed April 22.")</f>
        <v>Texas has reopened retail stores, restaurants, movie theaters, malls, museums, libraries, bowling alleys, bingo halls, rodeos, professional sports with spectators and youth sports camps, and summer camps and overnight camps. Nonessential medical procedures resumed April 22.</v>
      </c>
      <c r="F892" s="1" t="str">
        <f>IFERROR(__xludf.DUMMYFUNCTION("""COMPUTED_VALUE"""),"National Academy for State Health Policy")</f>
        <v>National Academy for State Health Policy</v>
      </c>
      <c r="G892" s="3" t="str">
        <f>IFERROR(__xludf.DUMMYFUNCTION("""COMPUTED_VALUE"""),"https://www.nashp.org/2020-state-reopening-chart/")</f>
        <v>https://www.nashp.org/2020-state-reopening-chart/</v>
      </c>
      <c r="H892" s="1"/>
      <c r="I892" s="1"/>
    </row>
    <row r="893">
      <c r="A893" s="2">
        <f>IFERROR(__xludf.DUMMYFUNCTION("""COMPUTED_VALUE"""),43983.0)</f>
        <v>43983</v>
      </c>
      <c r="B893" s="1" t="str">
        <f>IFERROR(__xludf.DUMMYFUNCTION("""COMPUTED_VALUE"""),"Texas")</f>
        <v>Texas</v>
      </c>
      <c r="C893" s="1" t="str">
        <f>IFERROR(__xludf.DUMMYFUNCTION("""COMPUTED_VALUE"""),"State Proclamations ")</f>
        <v>State Proclamations </v>
      </c>
      <c r="D893" s="1" t="str">
        <f>IFERROR(__xludf.DUMMYFUNCTION("""COMPUTED_VALUE"""),"Opening")</f>
        <v>Opening</v>
      </c>
      <c r="E893" s="1" t="str">
        <f>IFERROR(__xludf.DUMMYFUNCTION("""COMPUTED_VALUE"""),"Schools could open for summer school classes.")</f>
        <v>Schools could open for summer school classes.</v>
      </c>
      <c r="F893" s="1" t="str">
        <f>IFERROR(__xludf.DUMMYFUNCTION("""COMPUTED_VALUE"""),"National Academy for State Health Policy")</f>
        <v>National Academy for State Health Policy</v>
      </c>
      <c r="G893" s="3" t="str">
        <f>IFERROR(__xludf.DUMMYFUNCTION("""COMPUTED_VALUE"""),"https://www.nashp.org/2020-state-reopening-chart/")</f>
        <v>https://www.nashp.org/2020-state-reopening-chart/</v>
      </c>
      <c r="H893" s="1"/>
      <c r="I893" s="1"/>
    </row>
    <row r="894">
      <c r="A894" s="2">
        <f>IFERROR(__xludf.DUMMYFUNCTION("""COMPUTED_VALUE"""),43994.0)</f>
        <v>43994</v>
      </c>
      <c r="B894" s="1" t="str">
        <f>IFERROR(__xludf.DUMMYFUNCTION("""COMPUTED_VALUE"""),"Texas")</f>
        <v>Texas</v>
      </c>
      <c r="C894" s="1" t="str">
        <f>IFERROR(__xludf.DUMMYFUNCTION("""COMPUTED_VALUE"""),"State Proclamations ")</f>
        <v>State Proclamations </v>
      </c>
      <c r="D894" s="1" t="str">
        <f>IFERROR(__xludf.DUMMYFUNCTION("""COMPUTED_VALUE"""),"Opening")</f>
        <v>Opening</v>
      </c>
      <c r="E894" s="1" t="str">
        <f>IFERROR(__xludf.DUMMYFUNCTION("""COMPUTED_VALUE"""),"Restaurants reopened at 75% capacity.")</f>
        <v>Restaurants reopened at 75% capacity.</v>
      </c>
      <c r="F894" s="1" t="str">
        <f>IFERROR(__xludf.DUMMYFUNCTION("""COMPUTED_VALUE"""),"National Academy for State Health Policy")</f>
        <v>National Academy for State Health Policy</v>
      </c>
      <c r="G894" s="3" t="str">
        <f>IFERROR(__xludf.DUMMYFUNCTION("""COMPUTED_VALUE"""),"https://www.nashp.org/2020-state-reopening-chart/")</f>
        <v>https://www.nashp.org/2020-state-reopening-chart/</v>
      </c>
      <c r="H894" s="1"/>
      <c r="I894" s="1"/>
    </row>
    <row r="895">
      <c r="A895" s="2">
        <f>IFERROR(__xludf.DUMMYFUNCTION("""COMPUTED_VALUE"""),44001.0)</f>
        <v>44001</v>
      </c>
      <c r="B895" s="1" t="str">
        <f>IFERROR(__xludf.DUMMYFUNCTION("""COMPUTED_VALUE"""),"Texas")</f>
        <v>Texas</v>
      </c>
      <c r="C895" s="1" t="str">
        <f>IFERROR(__xludf.DUMMYFUNCTION("""COMPUTED_VALUE"""),"State Proclamations ")</f>
        <v>State Proclamations </v>
      </c>
      <c r="D895" s="1" t="str">
        <f>IFERROR(__xludf.DUMMYFUNCTION("""COMPUTED_VALUE"""),"Opening")</f>
        <v>Opening</v>
      </c>
      <c r="E895" s="1" t="str">
        <f>IFERROR(__xludf.DUMMYFUNCTION("""COMPUTED_VALUE"""),"Amusement parks and carnivals reopened at 50% capacity.")</f>
        <v>Amusement parks and carnivals reopened at 50% capacity.</v>
      </c>
      <c r="F895" s="1" t="str">
        <f>IFERROR(__xludf.DUMMYFUNCTION("""COMPUTED_VALUE"""),"National Academy for State Health Policy")</f>
        <v>National Academy for State Health Policy</v>
      </c>
      <c r="G895" s="3" t="str">
        <f>IFERROR(__xludf.DUMMYFUNCTION("""COMPUTED_VALUE"""),"https://www.nashp.org/2020-state-reopening-chart/")</f>
        <v>https://www.nashp.org/2020-state-reopening-chart/</v>
      </c>
      <c r="H895" s="1"/>
      <c r="I895" s="1"/>
    </row>
    <row r="896">
      <c r="A896" s="2">
        <f>IFERROR(__xludf.DUMMYFUNCTION("""COMPUTED_VALUE"""),44007.0)</f>
        <v>44007</v>
      </c>
      <c r="B896" s="1" t="str">
        <f>IFERROR(__xludf.DUMMYFUNCTION("""COMPUTED_VALUE"""),"Texas")</f>
        <v>Texas</v>
      </c>
      <c r="C896" s="1" t="str">
        <f>IFERROR(__xludf.DUMMYFUNCTION("""COMPUTED_VALUE"""),"State Proclamations ")</f>
        <v>State Proclamations </v>
      </c>
      <c r="D896" s="1" t="str">
        <f>IFERROR(__xludf.DUMMYFUNCTION("""COMPUTED_VALUE"""),"Closing")</f>
        <v>Closing</v>
      </c>
      <c r="E896" s="1" t="str">
        <f>IFERROR(__xludf.DUMMYFUNCTION("""COMPUTED_VALUE"""),"Due to an increase in infections, the governor froze the state’s reopening plan and ordered bars closed.")</f>
        <v>Due to an increase in infections, the governor froze the state’s reopening plan and ordered bars closed.</v>
      </c>
      <c r="F896" s="1" t="str">
        <f>IFERROR(__xludf.DUMMYFUNCTION("""COMPUTED_VALUE"""),"National Academy for State Health Policy")</f>
        <v>National Academy for State Health Policy</v>
      </c>
      <c r="G896" s="3" t="str">
        <f>IFERROR(__xludf.DUMMYFUNCTION("""COMPUTED_VALUE"""),"https://www.nashp.org/2020-state-reopening-chart/")</f>
        <v>https://www.nashp.org/2020-state-reopening-chart/</v>
      </c>
      <c r="H896" s="1"/>
      <c r="I896" s="1"/>
    </row>
    <row r="897">
      <c r="A897" s="2">
        <f>IFERROR(__xludf.DUMMYFUNCTION("""COMPUTED_VALUE"""),44015.0)</f>
        <v>44015</v>
      </c>
      <c r="B897" s="1" t="str">
        <f>IFERROR(__xludf.DUMMYFUNCTION("""COMPUTED_VALUE"""),"Texas")</f>
        <v>Texas</v>
      </c>
      <c r="C897" s="1" t="str">
        <f>IFERROR(__xludf.DUMMYFUNCTION("""COMPUTED_VALUE"""),"Mask Mandate")</f>
        <v>Mask Mandate</v>
      </c>
      <c r="D897" s="1" t="str">
        <f>IFERROR(__xludf.DUMMYFUNCTION("""COMPUTED_VALUE"""),"Start")</f>
        <v>Start</v>
      </c>
      <c r="E897" s="1" t="str">
        <f>IFERROR(__xludf.DUMMYFUNCTION("""COMPUTED_VALUE"""),"Gov. Greg Abbott issued an executive order that will require residents in counties with 20 or more active Covid-19 cases to wear face coverings in public. It takes effect midday on July 3.")</f>
        <v>Gov. Greg Abbott issued an executive order that will require residents in counties with 20 or more active Covid-19 cases to wear face coverings in public. It takes effect midday on July 3.</v>
      </c>
      <c r="F897" s="1" t="str">
        <f>IFERROR(__xludf.DUMMYFUNCTION("""COMPUTED_VALUE"""),"CNN")</f>
        <v>CNN</v>
      </c>
      <c r="G897" s="3" t="str">
        <f>IFERROR(__xludf.DUMMYFUNCTION("""COMPUTED_VALUE"""),"https://www.cnn.com/2020/06/19/us/states-face-mask-coronavirus-trnd/index.html")</f>
        <v>https://www.cnn.com/2020/06/19/us/states-face-mask-coronavirus-trnd/index.html</v>
      </c>
      <c r="H897" s="1"/>
      <c r="I897" s="1"/>
    </row>
    <row r="898">
      <c r="A898" s="2">
        <f>IFERROR(__xludf.DUMMYFUNCTION("""COMPUTED_VALUE"""),44095.0)</f>
        <v>44095</v>
      </c>
      <c r="B898" s="1" t="str">
        <f>IFERROR(__xludf.DUMMYFUNCTION("""COMPUTED_VALUE"""),"Texas")</f>
        <v>Texas</v>
      </c>
      <c r="C898" s="1" t="str">
        <f>IFERROR(__xludf.DUMMYFUNCTION("""COMPUTED_VALUE"""),"State Proclamations ")</f>
        <v>State Proclamations </v>
      </c>
      <c r="D898" s="1" t="str">
        <f>IFERROR(__xludf.DUMMYFUNCTION("""COMPUTED_VALUE"""),"Opening")</f>
        <v>Opening</v>
      </c>
      <c r="E898" s="1" t="str">
        <f>IFERROR(__xludf.DUMMYFUNCTION("""COMPUTED_VALUE"""),"Retail establishments, restaurants, office buildings, gyms, museums, and libraries in regions where hospitalization rates are below 15% will be allowed to increase capacity up to 75%.")</f>
        <v>Retail establishments, restaurants, office buildings, gyms, museums, and libraries in regions where hospitalization rates are below 15% will be allowed to increase capacity up to 75%.</v>
      </c>
      <c r="F898" s="1" t="str">
        <f>IFERROR(__xludf.DUMMYFUNCTION("""COMPUTED_VALUE"""),"National Academy for State Health Policy")</f>
        <v>National Academy for State Health Policy</v>
      </c>
      <c r="G898" s="3" t="str">
        <f>IFERROR(__xludf.DUMMYFUNCTION("""COMPUTED_VALUE"""),"https://www.nashp.org/2020-state-reopening-chart/")</f>
        <v>https://www.nashp.org/2020-state-reopening-chart/</v>
      </c>
      <c r="H898" s="1"/>
      <c r="I898" s="1"/>
    </row>
    <row r="899">
      <c r="A899" s="2">
        <f>IFERROR(__xludf.DUMMYFUNCTION("""COMPUTED_VALUE"""),44119.0)</f>
        <v>44119</v>
      </c>
      <c r="B899" s="1" t="str">
        <f>IFERROR(__xludf.DUMMYFUNCTION("""COMPUTED_VALUE"""),"Texas")</f>
        <v>Texas</v>
      </c>
      <c r="C899" s="1" t="str">
        <f>IFERROR(__xludf.DUMMYFUNCTION("""COMPUTED_VALUE"""),"State Proclamations ")</f>
        <v>State Proclamations </v>
      </c>
      <c r="D899" s="1" t="str">
        <f>IFERROR(__xludf.DUMMYFUNCTION("""COMPUTED_VALUE"""),"Opening")</f>
        <v>Opening</v>
      </c>
      <c r="E899" s="1" t="str">
        <f>IFERROR(__xludf.DUMMYFUNCTION("""COMPUTED_VALUE"""),"In regions with low COVID-19 hospitalization rates, bars and similar establishments will be allowed to reopen at 50% capacity, and amusement parks and movie theaters in low-hospitalization counties will be permitted to reopen at 75% capacity.")</f>
        <v>In regions with low COVID-19 hospitalization rates, bars and similar establishments will be allowed to reopen at 50% capacity, and amusement parks and movie theaters in low-hospitalization counties will be permitted to reopen at 75% capacity.</v>
      </c>
      <c r="F899" s="1" t="str">
        <f>IFERROR(__xludf.DUMMYFUNCTION("""COMPUTED_VALUE"""),"National Academy for State Health Policy")</f>
        <v>National Academy for State Health Policy</v>
      </c>
      <c r="G899" s="3" t="str">
        <f>IFERROR(__xludf.DUMMYFUNCTION("""COMPUTED_VALUE"""),"https://www.nashp.org/2020-state-reopening-chart/")</f>
        <v>https://www.nashp.org/2020-state-reopening-chart/</v>
      </c>
      <c r="H899" s="1"/>
      <c r="I899" s="1"/>
    </row>
    <row r="900">
      <c r="A900" s="2">
        <f>IFERROR(__xludf.DUMMYFUNCTION("""COMPUTED_VALUE"""),44168.0)</f>
        <v>44168</v>
      </c>
      <c r="B900" s="1" t="str">
        <f>IFERROR(__xludf.DUMMYFUNCTION("""COMPUTED_VALUE"""),"Texas")</f>
        <v>Texas</v>
      </c>
      <c r="C900" s="1" t="str">
        <f>IFERROR(__xludf.DUMMYFUNCTION("""COMPUTED_VALUE"""),"State Proclamations ")</f>
        <v>State Proclamations </v>
      </c>
      <c r="D900" s="1" t="str">
        <f>IFERROR(__xludf.DUMMYFUNCTION("""COMPUTED_VALUE"""),"Closing")</f>
        <v>Closing</v>
      </c>
      <c r="E900" s="1" t="str">
        <f>IFERROR(__xludf.DUMMYFUNCTION("""COMPUTED_VALUE"""),"Restaurants and gyms in northern Texas must reduce capacity to 50%, and bars where alcohol sales make up more than 51% of sales must close.")</f>
        <v>Restaurants and gyms in northern Texas must reduce capacity to 50%, and bars where alcohol sales make up more than 51% of sales must close.</v>
      </c>
      <c r="F900" s="1" t="str">
        <f>IFERROR(__xludf.DUMMYFUNCTION("""COMPUTED_VALUE"""),"National Academy for State Health Policy")</f>
        <v>National Academy for State Health Policy</v>
      </c>
      <c r="G900" s="3" t="str">
        <f>IFERROR(__xludf.DUMMYFUNCTION("""COMPUTED_VALUE"""),"https://www.nashp.org/2020-state-reopening-chart/")</f>
        <v>https://www.nashp.org/2020-state-reopening-chart/</v>
      </c>
      <c r="H900" s="1"/>
      <c r="I900" s="1"/>
    </row>
    <row r="901">
      <c r="A901" s="2">
        <f>IFERROR(__xludf.DUMMYFUNCTION("""COMPUTED_VALUE"""),44250.0)</f>
        <v>44250</v>
      </c>
      <c r="B901" s="1" t="str">
        <f>IFERROR(__xludf.DUMMYFUNCTION("""COMPUTED_VALUE"""),"Texas")</f>
        <v>Texas</v>
      </c>
      <c r="C901" s="1" t="str">
        <f>IFERROR(__xludf.DUMMYFUNCTION("""COMPUTED_VALUE"""),"State Proclamations ")</f>
        <v>State Proclamations </v>
      </c>
      <c r="D901" s="1" t="str">
        <f>IFERROR(__xludf.DUMMYFUNCTION("""COMPUTED_VALUE"""),"Opening")</f>
        <v>Opening</v>
      </c>
      <c r="E901" s="1" t="str">
        <f>IFERROR(__xludf.DUMMYFUNCTION("""COMPUTED_VALUE"""),"Restaurants and other businesses could increase their operating capacity from 50% to 75% capacity, up from 50%. This change occurred because the percentage of hospital beds devoted to COVID-19 patients in the Southeast Texas Trauma Service Area, which inc"&amp;"ludes Houston, remained below 15% for seven consecutive days.")</f>
        <v>Restaurants and other businesses could increase their operating capacity from 50% to 75% capacity, up from 50%. This change occurred because the percentage of hospital beds devoted to COVID-19 patients in the Southeast Texas Trauma Service Area, which includes Houston, remained below 15% for seven consecutive days.</v>
      </c>
      <c r="F901" s="1" t="str">
        <f>IFERROR(__xludf.DUMMYFUNCTION("""COMPUTED_VALUE"""),"National Academy for State Health Policy")</f>
        <v>National Academy for State Health Policy</v>
      </c>
      <c r="G901" s="3" t="str">
        <f>IFERROR(__xludf.DUMMYFUNCTION("""COMPUTED_VALUE"""),"https://www.nashp.org/2021-covid-19-state-restrictions-re-openings-and-mask-requirements/")</f>
        <v>https://www.nashp.org/2021-covid-19-state-restrictions-re-openings-and-mask-requirements/</v>
      </c>
      <c r="H901" s="1"/>
      <c r="I901" s="1"/>
    </row>
    <row r="902">
      <c r="A902" s="2">
        <f>IFERROR(__xludf.DUMMYFUNCTION("""COMPUTED_VALUE"""),44257.0)</f>
        <v>44257</v>
      </c>
      <c r="B902" s="1" t="str">
        <f>IFERROR(__xludf.DUMMYFUNCTION("""COMPUTED_VALUE"""),"Texas")</f>
        <v>Texas</v>
      </c>
      <c r="C902" s="1" t="str">
        <f>IFERROR(__xludf.DUMMYFUNCTION("""COMPUTED_VALUE"""),"State Proclamations ")</f>
        <v>State Proclamations </v>
      </c>
      <c r="D902" s="1" t="str">
        <f>IFERROR(__xludf.DUMMYFUNCTION("""COMPUTED_VALUE"""),"Opening")</f>
        <v>Opening</v>
      </c>
      <c r="E902" s="1" t="str">
        <f>IFERROR(__xludf.DUMMYFUNCTION("""COMPUTED_VALUE"""),"Gov. Greg Abbott issued an order ending the statewide mask mandate and allowing all businesses to open at 100% capacity beginning")</f>
        <v>Gov. Greg Abbott issued an order ending the statewide mask mandate and allowing all businesses to open at 100% capacity beginning</v>
      </c>
      <c r="F902" s="1" t="str">
        <f>IFERROR(__xludf.DUMMYFUNCTION("""COMPUTED_VALUE"""),"National Academy for State Health Policy")</f>
        <v>National Academy for State Health Policy</v>
      </c>
      <c r="G902" s="3" t="str">
        <f>IFERROR(__xludf.DUMMYFUNCTION("""COMPUTED_VALUE"""),"https://www.nashp.org/2021-covid-19-state-restrictions-re-openings-and-mask-requirements/")</f>
        <v>https://www.nashp.org/2021-covid-19-state-restrictions-re-openings-and-mask-requirements/</v>
      </c>
      <c r="H902" s="1"/>
      <c r="I902" s="1"/>
    </row>
    <row r="903">
      <c r="A903" s="2">
        <f>IFERROR(__xludf.DUMMYFUNCTION("""COMPUTED_VALUE"""),44265.0)</f>
        <v>44265</v>
      </c>
      <c r="B903" s="1" t="str">
        <f>IFERROR(__xludf.DUMMYFUNCTION("""COMPUTED_VALUE"""),"Texas")</f>
        <v>Texas</v>
      </c>
      <c r="C903" s="1" t="str">
        <f>IFERROR(__xludf.DUMMYFUNCTION("""COMPUTED_VALUE"""),"Mask Mandate")</f>
        <v>Mask Mandate</v>
      </c>
      <c r="D903" s="1" t="str">
        <f>IFERROR(__xludf.DUMMYFUNCTION("""COMPUTED_VALUE"""),"End")</f>
        <v>End</v>
      </c>
      <c r="E903" s="1" t="str">
        <f>IFERROR(__xludf.DUMMYFUNCTION("""COMPUTED_VALUE"""),"On March 10, the mask mandate expired after the governor issued an order lifting several statewide restrictions")</f>
        <v>On March 10, the mask mandate expired after the governor issued an order lifting several statewide restrictions</v>
      </c>
      <c r="F903" s="1" t="str">
        <f>IFERROR(__xludf.DUMMYFUNCTION("""COMPUTED_VALUE"""),"National Academy for State Health Policy")</f>
        <v>National Academy for State Health Policy</v>
      </c>
      <c r="G903" s="3" t="str">
        <f>IFERROR(__xludf.DUMMYFUNCTION("""COMPUTED_VALUE"""),"https://www.nashp.org/2021-covid-19-state-restrictions-re-openings-and-mask-requirements/")</f>
        <v>https://www.nashp.org/2021-covid-19-state-restrictions-re-openings-and-mask-requirements/</v>
      </c>
      <c r="H903" s="1"/>
      <c r="I903" s="1"/>
    </row>
    <row r="904">
      <c r="A904" s="2">
        <f>IFERROR(__xludf.DUMMYFUNCTION("""COMPUTED_VALUE"""),44265.0)</f>
        <v>44265</v>
      </c>
      <c r="B904" s="1" t="str">
        <f>IFERROR(__xludf.DUMMYFUNCTION("""COMPUTED_VALUE"""),"Texas")</f>
        <v>Texas</v>
      </c>
      <c r="C904" s="1" t="str">
        <f>IFERROR(__xludf.DUMMYFUNCTION("""COMPUTED_VALUE"""),"State Proclamations ")</f>
        <v>State Proclamations </v>
      </c>
      <c r="D904" s="1" t="str">
        <f>IFERROR(__xludf.DUMMYFUNCTION("""COMPUTED_VALUE"""),"Closing")</f>
        <v>Closing</v>
      </c>
      <c r="E904" s="1" t="str">
        <f>IFERROR(__xludf.DUMMYFUNCTION("""COMPUTED_VALUE"""),"If COVID-19 hospitalizations get above 15% of hospital bed capacity in any of the state’s 22 hospital regions for seven consecutive days, then a county judge may impose some restrictions. Those restrictions cannot include capacity limits below 50%, howeve"&amp;"r. The order also prohibits jurisdictions from penalizing people for not wearing face coverings.")</f>
        <v>If COVID-19 hospitalizations get above 15% of hospital bed capacity in any of the state’s 22 hospital regions for seven consecutive days, then a county judge may impose some restrictions. Those restrictions cannot include capacity limits below 50%, however. The order also prohibits jurisdictions from penalizing people for not wearing face coverings.</v>
      </c>
      <c r="F904" s="1" t="str">
        <f>IFERROR(__xludf.DUMMYFUNCTION("""COMPUTED_VALUE"""),"National Academy for State Health Policy")</f>
        <v>National Academy for State Health Policy</v>
      </c>
      <c r="G904" s="3" t="str">
        <f>IFERROR(__xludf.DUMMYFUNCTION("""COMPUTED_VALUE"""),"https://www.nashp.org/2021-covid-19-state-restrictions-re-openings-and-mask-requirements/")</f>
        <v>https://www.nashp.org/2021-covid-19-state-restrictions-re-openings-and-mask-requirements/</v>
      </c>
      <c r="H904" s="1"/>
      <c r="I904" s="1"/>
    </row>
    <row r="905">
      <c r="A905" s="2">
        <f>IFERROR(__xludf.DUMMYFUNCTION("""COMPUTED_VALUE"""),44334.0)</f>
        <v>44334</v>
      </c>
      <c r="B905" s="1" t="str">
        <f>IFERROR(__xludf.DUMMYFUNCTION("""COMPUTED_VALUE"""),"Texas")</f>
        <v>Texas</v>
      </c>
      <c r="C905" s="1" t="str">
        <f>IFERROR(__xludf.DUMMYFUNCTION("""COMPUTED_VALUE"""),"State Proclamations ")</f>
        <v>State Proclamations </v>
      </c>
      <c r="D905" s="1" t="str">
        <f>IFERROR(__xludf.DUMMYFUNCTION("""COMPUTED_VALUE"""),"Opening")</f>
        <v>Opening</v>
      </c>
      <c r="E905" s="1" t="str">
        <f>IFERROR(__xludf.DUMMYFUNCTION("""COMPUTED_VALUE"""),"The governor issued an order prohibiting local governments and public schools from issuing mask mandates.")</f>
        <v>The governor issued an order prohibiting local governments and public schools from issuing mask mandates.</v>
      </c>
      <c r="F905" s="1" t="str">
        <f>IFERROR(__xludf.DUMMYFUNCTION("""COMPUTED_VALUE"""),"National Academy for State Health Policy")</f>
        <v>National Academy for State Health Policy</v>
      </c>
      <c r="G905" s="3" t="str">
        <f>IFERROR(__xludf.DUMMYFUNCTION("""COMPUTED_VALUE"""),"https://www.nashp.org/2021-covid-19-state-restrictions-re-openings-and-mask-requirements/")</f>
        <v>https://www.nashp.org/2021-covid-19-state-restrictions-re-openings-and-mask-requirements/</v>
      </c>
      <c r="H905" s="1"/>
      <c r="I905" s="1"/>
    </row>
    <row r="906">
      <c r="A906" s="2">
        <f>IFERROR(__xludf.DUMMYFUNCTION("""COMPUTED_VALUE"""),44351.0)</f>
        <v>44351</v>
      </c>
      <c r="B906" s="1" t="str">
        <f>IFERROR(__xludf.DUMMYFUNCTION("""COMPUTED_VALUE"""),"Texas")</f>
        <v>Texas</v>
      </c>
      <c r="C906" s="1" t="str">
        <f>IFERROR(__xludf.DUMMYFUNCTION("""COMPUTED_VALUE"""),"State Proclamations ")</f>
        <v>State Proclamations </v>
      </c>
      <c r="D906" s="1" t="str">
        <f>IFERROR(__xludf.DUMMYFUNCTION("""COMPUTED_VALUE"""),"Opening")</f>
        <v>Opening</v>
      </c>
      <c r="E906" s="1" t="str">
        <f>IFERROR(__xludf.DUMMYFUNCTION("""COMPUTED_VALUE"""),"Public schools can no longer continue mask policies.")</f>
        <v>Public schools can no longer continue mask policies.</v>
      </c>
      <c r="F906" s="1" t="str">
        <f>IFERROR(__xludf.DUMMYFUNCTION("""COMPUTED_VALUE"""),"National Academy for State Health Policy")</f>
        <v>National Academy for State Health Policy</v>
      </c>
      <c r="G906" s="3" t="str">
        <f>IFERROR(__xludf.DUMMYFUNCTION("""COMPUTED_VALUE"""),"https://www.nashp.org/2021-covid-19-state-restrictions-re-openings-and-mask-requirements/")</f>
        <v>https://www.nashp.org/2021-covid-19-state-restrictions-re-openings-and-mask-requirements/</v>
      </c>
      <c r="H906" s="1"/>
      <c r="I906" s="1"/>
    </row>
    <row r="907">
      <c r="A907" s="2">
        <f>IFERROR(__xludf.DUMMYFUNCTION("""COMPUTED_VALUE"""),43896.0)</f>
        <v>43896</v>
      </c>
      <c r="B907" s="1" t="str">
        <f>IFERROR(__xludf.DUMMYFUNCTION("""COMPUTED_VALUE"""),"Utah")</f>
        <v>Utah</v>
      </c>
      <c r="C907" s="1" t="str">
        <f>IFERROR(__xludf.DUMMYFUNCTION("""COMPUTED_VALUE"""),"State of Emergency")</f>
        <v>State of Emergency</v>
      </c>
      <c r="D907" s="1" t="str">
        <f>IFERROR(__xludf.DUMMYFUNCTION("""COMPUTED_VALUE"""),"Start")</f>
        <v>Start</v>
      </c>
      <c r="E907" s="1" t="str">
        <f>IFERROR(__xludf.DUMMYFUNCTION("""COMPUTED_VALUE"""),"Gov. Gary Herbert declared a state of emergency in as an anticipatory measure hours before Utah's Department of Health announced the state's first case of COVID-19 on March 6.")</f>
        <v>Gov. Gary Herbert declared a state of emergency in as an anticipatory measure hours before Utah's Department of Health announced the state's first case of COVID-19 on March 6.</v>
      </c>
      <c r="F907" s="1" t="str">
        <f>IFERROR(__xludf.DUMMYFUNCTION("""COMPUTED_VALUE"""),"Business Insider")</f>
        <v>Business Insider</v>
      </c>
      <c r="G907" s="3" t="str">
        <f>IFERROR(__xludf.DUMMYFUNCTION("""COMPUTED_VALUE"""),"https://www.businessinsider.com/california-washington-state-of-emergency-coronavirus-what-it-means-2020-3#utah-5")</f>
        <v>https://www.businessinsider.com/california-washington-state-of-emergency-coronavirus-what-it-means-2020-3#utah-5</v>
      </c>
      <c r="H907" s="1"/>
      <c r="I907" s="1"/>
    </row>
    <row r="908">
      <c r="A908" s="2">
        <f>IFERROR(__xludf.DUMMYFUNCTION("""COMPUTED_VALUE"""),43917.0)</f>
        <v>43917</v>
      </c>
      <c r="B908" s="1" t="str">
        <f>IFERROR(__xludf.DUMMYFUNCTION("""COMPUTED_VALUE"""),"Utah")</f>
        <v>Utah</v>
      </c>
      <c r="C908" s="1" t="str">
        <f>IFERROR(__xludf.DUMMYFUNCTION("""COMPUTED_VALUE"""),"Stay-at-Home Order")</f>
        <v>Stay-at-Home Order</v>
      </c>
      <c r="D908" s="1" t="str">
        <f>IFERROR(__xludf.DUMMYFUNCTION("""COMPUTED_VALUE"""),"Start")</f>
        <v>Start</v>
      </c>
      <c r="E908" s="1" t="str">
        <f>IFERROR(__xludf.DUMMYFUNCTION("""COMPUTED_VALUE"""),"Original stay-at-home order begins")</f>
        <v>Original stay-at-home order begins</v>
      </c>
      <c r="F908" s="1" t="str">
        <f>IFERROR(__xludf.DUMMYFUNCTION("""COMPUTED_VALUE"""),"National Academy for State Health Policy")</f>
        <v>National Academy for State Health Policy</v>
      </c>
      <c r="G908" s="3" t="str">
        <f>IFERROR(__xludf.DUMMYFUNCTION("""COMPUTED_VALUE"""),"https://www.nashp.org/2020-state-reopening-chart/")</f>
        <v>https://www.nashp.org/2020-state-reopening-chart/</v>
      </c>
      <c r="H908" s="1"/>
      <c r="I908" s="1"/>
    </row>
    <row r="909">
      <c r="A909" s="2">
        <f>IFERROR(__xludf.DUMMYFUNCTION("""COMPUTED_VALUE"""),43952.0)</f>
        <v>43952</v>
      </c>
      <c r="B909" s="1" t="str">
        <f>IFERROR(__xludf.DUMMYFUNCTION("""COMPUTED_VALUE"""),"Utah")</f>
        <v>Utah</v>
      </c>
      <c r="C909" s="1" t="str">
        <f>IFERROR(__xludf.DUMMYFUNCTION("""COMPUTED_VALUE"""),"Stay-at-Home Order")</f>
        <v>Stay-at-Home Order</v>
      </c>
      <c r="D909" s="1" t="str">
        <f>IFERROR(__xludf.DUMMYFUNCTION("""COMPUTED_VALUE"""),"End")</f>
        <v>End</v>
      </c>
      <c r="E909" s="1" t="str">
        <f>IFERROR(__xludf.DUMMYFUNCTION("""COMPUTED_VALUE"""),"Original stay-at-home order ends")</f>
        <v>Original stay-at-home order ends</v>
      </c>
      <c r="F909" s="1" t="str">
        <f>IFERROR(__xludf.DUMMYFUNCTION("""COMPUTED_VALUE"""),"National Academy for State Health Policy")</f>
        <v>National Academy for State Health Policy</v>
      </c>
      <c r="G909" s="3" t="str">
        <f>IFERROR(__xludf.DUMMYFUNCTION("""COMPUTED_VALUE"""),"https://www.nashp.org/2020-state-reopening-chart/")</f>
        <v>https://www.nashp.org/2020-state-reopening-chart/</v>
      </c>
      <c r="H909" s="1"/>
      <c r="I909" s="1"/>
    </row>
    <row r="910">
      <c r="A910" s="2">
        <f>IFERROR(__xludf.DUMMYFUNCTION("""COMPUTED_VALUE"""),43952.0)</f>
        <v>43952</v>
      </c>
      <c r="B910" s="1" t="str">
        <f>IFERROR(__xludf.DUMMYFUNCTION("""COMPUTED_VALUE"""),"Utah")</f>
        <v>Utah</v>
      </c>
      <c r="C910" s="1" t="str">
        <f>IFERROR(__xludf.DUMMYFUNCTION("""COMPUTED_VALUE"""),"State Proclamations ")</f>
        <v>State Proclamations </v>
      </c>
      <c r="D910" s="1" t="str">
        <f>IFERROR(__xludf.DUMMYFUNCTION("""COMPUTED_VALUE"""),"Opening")</f>
        <v>Opening</v>
      </c>
      <c r="E910" s="1" t="str">
        <f>IFERROR(__xludf.DUMMYFUNCTION("""COMPUTED_VALUE"""),"Utah has reopened restaurants, personal services businesses, and gyms. Nonessential medical procedures resumed April 22.")</f>
        <v>Utah has reopened restaurants, personal services businesses, and gyms. Nonessential medical procedures resumed April 22.</v>
      </c>
      <c r="F910" s="1" t="str">
        <f>IFERROR(__xludf.DUMMYFUNCTION("""COMPUTED_VALUE"""),"National Academy for State Health Policy")</f>
        <v>National Academy for State Health Policy</v>
      </c>
      <c r="G910" s="3" t="str">
        <f>IFERROR(__xludf.DUMMYFUNCTION("""COMPUTED_VALUE"""),"https://www.nashp.org/2020-state-reopening-chart/")</f>
        <v>https://www.nashp.org/2020-state-reopening-chart/</v>
      </c>
      <c r="H910" s="1"/>
      <c r="I910" s="1"/>
    </row>
    <row r="911">
      <c r="A911" s="2">
        <f>IFERROR(__xludf.DUMMYFUNCTION("""COMPUTED_VALUE"""),44040.0)</f>
        <v>44040</v>
      </c>
      <c r="B911" s="1" t="str">
        <f>IFERROR(__xludf.DUMMYFUNCTION("""COMPUTED_VALUE"""),"Utah")</f>
        <v>Utah</v>
      </c>
      <c r="C911" s="1" t="str">
        <f>IFERROR(__xludf.DUMMYFUNCTION("""COMPUTED_VALUE"""),"State Proclamations ")</f>
        <v>State Proclamations </v>
      </c>
      <c r="D911" s="1" t="str">
        <f>IFERROR(__xludf.DUMMYFUNCTION("""COMPUTED_VALUE"""),"Opening")</f>
        <v>Opening</v>
      </c>
      <c r="E911" s="1" t="str">
        <f>IFERROR(__xludf.DUMMYFUNCTION("""COMPUTED_VALUE"""),"Buffets may reopen with some restrictions in place. Self-service is permitted if masks are worn and hand sanitizer is used. Workers must change the serving utensils every 30 minutes and hand out plates and cutlery instead of leaving them piled by the buff"&amp;"et.")</f>
        <v>Buffets may reopen with some restrictions in place. Self-service is permitted if masks are worn and hand sanitizer is used. Workers must change the serving utensils every 30 minutes and hand out plates and cutlery instead of leaving them piled by the buffet.</v>
      </c>
      <c r="F911" s="1" t="str">
        <f>IFERROR(__xludf.DUMMYFUNCTION("""COMPUTED_VALUE"""),"National Academy for State Health Policy")</f>
        <v>National Academy for State Health Policy</v>
      </c>
      <c r="G911" s="3" t="str">
        <f>IFERROR(__xludf.DUMMYFUNCTION("""COMPUTED_VALUE"""),"https://www.nashp.org/2020-state-reopening-chart/")</f>
        <v>https://www.nashp.org/2020-state-reopening-chart/</v>
      </c>
      <c r="H911" s="1"/>
      <c r="I911" s="1"/>
    </row>
    <row r="912">
      <c r="A912" s="2">
        <f>IFERROR(__xludf.DUMMYFUNCTION("""COMPUTED_VALUE"""),44119.0)</f>
        <v>44119</v>
      </c>
      <c r="B912" s="1" t="str">
        <f>IFERROR(__xludf.DUMMYFUNCTION("""COMPUTED_VALUE"""),"Utah")</f>
        <v>Utah</v>
      </c>
      <c r="C912" s="1" t="str">
        <f>IFERROR(__xludf.DUMMYFUNCTION("""COMPUTED_VALUE"""),"State Proclamations ")</f>
        <v>State Proclamations </v>
      </c>
      <c r="D912" s="1" t="str">
        <f>IFERROR(__xludf.DUMMYFUNCTION("""COMPUTED_VALUE"""),"Closing")</f>
        <v>Closing</v>
      </c>
      <c r="E912" s="1" t="str">
        <f>IFERROR(__xludf.DUMMYFUNCTION("""COMPUTED_VALUE"""),"Some counties were required to limit social gatherings to 15 people and institute mask mandates.")</f>
        <v>Some counties were required to limit social gatherings to 15 people and institute mask mandates.</v>
      </c>
      <c r="F912" s="1" t="str">
        <f>IFERROR(__xludf.DUMMYFUNCTION("""COMPUTED_VALUE"""),"National Academy for State Health Policy")</f>
        <v>National Academy for State Health Policy</v>
      </c>
      <c r="G912" s="3" t="str">
        <f>IFERROR(__xludf.DUMMYFUNCTION("""COMPUTED_VALUE"""),"https://www.nashp.org/2020-state-reopening-chart/")</f>
        <v>https://www.nashp.org/2020-state-reopening-chart/</v>
      </c>
      <c r="H912" s="1"/>
      <c r="I912" s="1"/>
    </row>
    <row r="913">
      <c r="A913" s="2">
        <f>IFERROR(__xludf.DUMMYFUNCTION("""COMPUTED_VALUE"""),44144.0)</f>
        <v>44144</v>
      </c>
      <c r="B913" s="1" t="str">
        <f>IFERROR(__xludf.DUMMYFUNCTION("""COMPUTED_VALUE"""),"Utah")</f>
        <v>Utah</v>
      </c>
      <c r="C913" s="1" t="str">
        <f>IFERROR(__xludf.DUMMYFUNCTION("""COMPUTED_VALUE"""),"Mask Mandate")</f>
        <v>Mask Mandate</v>
      </c>
      <c r="D913" s="1" t="str">
        <f>IFERROR(__xludf.DUMMYFUNCTION("""COMPUTED_VALUE"""),"Start")</f>
        <v>Start</v>
      </c>
      <c r="E913" s="1" t="str">
        <f>IFERROR(__xludf.DUMMYFUNCTION("""COMPUTED_VALUE"""),"Everywhere in public where social distancing isn't possible")</f>
        <v>Everywhere in public where social distancing isn't possible</v>
      </c>
      <c r="F913" s="1" t="str">
        <f>IFERROR(__xludf.DUMMYFUNCTION("""COMPUTED_VALUE"""),"Masks4All")</f>
        <v>Masks4All</v>
      </c>
      <c r="G913" s="3" t="str">
        <f>IFERROR(__xludf.DUMMYFUNCTION("""COMPUTED_VALUE"""),"https://masks4all.co/what-states-require-masks/")</f>
        <v>https://masks4all.co/what-states-require-masks/</v>
      </c>
      <c r="H913" s="1"/>
      <c r="I913" s="1"/>
    </row>
    <row r="914">
      <c r="A914" s="2">
        <f>IFERROR(__xludf.DUMMYFUNCTION("""COMPUTED_VALUE"""),44144.0)</f>
        <v>44144</v>
      </c>
      <c r="B914" s="1" t="str">
        <f>IFERROR(__xludf.DUMMYFUNCTION("""COMPUTED_VALUE"""),"Utah")</f>
        <v>Utah</v>
      </c>
      <c r="C914" s="1" t="str">
        <f>IFERROR(__xludf.DUMMYFUNCTION("""COMPUTED_VALUE"""),"State Proclamations ")</f>
        <v>State Proclamations </v>
      </c>
      <c r="D914" s="1" t="str">
        <f>IFERROR(__xludf.DUMMYFUNCTION("""COMPUTED_VALUE"""),"Closing")</f>
        <v>Closing</v>
      </c>
      <c r="E914" s="1" t="str">
        <f>IFERROR(__xludf.DUMMYFUNCTION("""COMPUTED_VALUE"""),"The governor declared a state of emergency and ordered halts on extracurricular activities and casual social gatherings among those of different households. College students living on campuses or attending at least one in-person class are required to be t"&amp;"ested weekly.")</f>
        <v>The governor declared a state of emergency and ordered halts on extracurricular activities and casual social gatherings among those of different households. College students living on campuses or attending at least one in-person class are required to be tested weekly.</v>
      </c>
      <c r="F914" s="1" t="str">
        <f>IFERROR(__xludf.DUMMYFUNCTION("""COMPUTED_VALUE"""),"National Academy for State Health Policy")</f>
        <v>National Academy for State Health Policy</v>
      </c>
      <c r="G914" s="3" t="str">
        <f>IFERROR(__xludf.DUMMYFUNCTION("""COMPUTED_VALUE"""),"https://www.nashp.org/2020-state-reopening-chart/")</f>
        <v>https://www.nashp.org/2020-state-reopening-chart/</v>
      </c>
      <c r="H914" s="1"/>
      <c r="I914" s="1"/>
    </row>
    <row r="915">
      <c r="A915" s="2">
        <f>IFERROR(__xludf.DUMMYFUNCTION("""COMPUTED_VALUE"""),44182.0)</f>
        <v>44182</v>
      </c>
      <c r="B915" s="1" t="str">
        <f>IFERROR(__xludf.DUMMYFUNCTION("""COMPUTED_VALUE"""),"Utah")</f>
        <v>Utah</v>
      </c>
      <c r="C915" s="1" t="str">
        <f>IFERROR(__xludf.DUMMYFUNCTION("""COMPUTED_VALUE"""),"State Proclamations ")</f>
        <v>State Proclamations </v>
      </c>
      <c r="D915" s="1" t="str">
        <f>IFERROR(__xludf.DUMMYFUNCTION("""COMPUTED_VALUE"""),"Opening")</f>
        <v>Opening</v>
      </c>
      <c r="E915" s="1" t="str">
        <f>IFERROR(__xludf.DUMMYFUNCTION("""COMPUTED_VALUE"""),"The governor announced that students in public schools who test negative after coming into contact with someone with COVID-19 do not need to quarantine. Previously, any contact with a COVID-19 positive person required a 10-14 day quarantine. The governor "&amp;"also announced he was ending the statewide ban on alcohol sales after 10 p.m.")</f>
        <v>The governor announced that students in public schools who test negative after coming into contact with someone with COVID-19 do not need to quarantine. Previously, any contact with a COVID-19 positive person required a 10-14 day quarantine. The governor also announced he was ending the statewide ban on alcohol sales after 10 p.m.</v>
      </c>
      <c r="F915" s="1" t="str">
        <f>IFERROR(__xludf.DUMMYFUNCTION("""COMPUTED_VALUE"""),"National Academy for State Health Policy")</f>
        <v>National Academy for State Health Policy</v>
      </c>
      <c r="G915" s="3" t="str">
        <f>IFERROR(__xludf.DUMMYFUNCTION("""COMPUTED_VALUE"""),"https://www.nashp.org/2020-state-reopening-chart/")</f>
        <v>https://www.nashp.org/2020-state-reopening-chart/</v>
      </c>
      <c r="H915" s="1"/>
      <c r="I915" s="1"/>
    </row>
    <row r="916">
      <c r="A916" s="2">
        <f>IFERROR(__xludf.DUMMYFUNCTION("""COMPUTED_VALUE"""),44260.0)</f>
        <v>44260</v>
      </c>
      <c r="B916" s="1" t="str">
        <f>IFERROR(__xludf.DUMMYFUNCTION("""COMPUTED_VALUE"""),"Utah")</f>
        <v>Utah</v>
      </c>
      <c r="C916" s="1" t="str">
        <f>IFERROR(__xludf.DUMMYFUNCTION("""COMPUTED_VALUE"""),"State Proclamations ")</f>
        <v>State Proclamations </v>
      </c>
      <c r="D916" s="1" t="str">
        <f>IFERROR(__xludf.DUMMYFUNCTION("""COMPUTED_VALUE"""),"Opening")</f>
        <v>Opening</v>
      </c>
      <c r="E916" s="1" t="str">
        <f>IFERROR(__xludf.DUMMYFUNCTION("""COMPUTED_VALUE"""),"The state House and Senate passed a bill that would end the statewide mask mandate for gatherings of less than 50 people on April 10. County governments could still require that people wear masks, however. The bill establishes that all coronavirus restric"&amp;"tions on businesses and events will end when the state’s 14-day case rate falls below 191 per 100,000 people, COVID-19 patients occupy fewer than 15% of beds on average in intensive care units over a seven-day period, and the federal government has sent 1"&amp;",633,000 first doses of a vaccine to the state.")</f>
        <v>The state House and Senate passed a bill that would end the statewide mask mandate for gatherings of less than 50 people on April 10. County governments could still require that people wear masks, however. The bill establishes that all coronavirus restrictions on businesses and events will end when the state’s 14-day case rate falls below 191 per 100,000 people, COVID-19 patients occupy fewer than 15% of beds on average in intensive care units over a seven-day period, and the federal government has sent 1,633,000 first doses of a vaccine to the state.</v>
      </c>
      <c r="F916" s="1" t="str">
        <f>IFERROR(__xludf.DUMMYFUNCTION("""COMPUTED_VALUE"""),"National Academy for State Health Policy")</f>
        <v>National Academy for State Health Policy</v>
      </c>
      <c r="G916" s="3" t="str">
        <f>IFERROR(__xludf.DUMMYFUNCTION("""COMPUTED_VALUE"""),"https://www.nashp.org/2021-covid-19-state-restrictions-re-openings-and-mask-requirements/")</f>
        <v>https://www.nashp.org/2021-covid-19-state-restrictions-re-openings-and-mask-requirements/</v>
      </c>
      <c r="H916" s="1"/>
      <c r="I916" s="1"/>
    </row>
    <row r="917">
      <c r="A917" s="2">
        <f>IFERROR(__xludf.DUMMYFUNCTION("""COMPUTED_VALUE"""),44279.0)</f>
        <v>44279</v>
      </c>
      <c r="B917" s="1" t="str">
        <f>IFERROR(__xludf.DUMMYFUNCTION("""COMPUTED_VALUE"""),"Utah")</f>
        <v>Utah</v>
      </c>
      <c r="C917" s="1" t="str">
        <f>IFERROR(__xludf.DUMMYFUNCTION("""COMPUTED_VALUE"""),"State Proclamations ")</f>
        <v>State Proclamations </v>
      </c>
      <c r="D917" s="1" t="str">
        <f>IFERROR(__xludf.DUMMYFUNCTION("""COMPUTED_VALUE"""),"Opening")</f>
        <v>Opening</v>
      </c>
      <c r="E917" s="1" t="str">
        <f>IFERROR(__xludf.DUMMYFUNCTION("""COMPUTED_VALUE"""),"The governor signed a bill that eliminates the statewide mask mandate on April 10. The law also sets conditions for ending other restrictions based on case rates, percentage of occupied hospital beds, and vaccine supply. The law eliminates all restriction"&amp;"s on July 1, even if none of the conditions have been met.")</f>
        <v>The governor signed a bill that eliminates the statewide mask mandate on April 10. The law also sets conditions for ending other restrictions based on case rates, percentage of occupied hospital beds, and vaccine supply. The law eliminates all restrictions on July 1, even if none of the conditions have been met.</v>
      </c>
      <c r="F917" s="1" t="str">
        <f>IFERROR(__xludf.DUMMYFUNCTION("""COMPUTED_VALUE"""),"National Academy for State Health Policy")</f>
        <v>National Academy for State Health Policy</v>
      </c>
      <c r="G917" s="3" t="str">
        <f>IFERROR(__xludf.DUMMYFUNCTION("""COMPUTED_VALUE"""),"https://www.nashp.org/2021-covid-19-state-restrictions-re-openings-and-mask-requirements/")</f>
        <v>https://www.nashp.org/2021-covid-19-state-restrictions-re-openings-and-mask-requirements/</v>
      </c>
      <c r="H917" s="1"/>
      <c r="I917" s="1"/>
    </row>
    <row r="918">
      <c r="A918" s="2">
        <f>IFERROR(__xludf.DUMMYFUNCTION("""COMPUTED_VALUE"""),44296.0)</f>
        <v>44296</v>
      </c>
      <c r="B918" s="1" t="str">
        <f>IFERROR(__xludf.DUMMYFUNCTION("""COMPUTED_VALUE"""),"Utah")</f>
        <v>Utah</v>
      </c>
      <c r="C918" s="1" t="str">
        <f>IFERROR(__xludf.DUMMYFUNCTION("""COMPUTED_VALUE"""),"Mask Mandate")</f>
        <v>Mask Mandate</v>
      </c>
      <c r="D918" s="1" t="str">
        <f>IFERROR(__xludf.DUMMYFUNCTION("""COMPUTED_VALUE"""),"End")</f>
        <v>End</v>
      </c>
      <c r="E918" s="1" t="str">
        <f>IFERROR(__xludf.DUMMYFUNCTION("""COMPUTED_VALUE"""),"On April 10, the mask mandate ended after the governor signed a bill eliminating the mandate")</f>
        <v>On April 10, the mask mandate ended after the governor signed a bill eliminating the mandate</v>
      </c>
      <c r="F918" s="1" t="str">
        <f>IFERROR(__xludf.DUMMYFUNCTION("""COMPUTED_VALUE"""),"National Academy for State Health Policy")</f>
        <v>National Academy for State Health Policy</v>
      </c>
      <c r="G918" s="3" t="str">
        <f>IFERROR(__xludf.DUMMYFUNCTION("""COMPUTED_VALUE"""),"https://www.nashp.org/2021-covid-19-state-restrictions-re-openings-and-mask-requirements/")</f>
        <v>https://www.nashp.org/2021-covid-19-state-restrictions-re-openings-and-mask-requirements/</v>
      </c>
      <c r="H918" s="1"/>
      <c r="I918" s="1"/>
    </row>
    <row r="919">
      <c r="A919" s="2">
        <f>IFERROR(__xludf.DUMMYFUNCTION("""COMPUTED_VALUE"""),44335.0)</f>
        <v>44335</v>
      </c>
      <c r="B919" s="1" t="str">
        <f>IFERROR(__xludf.DUMMYFUNCTION("""COMPUTED_VALUE"""),"Utah")</f>
        <v>Utah</v>
      </c>
      <c r="C919" s="1" t="str">
        <f>IFERROR(__xludf.DUMMYFUNCTION("""COMPUTED_VALUE"""),"State Proclamations ")</f>
        <v>State Proclamations </v>
      </c>
      <c r="D919" s="1" t="str">
        <f>IFERROR(__xludf.DUMMYFUNCTION("""COMPUTED_VALUE"""),"Opening")</f>
        <v>Opening</v>
      </c>
      <c r="E919" s="1" t="str">
        <f>IFERROR(__xludf.DUMMYFUNCTION("""COMPUTED_VALUE"""),"The legislature passed a bill prohibiting public schools from requiring masks.")</f>
        <v>The legislature passed a bill prohibiting public schools from requiring masks.</v>
      </c>
      <c r="F919" s="1" t="str">
        <f>IFERROR(__xludf.DUMMYFUNCTION("""COMPUTED_VALUE"""),"National Academy for State Health Policy")</f>
        <v>National Academy for State Health Policy</v>
      </c>
      <c r="G919" s="3" t="str">
        <f>IFERROR(__xludf.DUMMYFUNCTION("""COMPUTED_VALUE"""),"https://www.nashp.org/2021-covid-19-state-restrictions-re-openings-and-mask-requirements/")</f>
        <v>https://www.nashp.org/2021-covid-19-state-restrictions-re-openings-and-mask-requirements/</v>
      </c>
      <c r="H919" s="1"/>
      <c r="I919" s="1"/>
    </row>
    <row r="920">
      <c r="A920" s="2">
        <f>IFERROR(__xludf.DUMMYFUNCTION("""COMPUTED_VALUE"""),43903.0)</f>
        <v>43903</v>
      </c>
      <c r="B920" s="1" t="str">
        <f>IFERROR(__xludf.DUMMYFUNCTION("""COMPUTED_VALUE"""),"Vermont")</f>
        <v>Vermont</v>
      </c>
      <c r="C920" s="1" t="str">
        <f>IFERROR(__xludf.DUMMYFUNCTION("""COMPUTED_VALUE"""),"State of Emergency")</f>
        <v>State of Emergency</v>
      </c>
      <c r="D920" s="1" t="str">
        <f>IFERROR(__xludf.DUMMYFUNCTION("""COMPUTED_VALUE"""),"Start")</f>
        <v>Start</v>
      </c>
      <c r="E920" s="1" t="str">
        <f>IFERROR(__xludf.DUMMYFUNCTION("""COMPUTED_VALUE"""),"Gov. Phil Scott declared a state of emergency on March 13.")</f>
        <v>Gov. Phil Scott declared a state of emergency on March 13.</v>
      </c>
      <c r="F920" s="1" t="str">
        <f>IFERROR(__xludf.DUMMYFUNCTION("""COMPUTED_VALUE"""),"Business Insider")</f>
        <v>Business Insider</v>
      </c>
      <c r="G920" s="3" t="str">
        <f>IFERROR(__xludf.DUMMYFUNCTION("""COMPUTED_VALUE"""),"https://www.businessinsider.com/california-washington-state-of-emergency-coronavirus-what-it-means-2020-3#vermont-47")</f>
        <v>https://www.businessinsider.com/california-washington-state-of-emergency-coronavirus-what-it-means-2020-3#vermont-47</v>
      </c>
      <c r="H920" s="1"/>
      <c r="I920" s="1"/>
    </row>
    <row r="921">
      <c r="A921" s="2">
        <f>IFERROR(__xludf.DUMMYFUNCTION("""COMPUTED_VALUE"""),43914.0)</f>
        <v>43914</v>
      </c>
      <c r="B921" s="1" t="str">
        <f>IFERROR(__xludf.DUMMYFUNCTION("""COMPUTED_VALUE"""),"Vermont")</f>
        <v>Vermont</v>
      </c>
      <c r="C921" s="1" t="str">
        <f>IFERROR(__xludf.DUMMYFUNCTION("""COMPUTED_VALUE"""),"Stay-at-Home Order")</f>
        <v>Stay-at-Home Order</v>
      </c>
      <c r="D921" s="1" t="str">
        <f>IFERROR(__xludf.DUMMYFUNCTION("""COMPUTED_VALUE"""),"Start")</f>
        <v>Start</v>
      </c>
      <c r="E921" s="1" t="str">
        <f>IFERROR(__xludf.DUMMYFUNCTION("""COMPUTED_VALUE"""),"Original stay-at-home order begins")</f>
        <v>Original stay-at-home order begins</v>
      </c>
      <c r="F921" s="1" t="str">
        <f>IFERROR(__xludf.DUMMYFUNCTION("""COMPUTED_VALUE"""),"National Academy for State Health Policy")</f>
        <v>National Academy for State Health Policy</v>
      </c>
      <c r="G921" s="3" t="str">
        <f>IFERROR(__xludf.DUMMYFUNCTION("""COMPUTED_VALUE"""),"https://www.nashp.org/2020-state-reopening-chart/")</f>
        <v>https://www.nashp.org/2020-state-reopening-chart/</v>
      </c>
      <c r="H921" s="1"/>
      <c r="I921" s="1"/>
    </row>
    <row r="922">
      <c r="A922" s="2">
        <f>IFERROR(__xludf.DUMMYFUNCTION("""COMPUTED_VALUE"""),43966.0)</f>
        <v>43966</v>
      </c>
      <c r="B922" s="1" t="str">
        <f>IFERROR(__xludf.DUMMYFUNCTION("""COMPUTED_VALUE"""),"Vermont")</f>
        <v>Vermont</v>
      </c>
      <c r="C922" s="1" t="str">
        <f>IFERROR(__xludf.DUMMYFUNCTION("""COMPUTED_VALUE"""),"Stay-at-Home Order")</f>
        <v>Stay-at-Home Order</v>
      </c>
      <c r="D922" s="1" t="str">
        <f>IFERROR(__xludf.DUMMYFUNCTION("""COMPUTED_VALUE"""),"End")</f>
        <v>End</v>
      </c>
      <c r="E922" s="1" t="str">
        <f>IFERROR(__xludf.DUMMYFUNCTION("""COMPUTED_VALUE"""),"Originial stay-at-home order ends")</f>
        <v>Originial stay-at-home order ends</v>
      </c>
      <c r="F922" s="1" t="str">
        <f>IFERROR(__xludf.DUMMYFUNCTION("""COMPUTED_VALUE"""),"National Academy for State Health Policy")</f>
        <v>National Academy for State Health Policy</v>
      </c>
      <c r="G922" s="3" t="str">
        <f>IFERROR(__xludf.DUMMYFUNCTION("""COMPUTED_VALUE"""),"https://www.nashp.org/2020-state-reopening-chart/")</f>
        <v>https://www.nashp.org/2020-state-reopening-chart/</v>
      </c>
      <c r="H922" s="1"/>
      <c r="I922" s="1"/>
    </row>
    <row r="923">
      <c r="A923" s="2">
        <f>IFERROR(__xludf.DUMMYFUNCTION("""COMPUTED_VALUE"""),43966.0)</f>
        <v>43966</v>
      </c>
      <c r="B923" s="1" t="str">
        <f>IFERROR(__xludf.DUMMYFUNCTION("""COMPUTED_VALUE"""),"Vermont")</f>
        <v>Vermont</v>
      </c>
      <c r="C923" s="1" t="str">
        <f>IFERROR(__xludf.DUMMYFUNCTION("""COMPUTED_VALUE"""),"State Proclamations ")</f>
        <v>State Proclamations </v>
      </c>
      <c r="D923" s="1" t="str">
        <f>IFERROR(__xludf.DUMMYFUNCTION("""COMPUTED_VALUE"""),"Opening")</f>
        <v>Opening</v>
      </c>
      <c r="E923" s="1" t="str">
        <f>IFERROR(__xludf.DUMMYFUNCTION("""COMPUTED_VALUE"""),"Vermont has reopened retail stores, restaurant dining, personal care services, houses or worship, museums and libraries, gyms and fitness centers, and manufacturing and construction. Non-essential medical procedures resumed May 4.")</f>
        <v>Vermont has reopened retail stores, restaurant dining, personal care services, houses or worship, museums and libraries, gyms and fitness centers, and manufacturing and construction. Non-essential medical procedures resumed May 4.</v>
      </c>
      <c r="F923" s="1" t="str">
        <f>IFERROR(__xludf.DUMMYFUNCTION("""COMPUTED_VALUE"""),"National Academy for State Health Policy")</f>
        <v>National Academy for State Health Policy</v>
      </c>
      <c r="G923" s="3" t="str">
        <f>IFERROR(__xludf.DUMMYFUNCTION("""COMPUTED_VALUE"""),"https://www.nashp.org/2020-state-reopening-chart/")</f>
        <v>https://www.nashp.org/2020-state-reopening-chart/</v>
      </c>
      <c r="H923" s="1"/>
      <c r="I923" s="1"/>
    </row>
    <row r="924">
      <c r="A924" s="2">
        <f>IFERROR(__xludf.DUMMYFUNCTION("""COMPUTED_VALUE"""),44008.0)</f>
        <v>44008</v>
      </c>
      <c r="B924" s="1" t="str">
        <f>IFERROR(__xludf.DUMMYFUNCTION("""COMPUTED_VALUE"""),"Vermont")</f>
        <v>Vermont</v>
      </c>
      <c r="C924" s="1" t="str">
        <f>IFERROR(__xludf.DUMMYFUNCTION("""COMPUTED_VALUE"""),"State Proclamations ")</f>
        <v>State Proclamations </v>
      </c>
      <c r="D924" s="1" t="str">
        <f>IFERROR(__xludf.DUMMYFUNCTION("""COMPUTED_VALUE"""),"Opening")</f>
        <v>Opening</v>
      </c>
      <c r="E924" s="1" t="str">
        <f>IFERROR(__xludf.DUMMYFUNCTION("""COMPUTED_VALUE"""),"Venues and restaurants could open at 50% capacity. Indoor events with up to 75 people and organized outdoor events with up to 150 people are permitted.")</f>
        <v>Venues and restaurants could open at 50% capacity. Indoor events with up to 75 people and organized outdoor events with up to 150 people are permitted.</v>
      </c>
      <c r="F924" s="1" t="str">
        <f>IFERROR(__xludf.DUMMYFUNCTION("""COMPUTED_VALUE"""),"National Academy for State Health Policy")</f>
        <v>National Academy for State Health Policy</v>
      </c>
      <c r="G924" s="3" t="str">
        <f>IFERROR(__xludf.DUMMYFUNCTION("""COMPUTED_VALUE"""),"https://www.nashp.org/2020-state-reopening-chart/")</f>
        <v>https://www.nashp.org/2020-state-reopening-chart/</v>
      </c>
      <c r="H924" s="1"/>
      <c r="I924" s="1"/>
    </row>
    <row r="925">
      <c r="A925" s="2">
        <f>IFERROR(__xludf.DUMMYFUNCTION("""COMPUTED_VALUE"""),44044.0)</f>
        <v>44044</v>
      </c>
      <c r="B925" s="1" t="str">
        <f>IFERROR(__xludf.DUMMYFUNCTION("""COMPUTED_VALUE"""),"Vermont")</f>
        <v>Vermont</v>
      </c>
      <c r="C925" s="1" t="str">
        <f>IFERROR(__xludf.DUMMYFUNCTION("""COMPUTED_VALUE"""),"Mask Mandate")</f>
        <v>Mask Mandate</v>
      </c>
      <c r="D925" s="1" t="str">
        <f>IFERROR(__xludf.DUMMYFUNCTION("""COMPUTED_VALUE"""),"Start")</f>
        <v>Start</v>
      </c>
      <c r="E925" s="1" t="str">
        <f>IFERROR(__xludf.DUMMYFUNCTION("""COMPUTED_VALUE"""),"Cloth face coverings are now required in public places -- both indoor and outdoor -- and in group living settings across the state anytime it's not possible to keep a 6-foot distance from other people who are not a part of your household. There are exempt"&amp;"ions for people exercising outdoors, children under the age of two, anyone with a medical or developmental condition that is complicated by a face covering, and those with difficulty breathing.")</f>
        <v>Cloth face coverings are now required in public places -- both indoor and outdoor -- and in group living settings across the state anytime it's not possible to keep a 6-foot distance from other people who are not a part of your household. There are exemptions for people exercising outdoors, children under the age of two, anyone with a medical or developmental condition that is complicated by a face covering, and those with difficulty breathing.</v>
      </c>
      <c r="F925" s="1" t="str">
        <f>IFERROR(__xludf.DUMMYFUNCTION("""COMPUTED_VALUE"""),"CNN")</f>
        <v>CNN</v>
      </c>
      <c r="G925" s="3" t="str">
        <f>IFERROR(__xludf.DUMMYFUNCTION("""COMPUTED_VALUE"""),"https://www.cnn.com/2020/06/19/us/states-face-mask-coronavirus-trnd/index.html")</f>
        <v>https://www.cnn.com/2020/06/19/us/states-face-mask-coronavirus-trnd/index.html</v>
      </c>
      <c r="H925" s="1"/>
      <c r="I925" s="1"/>
    </row>
    <row r="926">
      <c r="A926" s="2">
        <f>IFERROR(__xludf.DUMMYFUNCTION("""COMPUTED_VALUE"""),44093.0)</f>
        <v>44093</v>
      </c>
      <c r="B926" s="1" t="str">
        <f>IFERROR(__xludf.DUMMYFUNCTION("""COMPUTED_VALUE"""),"Vermont")</f>
        <v>Vermont</v>
      </c>
      <c r="C926" s="1" t="str">
        <f>IFERROR(__xludf.DUMMYFUNCTION("""COMPUTED_VALUE"""),"State Proclamations ")</f>
        <v>State Proclamations </v>
      </c>
      <c r="D926" s="1" t="str">
        <f>IFERROR(__xludf.DUMMYFUNCTION("""COMPUTED_VALUE"""),"Opening")</f>
        <v>Opening</v>
      </c>
      <c r="E926" s="1" t="str">
        <f>IFERROR(__xludf.DUMMYFUNCTION("""COMPUTED_VALUE"""),"Bars can reopen counters and hotels may fill 100% capacity")</f>
        <v>Bars can reopen counters and hotels may fill 100% capacity</v>
      </c>
      <c r="F926" s="1" t="str">
        <f>IFERROR(__xludf.DUMMYFUNCTION("""COMPUTED_VALUE"""),"National Academy for State Health Policy")</f>
        <v>National Academy for State Health Policy</v>
      </c>
      <c r="G926" s="3" t="str">
        <f>IFERROR(__xludf.DUMMYFUNCTION("""COMPUTED_VALUE"""),"https://www.nashp.org/2020-state-reopening-chart/")</f>
        <v>https://www.nashp.org/2020-state-reopening-chart/</v>
      </c>
      <c r="H926" s="1"/>
      <c r="I926" s="1"/>
    </row>
    <row r="927">
      <c r="A927" s="2">
        <f>IFERROR(__xludf.DUMMYFUNCTION("""COMPUTED_VALUE"""),44100.0)</f>
        <v>44100</v>
      </c>
      <c r="B927" s="1" t="str">
        <f>IFERROR(__xludf.DUMMYFUNCTION("""COMPUTED_VALUE"""),"Vermont")</f>
        <v>Vermont</v>
      </c>
      <c r="C927" s="1" t="str">
        <f>IFERROR(__xludf.DUMMYFUNCTION("""COMPUTED_VALUE"""),"State Proclamations ")</f>
        <v>State Proclamations </v>
      </c>
      <c r="D927" s="1" t="str">
        <f>IFERROR(__xludf.DUMMYFUNCTION("""COMPUTED_VALUE"""),"Opening")</f>
        <v>Opening</v>
      </c>
      <c r="E927" s="1" t="str">
        <f>IFERROR(__xludf.DUMMYFUNCTION("""COMPUTED_VALUE"""),"Schools may advance to Step 3 of reopening, allowing the use of common areas, small student gatherings, and inter-scholastic competitions.")</f>
        <v>Schools may advance to Step 3 of reopening, allowing the use of common areas, small student gatherings, and inter-scholastic competitions.</v>
      </c>
      <c r="F927" s="1" t="str">
        <f>IFERROR(__xludf.DUMMYFUNCTION("""COMPUTED_VALUE"""),"National Academy for State Health Policy")</f>
        <v>National Academy for State Health Policy</v>
      </c>
      <c r="G927" s="3" t="str">
        <f>IFERROR(__xludf.DUMMYFUNCTION("""COMPUTED_VALUE"""),"https://www.nashp.org/2020-state-reopening-chart/")</f>
        <v>https://www.nashp.org/2020-state-reopening-chart/</v>
      </c>
      <c r="H927" s="1"/>
      <c r="I927" s="1"/>
    </row>
    <row r="928">
      <c r="A928" s="2">
        <f>IFERROR(__xludf.DUMMYFUNCTION("""COMPUTED_VALUE"""),44119.0)</f>
        <v>44119</v>
      </c>
      <c r="B928" s="1" t="str">
        <f>IFERROR(__xludf.DUMMYFUNCTION("""COMPUTED_VALUE"""),"Vermont")</f>
        <v>Vermont</v>
      </c>
      <c r="C928" s="1" t="str">
        <f>IFERROR(__xludf.DUMMYFUNCTION("""COMPUTED_VALUE"""),"State Proclamations ")</f>
        <v>State Proclamations </v>
      </c>
      <c r="D928" s="1" t="str">
        <f>IFERROR(__xludf.DUMMYFUNCTION("""COMPUTED_VALUE"""),"Closing")</f>
        <v>Closing</v>
      </c>
      <c r="E928" s="1" t="str">
        <f>IFERROR(__xludf.DUMMYFUNCTION("""COMPUTED_VALUE"""),"The governor extended the state of emergency through Nov. 15.")</f>
        <v>The governor extended the state of emergency through Nov. 15.</v>
      </c>
      <c r="F928" s="1" t="str">
        <f>IFERROR(__xludf.DUMMYFUNCTION("""COMPUTED_VALUE"""),"National Academy for State Health Policy")</f>
        <v>National Academy for State Health Policy</v>
      </c>
      <c r="G928" s="3" t="str">
        <f>IFERROR(__xludf.DUMMYFUNCTION("""COMPUTED_VALUE"""),"https://www.nashp.org/2020-state-reopening-chart/")</f>
        <v>https://www.nashp.org/2020-state-reopening-chart/</v>
      </c>
      <c r="H928" s="1"/>
      <c r="I928" s="1"/>
    </row>
    <row r="929">
      <c r="A929" s="2">
        <f>IFERROR(__xludf.DUMMYFUNCTION("""COMPUTED_VALUE"""),44148.0)</f>
        <v>44148</v>
      </c>
      <c r="B929" s="1" t="str">
        <f>IFERROR(__xludf.DUMMYFUNCTION("""COMPUTED_VALUE"""),"Vermont")</f>
        <v>Vermont</v>
      </c>
      <c r="C929" s="1" t="str">
        <f>IFERROR(__xludf.DUMMYFUNCTION("""COMPUTED_VALUE"""),"State Proclamations ")</f>
        <v>State Proclamations </v>
      </c>
      <c r="D929" s="1" t="str">
        <f>IFERROR(__xludf.DUMMYFUNCTION("""COMPUTED_VALUE"""),"Closing")</f>
        <v>Closing</v>
      </c>
      <c r="E929" s="1" t="str">
        <f>IFERROR(__xludf.DUMMYFUNCTION("""COMPUTED_VALUE"""),"The governor issued a 10 p.m. curfew for bars and social clubs and suspended youth sports. These restrictions are in place until Jan. 15, 2021.")</f>
        <v>The governor issued a 10 p.m. curfew for bars and social clubs and suspended youth sports. These restrictions are in place until Jan. 15, 2021.</v>
      </c>
      <c r="F929" s="1" t="str">
        <f>IFERROR(__xludf.DUMMYFUNCTION("""COMPUTED_VALUE"""),"National Academy for State Health Policy")</f>
        <v>National Academy for State Health Policy</v>
      </c>
      <c r="G929" s="3" t="str">
        <f>IFERROR(__xludf.DUMMYFUNCTION("""COMPUTED_VALUE"""),"https://www.nashp.org/2020-state-reopening-chart/")</f>
        <v>https://www.nashp.org/2020-state-reopening-chart/</v>
      </c>
      <c r="H929" s="1"/>
      <c r="I929" s="1"/>
    </row>
    <row r="930">
      <c r="A930" s="2">
        <f>IFERROR(__xludf.DUMMYFUNCTION("""COMPUTED_VALUE"""),44211.0)</f>
        <v>44211</v>
      </c>
      <c r="B930" s="1" t="str">
        <f>IFERROR(__xludf.DUMMYFUNCTION("""COMPUTED_VALUE"""),"Vermont")</f>
        <v>Vermont</v>
      </c>
      <c r="C930" s="1" t="str">
        <f>IFERROR(__xludf.DUMMYFUNCTION("""COMPUTED_VALUE"""),"State Proclamations ")</f>
        <v>State Proclamations </v>
      </c>
      <c r="D930" s="1" t="str">
        <f>IFERROR(__xludf.DUMMYFUNCTION("""COMPUTED_VALUE"""),"Opening")</f>
        <v>Opening</v>
      </c>
      <c r="E930" s="1" t="str">
        <f>IFERROR(__xludf.DUMMYFUNCTION("""COMPUTED_VALUE"""),"An order is set to expire, which instituted a 10 p.m. curfew for bars and social clubs and suspended youth sports.")</f>
        <v>An order is set to expire, which instituted a 10 p.m. curfew for bars and social clubs and suspended youth sports.</v>
      </c>
      <c r="F930" s="1" t="str">
        <f>IFERROR(__xludf.DUMMYFUNCTION("""COMPUTED_VALUE"""),"National Academy for State Health Policy")</f>
        <v>National Academy for State Health Policy</v>
      </c>
      <c r="G930" s="3" t="str">
        <f>IFERROR(__xludf.DUMMYFUNCTION("""COMPUTED_VALUE"""),"https://www.nashp.org/2021-covid-19-state-restrictions-re-openings-and-mask-requirements/")</f>
        <v>https://www.nashp.org/2021-covid-19-state-restrictions-re-openings-and-mask-requirements/</v>
      </c>
      <c r="H930" s="1"/>
      <c r="I930" s="1"/>
    </row>
    <row r="931">
      <c r="A931" s="2">
        <f>IFERROR(__xludf.DUMMYFUNCTION("""COMPUTED_VALUE"""),44239.0)</f>
        <v>44239</v>
      </c>
      <c r="B931" s="1" t="str">
        <f>IFERROR(__xludf.DUMMYFUNCTION("""COMPUTED_VALUE"""),"Vermont")</f>
        <v>Vermont</v>
      </c>
      <c r="C931" s="1" t="str">
        <f>IFERROR(__xludf.DUMMYFUNCTION("""COMPUTED_VALUE"""),"State Proclamations ")</f>
        <v>State Proclamations </v>
      </c>
      <c r="D931" s="1" t="str">
        <f>IFERROR(__xludf.DUMMYFUNCTION("""COMPUTED_VALUE"""),"Opening")</f>
        <v>Opening</v>
      </c>
      <c r="E931" s="1" t="str">
        <f>IFERROR(__xludf.DUMMYFUNCTION("""COMPUTED_VALUE"""),"School and youth sports leagues and games can resume with restrictions. Teams will be limited to two games a week, and parents will not be allowed to attend.")</f>
        <v>School and youth sports leagues and games can resume with restrictions. Teams will be limited to two games a week, and parents will not be allowed to attend.</v>
      </c>
      <c r="F931" s="1" t="str">
        <f>IFERROR(__xludf.DUMMYFUNCTION("""COMPUTED_VALUE"""),"National Academy for State Health Policy")</f>
        <v>National Academy for State Health Policy</v>
      </c>
      <c r="G931" s="3" t="str">
        <f>IFERROR(__xludf.DUMMYFUNCTION("""COMPUTED_VALUE"""),"https://www.nashp.org/2021-covid-19-state-restrictions-re-openings-and-mask-requirements/")</f>
        <v>https://www.nashp.org/2021-covid-19-state-restrictions-re-openings-and-mask-requirements/</v>
      </c>
      <c r="H931" s="1"/>
      <c r="I931" s="1"/>
    </row>
    <row r="932">
      <c r="A932" s="2">
        <f>IFERROR(__xludf.DUMMYFUNCTION("""COMPUTED_VALUE"""),44260.0)</f>
        <v>44260</v>
      </c>
      <c r="B932" s="1" t="str">
        <f>IFERROR(__xludf.DUMMYFUNCTION("""COMPUTED_VALUE"""),"Vermont")</f>
        <v>Vermont</v>
      </c>
      <c r="C932" s="1" t="str">
        <f>IFERROR(__xludf.DUMMYFUNCTION("""COMPUTED_VALUE"""),"State Proclamations ")</f>
        <v>State Proclamations </v>
      </c>
      <c r="D932" s="1" t="str">
        <f>IFERROR(__xludf.DUMMYFUNCTION("""COMPUTED_VALUE"""),"Opening")</f>
        <v>Opening</v>
      </c>
      <c r="E932" s="1" t="str">
        <f>IFERROR(__xludf.DUMMYFUNCTION("""COMPUTED_VALUE"""),"Fully vaccinated people can gather with other fully vaccinated people without limit. Additionally, vaccinated people in a household can gather with one unvaccinated household.")</f>
        <v>Fully vaccinated people can gather with other fully vaccinated people without limit. Additionally, vaccinated people in a household can gather with one unvaccinated household.</v>
      </c>
      <c r="F932" s="1" t="str">
        <f>IFERROR(__xludf.DUMMYFUNCTION("""COMPUTED_VALUE"""),"National Academy for State Health Policy")</f>
        <v>National Academy for State Health Policy</v>
      </c>
      <c r="G932" s="3" t="str">
        <f>IFERROR(__xludf.DUMMYFUNCTION("""COMPUTED_VALUE"""),"https://www.nashp.org/2021-covid-19-state-restrictions-re-openings-and-mask-requirements/")</f>
        <v>https://www.nashp.org/2021-covid-19-state-restrictions-re-openings-and-mask-requirements/</v>
      </c>
      <c r="H932" s="1"/>
      <c r="I932" s="1"/>
    </row>
    <row r="933">
      <c r="A933" s="2">
        <f>IFERROR(__xludf.DUMMYFUNCTION("""COMPUTED_VALUE"""),44267.0)</f>
        <v>44267</v>
      </c>
      <c r="B933" s="1" t="str">
        <f>IFERROR(__xludf.DUMMYFUNCTION("""COMPUTED_VALUE"""),"Vermont")</f>
        <v>Vermont</v>
      </c>
      <c r="C933" s="1" t="str">
        <f>IFERROR(__xludf.DUMMYFUNCTION("""COMPUTED_VALUE"""),"State Proclamations ")</f>
        <v>State Proclamations </v>
      </c>
      <c r="D933" s="1" t="str">
        <f>IFERROR(__xludf.DUMMYFUNCTION("""COMPUTED_VALUE"""),"Opening")</f>
        <v>Opening</v>
      </c>
      <c r="E933" s="1" t="str">
        <f>IFERROR(__xludf.DUMMYFUNCTION("""COMPUTED_VALUE"""),"Two non-vaccinated households can gather together at one time, and restaurants can seat up to six people from different families.")</f>
        <v>Two non-vaccinated households can gather together at one time, and restaurants can seat up to six people from different families.</v>
      </c>
      <c r="F933" s="1" t="str">
        <f>IFERROR(__xludf.DUMMYFUNCTION("""COMPUTED_VALUE"""),"National Academy for State Health Policy")</f>
        <v>National Academy for State Health Policy</v>
      </c>
      <c r="G933" s="3" t="str">
        <f>IFERROR(__xludf.DUMMYFUNCTION("""COMPUTED_VALUE"""),"https://www.nashp.org/2021-covid-19-state-restrictions-re-openings-and-mask-requirements/")</f>
        <v>https://www.nashp.org/2021-covid-19-state-restrictions-re-openings-and-mask-requirements/</v>
      </c>
      <c r="H933" s="1"/>
      <c r="I933" s="1"/>
    </row>
    <row r="934">
      <c r="A934" s="2">
        <f>IFERROR(__xludf.DUMMYFUNCTION("""COMPUTED_VALUE"""),44279.0)</f>
        <v>44279</v>
      </c>
      <c r="B934" s="1" t="str">
        <f>IFERROR(__xludf.DUMMYFUNCTION("""COMPUTED_VALUE"""),"Vermont")</f>
        <v>Vermont</v>
      </c>
      <c r="C934" s="1" t="str">
        <f>IFERROR(__xludf.DUMMYFUNCTION("""COMPUTED_VALUE"""),"State Proclamations ")</f>
        <v>State Proclamations </v>
      </c>
      <c r="D934" s="1" t="str">
        <f>IFERROR(__xludf.DUMMYFUNCTION("""COMPUTED_VALUE"""),"Opening")</f>
        <v>Opening</v>
      </c>
      <c r="E934" s="1" t="str">
        <f>IFERROR(__xludf.DUMMYFUNCTION("""COMPUTED_VALUE"""),"Bars can reopen to indoor service with a 50% occupancy limit, with no standing or mingling, and no more than six people per table.")</f>
        <v>Bars can reopen to indoor service with a 50% occupancy limit, with no standing or mingling, and no more than six people per table.</v>
      </c>
      <c r="F934" s="1" t="str">
        <f>IFERROR(__xludf.DUMMYFUNCTION("""COMPUTED_VALUE"""),"National Academy for State Health Policy")</f>
        <v>National Academy for State Health Policy</v>
      </c>
      <c r="G934" s="3" t="str">
        <f>IFERROR(__xludf.DUMMYFUNCTION("""COMPUTED_VALUE"""),"https://www.nashp.org/2021-covid-19-state-restrictions-re-openings-and-mask-requirements/")</f>
        <v>https://www.nashp.org/2021-covid-19-state-restrictions-re-openings-and-mask-requirements/</v>
      </c>
      <c r="H934" s="1"/>
      <c r="I934" s="1"/>
    </row>
    <row r="935">
      <c r="A935" s="2">
        <f>IFERROR(__xludf.DUMMYFUNCTION("""COMPUTED_VALUE"""),44295.0)</f>
        <v>44295</v>
      </c>
      <c r="B935" s="1" t="str">
        <f>IFERROR(__xludf.DUMMYFUNCTION("""COMPUTED_VALUE"""),"Vermont")</f>
        <v>Vermont</v>
      </c>
      <c r="C935" s="1" t="str">
        <f>IFERROR(__xludf.DUMMYFUNCTION("""COMPUTED_VALUE"""),"State Proclamations ")</f>
        <v>State Proclamations </v>
      </c>
      <c r="D935" s="1" t="str">
        <f>IFERROR(__xludf.DUMMYFUNCTION("""COMPUTED_VALUE"""),"Opening")</f>
        <v>Opening</v>
      </c>
      <c r="E935" s="1" t="str">
        <f>IFERROR(__xludf.DUMMYFUNCTION("""COMPUTED_VALUE"""),"Gov. Phil Scott's new phased reopening plan took effect. The plan begins unfolds in three phases with the aim of ending all restrictions and mandates by July. Additionally, businesses in Group A, which includes outdoor businesses, retail operations, and l"&amp;"ow- or no-contact professional services, are no longer required to follow sector-specific guidance. Instead, those businesses must follow universal guidance, which includes keeping employees home if they are sick and requiring that all employees wear mask"&amp;"s.")</f>
        <v>Gov. Phil Scott's new phased reopening plan took effect. The plan begins unfolds in three phases with the aim of ending all restrictions and mandates by July. Additionally, businesses in Group A, which includes outdoor businesses, retail operations, and low- or no-contact professional services, are no longer required to follow sector-specific guidance. Instead, those businesses must follow universal guidance, which includes keeping employees home if they are sick and requiring that all employees wear masks.</v>
      </c>
      <c r="F935" s="1" t="str">
        <f>IFERROR(__xludf.DUMMYFUNCTION("""COMPUTED_VALUE"""),"National Academy for State Health Policy")</f>
        <v>National Academy for State Health Policy</v>
      </c>
      <c r="G935" s="3" t="str">
        <f>IFERROR(__xludf.DUMMYFUNCTION("""COMPUTED_VALUE"""),"https://www.nashp.org/2021-covid-19-state-restrictions-re-openings-and-mask-requirements/")</f>
        <v>https://www.nashp.org/2021-covid-19-state-restrictions-re-openings-and-mask-requirements/</v>
      </c>
      <c r="H935" s="1"/>
      <c r="I935" s="1"/>
    </row>
    <row r="936">
      <c r="A936" s="2">
        <f>IFERROR(__xludf.DUMMYFUNCTION("""COMPUTED_VALUE"""),44317.0)</f>
        <v>44317</v>
      </c>
      <c r="B936" s="1" t="str">
        <f>IFERROR(__xludf.DUMMYFUNCTION("""COMPUTED_VALUE"""),"Vermont")</f>
        <v>Vermont</v>
      </c>
      <c r="C936" s="1" t="str">
        <f>IFERROR(__xludf.DUMMYFUNCTION("""COMPUTED_VALUE"""),"State Proclamations ")</f>
        <v>State Proclamations </v>
      </c>
      <c r="D936" s="1" t="str">
        <f>IFERROR(__xludf.DUMMYFUNCTION("""COMPUTED_VALUE"""),"Opening")</f>
        <v>Opening</v>
      </c>
      <c r="E936" s="1" t="str">
        <f>IFERROR(__xludf.DUMMYFUNCTION("""COMPUTED_VALUE"""),"Indoor gathering capacity was increased to one unvaccinated individual per 100 square feet with a maximum of 150 unvaccinated people. The governor also replaced specific restrictions on most types of businesses with general mask-wearing and social distanc"&amp;"ing guidance.")</f>
        <v>Indoor gathering capacity was increased to one unvaccinated individual per 100 square feet with a maximum of 150 unvaccinated people. The governor also replaced specific restrictions on most types of businesses with general mask-wearing and social distancing guidance.</v>
      </c>
      <c r="F936" s="1" t="str">
        <f>IFERROR(__xludf.DUMMYFUNCTION("""COMPUTED_VALUE"""),"National Academy for State Health Policy")</f>
        <v>National Academy for State Health Policy</v>
      </c>
      <c r="G936" s="3" t="str">
        <f>IFERROR(__xludf.DUMMYFUNCTION("""COMPUTED_VALUE"""),"https://www.nashp.org/2021-covid-19-state-restrictions-re-openings-and-mask-requirements/")</f>
        <v>https://www.nashp.org/2021-covid-19-state-restrictions-re-openings-and-mask-requirements/</v>
      </c>
      <c r="H936" s="1"/>
      <c r="I936" s="1"/>
    </row>
    <row r="937">
      <c r="A937" s="2">
        <f>IFERROR(__xludf.DUMMYFUNCTION("""COMPUTED_VALUE"""),44330.0)</f>
        <v>44330</v>
      </c>
      <c r="B937" s="1" t="str">
        <f>IFERROR(__xludf.DUMMYFUNCTION("""COMPUTED_VALUE"""),"Vermont")</f>
        <v>Vermont</v>
      </c>
      <c r="C937" s="1" t="str">
        <f>IFERROR(__xludf.DUMMYFUNCTION("""COMPUTED_VALUE"""),"State Proclamations ")</f>
        <v>State Proclamations </v>
      </c>
      <c r="D937" s="1" t="str">
        <f>IFERROR(__xludf.DUMMYFUNCTION("""COMPUTED_VALUE"""),"Opening")</f>
        <v>Opening</v>
      </c>
      <c r="E937" s="1" t="str">
        <f>IFERROR(__xludf.DUMMYFUNCTION("""COMPUTED_VALUE"""),"The state into the third phase of the “Vermont Forward Plan.” In the third phase of the plan, vaccinated people can gather indoors and outdoors without limit, and up to 300 unvaccinated people can gather indoors, with no more than one person per 50 square"&amp;" feet, while up to 900 unvaccinated people can gather outdoors.")</f>
        <v>The state into the third phase of the “Vermont Forward Plan.” In the third phase of the plan, vaccinated people can gather indoors and outdoors without limit, and up to 300 unvaccinated people can gather indoors, with no more than one person per 50 square feet, while up to 900 unvaccinated people can gather outdoors.</v>
      </c>
      <c r="F937" s="1" t="str">
        <f>IFERROR(__xludf.DUMMYFUNCTION("""COMPUTED_VALUE"""),"National Academy for State Health Policy")</f>
        <v>National Academy for State Health Policy</v>
      </c>
      <c r="G937" s="3" t="str">
        <f>IFERROR(__xludf.DUMMYFUNCTION("""COMPUTED_VALUE"""),"https://www.nashp.org/2021-covid-19-state-restrictions-re-openings-and-mask-requirements/")</f>
        <v>https://www.nashp.org/2021-covid-19-state-restrictions-re-openings-and-mask-requirements/</v>
      </c>
      <c r="H937" s="1"/>
      <c r="I937" s="1"/>
    </row>
    <row r="938">
      <c r="A938" s="2">
        <f>IFERROR(__xludf.DUMMYFUNCTION("""COMPUTED_VALUE"""),44337.0)</f>
        <v>44337</v>
      </c>
      <c r="B938" s="1" t="str">
        <f>IFERROR(__xludf.DUMMYFUNCTION("""COMPUTED_VALUE"""),"Vermont")</f>
        <v>Vermont</v>
      </c>
      <c r="C938" s="1" t="str">
        <f>IFERROR(__xludf.DUMMYFUNCTION("""COMPUTED_VALUE"""),"State Proclamations ")</f>
        <v>State Proclamations </v>
      </c>
      <c r="D938" s="1" t="str">
        <f>IFERROR(__xludf.DUMMYFUNCTION("""COMPUTED_VALUE"""),"Opening")</f>
        <v>Opening</v>
      </c>
      <c r="E938" s="1" t="str">
        <f>IFERROR(__xludf.DUMMYFUNCTION("""COMPUTED_VALUE"""),"The governor announced the state will remove its remaining COVID-19 restrictions once 80% of eligible residents have received at least one dose of a COVID-19 vaccine.")</f>
        <v>The governor announced the state will remove its remaining COVID-19 restrictions once 80% of eligible residents have received at least one dose of a COVID-19 vaccine.</v>
      </c>
      <c r="F938" s="1" t="str">
        <f>IFERROR(__xludf.DUMMYFUNCTION("""COMPUTED_VALUE"""),"National Academy for State Health Policy")</f>
        <v>National Academy for State Health Policy</v>
      </c>
      <c r="G938" s="3" t="str">
        <f>IFERROR(__xludf.DUMMYFUNCTION("""COMPUTED_VALUE"""),"https://www.nashp.org/2021-covid-19-state-restrictions-re-openings-and-mask-requirements/")</f>
        <v>https://www.nashp.org/2021-covid-19-state-restrictions-re-openings-and-mask-requirements/</v>
      </c>
      <c r="H938" s="1"/>
      <c r="I938" s="1"/>
    </row>
    <row r="939">
      <c r="A939" s="2">
        <f>IFERROR(__xludf.DUMMYFUNCTION("""COMPUTED_VALUE"""),44361.0)</f>
        <v>44361</v>
      </c>
      <c r="B939" s="1" t="str">
        <f>IFERROR(__xludf.DUMMYFUNCTION("""COMPUTED_VALUE"""),"Vermont")</f>
        <v>Vermont</v>
      </c>
      <c r="C939" s="1" t="str">
        <f>IFERROR(__xludf.DUMMYFUNCTION("""COMPUTED_VALUE"""),"State Proclamations ")</f>
        <v>State Proclamations </v>
      </c>
      <c r="D939" s="1" t="str">
        <f>IFERROR(__xludf.DUMMYFUNCTION("""COMPUTED_VALUE"""),"Opening")</f>
        <v>Opening</v>
      </c>
      <c r="E939" s="1" t="str">
        <f>IFERROR(__xludf.DUMMYFUNCTION("""COMPUTED_VALUE"""),"Because the state reached its goal of 80% of eligible state residents with at least one dose of a coronavirus vaccine, the state ended all remaining COVID-19 restrictions. This was originally scheduled for July 4.")</f>
        <v>Because the state reached its goal of 80% of eligible state residents with at least one dose of a coronavirus vaccine, the state ended all remaining COVID-19 restrictions. This was originally scheduled for July 4.</v>
      </c>
      <c r="F939" s="1" t="str">
        <f>IFERROR(__xludf.DUMMYFUNCTION("""COMPUTED_VALUE"""),"National Academy for State Health Policy")</f>
        <v>National Academy for State Health Policy</v>
      </c>
      <c r="G939" s="3" t="str">
        <f>IFERROR(__xludf.DUMMYFUNCTION("""COMPUTED_VALUE"""),"https://www.nashp.org/2021-covid-19-state-restrictions-re-openings-and-mask-requirements/")</f>
        <v>https://www.nashp.org/2021-covid-19-state-restrictions-re-openings-and-mask-requirements/</v>
      </c>
      <c r="H939" s="1"/>
      <c r="I939" s="1"/>
    </row>
    <row r="940">
      <c r="A940" s="2">
        <f>IFERROR(__xludf.DUMMYFUNCTION("""COMPUTED_VALUE"""),44362.0)</f>
        <v>44362</v>
      </c>
      <c r="B940" s="1" t="str">
        <f>IFERROR(__xludf.DUMMYFUNCTION("""COMPUTED_VALUE"""),"Vermont")</f>
        <v>Vermont</v>
      </c>
      <c r="C940" s="1" t="str">
        <f>IFERROR(__xludf.DUMMYFUNCTION("""COMPUTED_VALUE"""),"State of Emergency")</f>
        <v>State of Emergency</v>
      </c>
      <c r="D940" s="1" t="str">
        <f>IFERROR(__xludf.DUMMYFUNCTION("""COMPUTED_VALUE"""),"End")</f>
        <v>End</v>
      </c>
      <c r="E940" s="1" t="str">
        <f>IFERROR(__xludf.DUMMYFUNCTION("""COMPUTED_VALUE"""),"State of Emergency expired June 15")</f>
        <v>State of Emergency expired June 15</v>
      </c>
      <c r="F940" s="1" t="str">
        <f>IFERROR(__xludf.DUMMYFUNCTION("""COMPUTED_VALUE"""),"National Academy for State Health Policy")</f>
        <v>National Academy for State Health Policy</v>
      </c>
      <c r="G940" s="3" t="str">
        <f>IFERROR(__xludf.DUMMYFUNCTION("""COMPUTED_VALUE"""),"https://www.nashp.org/2021-covid-19-state-restrictions-re-openings-and-mask-requirements/")</f>
        <v>https://www.nashp.org/2021-covid-19-state-restrictions-re-openings-and-mask-requirements/</v>
      </c>
      <c r="H940" s="1"/>
      <c r="I940" s="1"/>
    </row>
    <row r="941">
      <c r="A941" s="2">
        <f>IFERROR(__xludf.DUMMYFUNCTION("""COMPUTED_VALUE"""),44362.0)</f>
        <v>44362</v>
      </c>
      <c r="B941" s="1" t="str">
        <f>IFERROR(__xludf.DUMMYFUNCTION("""COMPUTED_VALUE"""),"Vermont")</f>
        <v>Vermont</v>
      </c>
      <c r="C941" s="1" t="str">
        <f>IFERROR(__xludf.DUMMYFUNCTION("""COMPUTED_VALUE"""),"Mask Mandate")</f>
        <v>Mask Mandate</v>
      </c>
      <c r="D941" s="1" t="str">
        <f>IFERROR(__xludf.DUMMYFUNCTION("""COMPUTED_VALUE"""),"End")</f>
        <v>End</v>
      </c>
      <c r="E941" s="1" t="str">
        <f>IFERROR(__xludf.DUMMYFUNCTION("""COMPUTED_VALUE"""),"On June 15, the governor lifted the mask mandate")</f>
        <v>On June 15, the governor lifted the mask mandate</v>
      </c>
      <c r="F941" s="1" t="str">
        <f>IFERROR(__xludf.DUMMYFUNCTION("""COMPUTED_VALUE"""),"National Academy for State Health Policy")</f>
        <v>National Academy for State Health Policy</v>
      </c>
      <c r="G941" s="3" t="str">
        <f>IFERROR(__xludf.DUMMYFUNCTION("""COMPUTED_VALUE"""),"https://www.nashp.org/2021-covid-19-state-restrictions-re-openings-and-mask-requirements/")</f>
        <v>https://www.nashp.org/2021-covid-19-state-restrictions-re-openings-and-mask-requirements/</v>
      </c>
      <c r="H941" s="1"/>
      <c r="I941" s="1"/>
    </row>
    <row r="942">
      <c r="A942" s="2">
        <f>IFERROR(__xludf.DUMMYFUNCTION("""COMPUTED_VALUE"""),43902.0)</f>
        <v>43902</v>
      </c>
      <c r="B942" s="1" t="str">
        <f>IFERROR(__xludf.DUMMYFUNCTION("""COMPUTED_VALUE"""),"Virginia")</f>
        <v>Virginia</v>
      </c>
      <c r="C942" s="1" t="str">
        <f>IFERROR(__xludf.DUMMYFUNCTION("""COMPUTED_VALUE"""),"State of Emergency")</f>
        <v>State of Emergency</v>
      </c>
      <c r="D942" s="1" t="str">
        <f>IFERROR(__xludf.DUMMYFUNCTION("""COMPUTED_VALUE"""),"Start")</f>
        <v>Start</v>
      </c>
      <c r="E942" s="1" t="str">
        <f>IFERROR(__xludf.DUMMYFUNCTION("""COMPUTED_VALUE"""),"Gov. Ralph Northam declared a state of emergency on March 12.")</f>
        <v>Gov. Ralph Northam declared a state of emergency on March 12.</v>
      </c>
      <c r="F942" s="1" t="str">
        <f>IFERROR(__xludf.DUMMYFUNCTION("""COMPUTED_VALUE"""),"Business Insider")</f>
        <v>Business Insider</v>
      </c>
      <c r="G942" s="3" t="str">
        <f>IFERROR(__xludf.DUMMYFUNCTION("""COMPUTED_VALUE"""),"https://www.businessinsider.com/california-washington-state-of-emergency-coronavirus-what-it-means-2020-3#virginia-22")</f>
        <v>https://www.businessinsider.com/california-washington-state-of-emergency-coronavirus-what-it-means-2020-3#virginia-22</v>
      </c>
      <c r="H942" s="1"/>
      <c r="I942" s="1"/>
    </row>
    <row r="943">
      <c r="A943" s="2">
        <f>IFERROR(__xludf.DUMMYFUNCTION("""COMPUTED_VALUE"""),43914.0)</f>
        <v>43914</v>
      </c>
      <c r="B943" s="1" t="str">
        <f>IFERROR(__xludf.DUMMYFUNCTION("""COMPUTED_VALUE"""),"Virginia")</f>
        <v>Virginia</v>
      </c>
      <c r="C943" s="1" t="str">
        <f>IFERROR(__xludf.DUMMYFUNCTION("""COMPUTED_VALUE"""),"Stay-at-Home Order")</f>
        <v>Stay-at-Home Order</v>
      </c>
      <c r="D943" s="1" t="str">
        <f>IFERROR(__xludf.DUMMYFUNCTION("""COMPUTED_VALUE"""),"Start")</f>
        <v>Start</v>
      </c>
      <c r="E943" s="1" t="str">
        <f>IFERROR(__xludf.DUMMYFUNCTION("""COMPUTED_VALUE"""),"Original stay-at-home order begins")</f>
        <v>Original stay-at-home order begins</v>
      </c>
      <c r="F943" s="1" t="str">
        <f>IFERROR(__xludf.DUMMYFUNCTION("""COMPUTED_VALUE"""),"National Academy for State Health Policy")</f>
        <v>National Academy for State Health Policy</v>
      </c>
      <c r="G943" s="3" t="str">
        <f>IFERROR(__xludf.DUMMYFUNCTION("""COMPUTED_VALUE"""),"https://www.nashp.org/2020-state-reopening-chart/")</f>
        <v>https://www.nashp.org/2020-state-reopening-chart/</v>
      </c>
      <c r="H943" s="1"/>
      <c r="I943" s="1"/>
    </row>
    <row r="944">
      <c r="A944" s="2">
        <f>IFERROR(__xludf.DUMMYFUNCTION("""COMPUTED_VALUE"""),43980.0)</f>
        <v>43980</v>
      </c>
      <c r="B944" s="1" t="str">
        <f>IFERROR(__xludf.DUMMYFUNCTION("""COMPUTED_VALUE"""),"Virginia")</f>
        <v>Virginia</v>
      </c>
      <c r="C944" s="1" t="str">
        <f>IFERROR(__xludf.DUMMYFUNCTION("""COMPUTED_VALUE"""),"Mask Mandate")</f>
        <v>Mask Mandate</v>
      </c>
      <c r="D944" s="1" t="str">
        <f>IFERROR(__xludf.DUMMYFUNCTION("""COMPUTED_VALUE"""),"Start")</f>
        <v>Start</v>
      </c>
      <c r="E944" s="1" t="str">
        <f>IFERROR(__xludf.DUMMYFUNCTION("""COMPUTED_VALUE"""),"Gov. Ralph Northam instituted a statewide mask mandate that requires residents aged 10 and older to wear a mask when entering or spending time in establishments such as restaurants, grocery stores and train stations.")</f>
        <v>Gov. Ralph Northam instituted a statewide mask mandate that requires residents aged 10 and older to wear a mask when entering or spending time in establishments such as restaurants, grocery stores and train stations.</v>
      </c>
      <c r="F944" s="1" t="str">
        <f>IFERROR(__xludf.DUMMYFUNCTION("""COMPUTED_VALUE"""),"CNN")</f>
        <v>CNN</v>
      </c>
      <c r="G944" s="3" t="str">
        <f>IFERROR(__xludf.DUMMYFUNCTION("""COMPUTED_VALUE"""),"https://www.cnn.com/2020/06/19/us/states-face-mask-coronavirus-trnd/index.html")</f>
        <v>https://www.cnn.com/2020/06/19/us/states-face-mask-coronavirus-trnd/index.html</v>
      </c>
      <c r="H944" s="1"/>
      <c r="I944" s="1"/>
    </row>
    <row r="945">
      <c r="A945" s="2">
        <f>IFERROR(__xludf.DUMMYFUNCTION("""COMPUTED_VALUE"""),43992.0)</f>
        <v>43992</v>
      </c>
      <c r="B945" s="1" t="str">
        <f>IFERROR(__xludf.DUMMYFUNCTION("""COMPUTED_VALUE"""),"Virginia")</f>
        <v>Virginia</v>
      </c>
      <c r="C945" s="1" t="str">
        <f>IFERROR(__xludf.DUMMYFUNCTION("""COMPUTED_VALUE"""),"Stay-at-Home Order")</f>
        <v>Stay-at-Home Order</v>
      </c>
      <c r="D945" s="1" t="str">
        <f>IFERROR(__xludf.DUMMYFUNCTION("""COMPUTED_VALUE"""),"End")</f>
        <v>End</v>
      </c>
      <c r="E945" s="1" t="str">
        <f>IFERROR(__xludf.DUMMYFUNCTION("""COMPUTED_VALUE"""),"Original stay-at-home order ends")</f>
        <v>Original stay-at-home order ends</v>
      </c>
      <c r="F945" s="1" t="str">
        <f>IFERROR(__xludf.DUMMYFUNCTION("""COMPUTED_VALUE"""),"National Academy for State Health Policy")</f>
        <v>National Academy for State Health Policy</v>
      </c>
      <c r="G945" s="3" t="str">
        <f>IFERROR(__xludf.DUMMYFUNCTION("""COMPUTED_VALUE"""),"https://www.nashp.org/2020-state-reopening-chart/")</f>
        <v>https://www.nashp.org/2020-state-reopening-chart/</v>
      </c>
      <c r="H945" s="1"/>
      <c r="I945" s="1"/>
    </row>
    <row r="946">
      <c r="A946" s="2">
        <f>IFERROR(__xludf.DUMMYFUNCTION("""COMPUTED_VALUE"""),43992.0)</f>
        <v>43992</v>
      </c>
      <c r="B946" s="1" t="str">
        <f>IFERROR(__xludf.DUMMYFUNCTION("""COMPUTED_VALUE"""),"Virginia")</f>
        <v>Virginia</v>
      </c>
      <c r="C946" s="1" t="str">
        <f>IFERROR(__xludf.DUMMYFUNCTION("""COMPUTED_VALUE"""),"State Proclamations ")</f>
        <v>State Proclamations </v>
      </c>
      <c r="D946" s="1" t="str">
        <f>IFERROR(__xludf.DUMMYFUNCTION("""COMPUTED_VALUE"""),"Opening")</f>
        <v>Opening</v>
      </c>
      <c r="E946" s="1" t="str">
        <f>IFERROR(__xludf.DUMMYFUNCTION("""COMPUTED_VALUE"""),"Virginia has reopened retail stores, restaurants and bars, personal care services, houses of worship, beaches, gyms, and pools. Nonessential medical procedures resumed May 1.")</f>
        <v>Virginia has reopened retail stores, restaurants and bars, personal care services, houses of worship, beaches, gyms, and pools. Nonessential medical procedures resumed May 1.</v>
      </c>
      <c r="F946" s="1" t="str">
        <f>IFERROR(__xludf.DUMMYFUNCTION("""COMPUTED_VALUE"""),"National Academy for State Health Policy")</f>
        <v>National Academy for State Health Policy</v>
      </c>
      <c r="G946" s="3" t="str">
        <f>IFERROR(__xludf.DUMMYFUNCTION("""COMPUTED_VALUE"""),"https://www.nashp.org/2020-state-reopening-chart/")</f>
        <v>https://www.nashp.org/2020-state-reopening-chart/</v>
      </c>
      <c r="H946" s="1"/>
      <c r="I946" s="1"/>
    </row>
    <row r="947">
      <c r="A947" s="2">
        <f>IFERROR(__xludf.DUMMYFUNCTION("""COMPUTED_VALUE"""),43994.0)</f>
        <v>43994</v>
      </c>
      <c r="B947" s="1" t="str">
        <f>IFERROR(__xludf.DUMMYFUNCTION("""COMPUTED_VALUE"""),"Virginia")</f>
        <v>Virginia</v>
      </c>
      <c r="C947" s="1" t="str">
        <f>IFERROR(__xludf.DUMMYFUNCTION("""COMPUTED_VALUE"""),"State Proclamations ")</f>
        <v>State Proclamations </v>
      </c>
      <c r="D947" s="1" t="str">
        <f>IFERROR(__xludf.DUMMYFUNCTION("""COMPUTED_VALUE"""),"Opening")</f>
        <v>Opening</v>
      </c>
      <c r="E947" s="1" t="str">
        <f>IFERROR(__xludf.DUMMYFUNCTION("""COMPUTED_VALUE"""),"Restaurants and bars could offer indoor dining at 50% capacity. Social gatherings up to 50 people are permitted.")</f>
        <v>Restaurants and bars could offer indoor dining at 50% capacity. Social gatherings up to 50 people are permitted.</v>
      </c>
      <c r="F947" s="1" t="str">
        <f>IFERROR(__xludf.DUMMYFUNCTION("""COMPUTED_VALUE"""),"National Academy for State Health Policy")</f>
        <v>National Academy for State Health Policy</v>
      </c>
      <c r="G947" s="3" t="str">
        <f>IFERROR(__xludf.DUMMYFUNCTION("""COMPUTED_VALUE"""),"https://www.nashp.org/2020-state-reopening-chart/")</f>
        <v>https://www.nashp.org/2020-state-reopening-chart/</v>
      </c>
      <c r="H947" s="1"/>
      <c r="I947" s="1"/>
    </row>
    <row r="948">
      <c r="A948" s="2">
        <f>IFERROR(__xludf.DUMMYFUNCTION("""COMPUTED_VALUE"""),44013.0)</f>
        <v>44013</v>
      </c>
      <c r="B948" s="1" t="str">
        <f>IFERROR(__xludf.DUMMYFUNCTION("""COMPUTED_VALUE"""),"Virginia")</f>
        <v>Virginia</v>
      </c>
      <c r="C948" s="1" t="str">
        <f>IFERROR(__xludf.DUMMYFUNCTION("""COMPUTED_VALUE"""),"State Proclamations ")</f>
        <v>State Proclamations </v>
      </c>
      <c r="D948" s="1" t="str">
        <f>IFERROR(__xludf.DUMMYFUNCTION("""COMPUTED_VALUE"""),"Opening")</f>
        <v>Opening</v>
      </c>
      <c r="E948" s="1" t="str">
        <f>IFERROR(__xludf.DUMMYFUNCTION("""COMPUTED_VALUE"""),"Phase 3 began with some restriction on indoor seating and non-essential retail, but bars will not be reopening.")</f>
        <v>Phase 3 began with some restriction on indoor seating and non-essential retail, but bars will not be reopening.</v>
      </c>
      <c r="F948" s="1" t="str">
        <f>IFERROR(__xludf.DUMMYFUNCTION("""COMPUTED_VALUE"""),"National Academy for State Health Policy")</f>
        <v>National Academy for State Health Policy</v>
      </c>
      <c r="G948" s="3" t="str">
        <f>IFERROR(__xludf.DUMMYFUNCTION("""COMPUTED_VALUE"""),"https://www.nashp.org/2020-state-reopening-chart/")</f>
        <v>https://www.nashp.org/2020-state-reopening-chart/</v>
      </c>
      <c r="H948" s="1"/>
      <c r="I948" s="1"/>
    </row>
    <row r="949">
      <c r="A949" s="2">
        <f>IFERROR(__xludf.DUMMYFUNCTION("""COMPUTED_VALUE"""),44026.0)</f>
        <v>44026</v>
      </c>
      <c r="B949" s="1" t="str">
        <f>IFERROR(__xludf.DUMMYFUNCTION("""COMPUTED_VALUE"""),"Virginia")</f>
        <v>Virginia</v>
      </c>
      <c r="C949" s="1" t="str">
        <f>IFERROR(__xludf.DUMMYFUNCTION("""COMPUTED_VALUE"""),"State Proclamations ")</f>
        <v>State Proclamations </v>
      </c>
      <c r="D949" s="1" t="str">
        <f>IFERROR(__xludf.DUMMYFUNCTION("""COMPUTED_VALUE"""),"Closing")</f>
        <v>Closing</v>
      </c>
      <c r="E949" s="1" t="str">
        <f>IFERROR(__xludf.DUMMYFUNCTION("""COMPUTED_VALUE"""),"The governor ordered inspectors to make unannounced visits to restaurants and retail establishments, and will revoke their licenses if workers aren’t wearing masks or customers are allowed to congregate in tight spaces.")</f>
        <v>The governor ordered inspectors to make unannounced visits to restaurants and retail establishments, and will revoke their licenses if workers aren’t wearing masks or customers are allowed to congregate in tight spaces.</v>
      </c>
      <c r="F949" s="1" t="str">
        <f>IFERROR(__xludf.DUMMYFUNCTION("""COMPUTED_VALUE"""),"National Academy for State Health Policy")</f>
        <v>National Academy for State Health Policy</v>
      </c>
      <c r="G949" s="3" t="str">
        <f>IFERROR(__xludf.DUMMYFUNCTION("""COMPUTED_VALUE"""),"https://www.nashp.org/2020-state-reopening-chart/")</f>
        <v>https://www.nashp.org/2020-state-reopening-chart/</v>
      </c>
      <c r="H949" s="1"/>
      <c r="I949" s="1"/>
    </row>
    <row r="950">
      <c r="A950" s="2">
        <f>IFERROR(__xludf.DUMMYFUNCTION("""COMPUTED_VALUE"""),44043.0)</f>
        <v>44043</v>
      </c>
      <c r="B950" s="1" t="str">
        <f>IFERROR(__xludf.DUMMYFUNCTION("""COMPUTED_VALUE"""),"Virginia")</f>
        <v>Virginia</v>
      </c>
      <c r="C950" s="1" t="str">
        <f>IFERROR(__xludf.DUMMYFUNCTION("""COMPUTED_VALUE"""),"State Proclamations ")</f>
        <v>State Proclamations </v>
      </c>
      <c r="D950" s="1" t="str">
        <f>IFERROR(__xludf.DUMMYFUNCTION("""COMPUTED_VALUE"""),"Closing")</f>
        <v>Closing</v>
      </c>
      <c r="E950" s="1" t="str">
        <f>IFERROR(__xludf.DUMMYFUNCTION("""COMPUTED_VALUE"""),"The governor announced restaurants and bars in some counties must reduce to 50% capacity for indoor dining and will have to stop serving alcohol after 10 p.m. Public gatherings are limitted to to 50 people.")</f>
        <v>The governor announced restaurants and bars in some counties must reduce to 50% capacity for indoor dining and will have to stop serving alcohol after 10 p.m. Public gatherings are limitted to to 50 people.</v>
      </c>
      <c r="F950" s="1" t="str">
        <f>IFERROR(__xludf.DUMMYFUNCTION("""COMPUTED_VALUE"""),"National Academy for State Health Policy")</f>
        <v>National Academy for State Health Policy</v>
      </c>
      <c r="G950" s="3" t="str">
        <f>IFERROR(__xludf.DUMMYFUNCTION("""COMPUTED_VALUE"""),"https://www.nashp.org/2020-state-reopening-chart/")</f>
        <v>https://www.nashp.org/2020-state-reopening-chart/</v>
      </c>
      <c r="H950" s="1"/>
      <c r="I950" s="1"/>
    </row>
    <row r="951">
      <c r="A951" s="2">
        <f>IFERROR(__xludf.DUMMYFUNCTION("""COMPUTED_VALUE"""),44109.0)</f>
        <v>44109</v>
      </c>
      <c r="B951" s="1" t="str">
        <f>IFERROR(__xludf.DUMMYFUNCTION("""COMPUTED_VALUE"""),"Virginia")</f>
        <v>Virginia</v>
      </c>
      <c r="C951" s="1" t="str">
        <f>IFERROR(__xludf.DUMMYFUNCTION("""COMPUTED_VALUE"""),"State Proclamations ")</f>
        <v>State Proclamations </v>
      </c>
      <c r="D951" s="1" t="str">
        <f>IFERROR(__xludf.DUMMYFUNCTION("""COMPUTED_VALUE"""),"Opening")</f>
        <v>Opening</v>
      </c>
      <c r="E951" s="1" t="str">
        <f>IFERROR(__xludf.DUMMYFUNCTION("""COMPUTED_VALUE"""),"Moratorium on utility service disconnections expired despite the governor's request to extend it until December.")</f>
        <v>Moratorium on utility service disconnections expired despite the governor's request to extend it until December.</v>
      </c>
      <c r="F951" s="1" t="str">
        <f>IFERROR(__xludf.DUMMYFUNCTION("""COMPUTED_VALUE"""),"National Academy for State Health Policy")</f>
        <v>National Academy for State Health Policy</v>
      </c>
      <c r="G951" s="3" t="str">
        <f>IFERROR(__xludf.DUMMYFUNCTION("""COMPUTED_VALUE"""),"https://www.nashp.org/2020-state-reopening-chart/")</f>
        <v>https://www.nashp.org/2020-state-reopening-chart/</v>
      </c>
      <c r="H951" s="1"/>
      <c r="I951" s="1"/>
    </row>
    <row r="952">
      <c r="A952" s="2">
        <f>IFERROR(__xludf.DUMMYFUNCTION("""COMPUTED_VALUE"""),44150.0)</f>
        <v>44150</v>
      </c>
      <c r="B952" s="1" t="str">
        <f>IFERROR(__xludf.DUMMYFUNCTION("""COMPUTED_VALUE"""),"Virginia")</f>
        <v>Virginia</v>
      </c>
      <c r="C952" s="1" t="str">
        <f>IFERROR(__xludf.DUMMYFUNCTION("""COMPUTED_VALUE"""),"State Proclamations ")</f>
        <v>State Proclamations </v>
      </c>
      <c r="D952" s="1" t="str">
        <f>IFERROR(__xludf.DUMMYFUNCTION("""COMPUTED_VALUE"""),"Closing")</f>
        <v>Closing</v>
      </c>
      <c r="E952" s="1" t="str">
        <f>IFERROR(__xludf.DUMMYFUNCTION("""COMPUTED_VALUE"""),"The state enacted a reduced cap on gatherings from 250 to 25 and alcohol sales will be prohibited at dining establishments, breweries and wineries after 10 p.m.")</f>
        <v>The state enacted a reduced cap on gatherings from 250 to 25 and alcohol sales will be prohibited at dining establishments, breweries and wineries after 10 p.m.</v>
      </c>
      <c r="F952" s="1" t="str">
        <f>IFERROR(__xludf.DUMMYFUNCTION("""COMPUTED_VALUE"""),"National Academy for State Health Policy")</f>
        <v>National Academy for State Health Policy</v>
      </c>
      <c r="G952" s="3" t="str">
        <f>IFERROR(__xludf.DUMMYFUNCTION("""COMPUTED_VALUE"""),"https://www.nashp.org/2020-state-reopening-chart/")</f>
        <v>https://www.nashp.org/2020-state-reopening-chart/</v>
      </c>
      <c r="H952" s="1"/>
      <c r="I952" s="1"/>
    </row>
    <row r="953">
      <c r="A953" s="2">
        <f>IFERROR(__xludf.DUMMYFUNCTION("""COMPUTED_VALUE"""),44179.0)</f>
        <v>44179</v>
      </c>
      <c r="B953" s="1" t="str">
        <f>IFERROR(__xludf.DUMMYFUNCTION("""COMPUTED_VALUE"""),"Virginia")</f>
        <v>Virginia</v>
      </c>
      <c r="C953" s="1" t="str">
        <f>IFERROR(__xludf.DUMMYFUNCTION("""COMPUTED_VALUE"""),"State Proclamations ")</f>
        <v>State Proclamations </v>
      </c>
      <c r="D953" s="1" t="str">
        <f>IFERROR(__xludf.DUMMYFUNCTION("""COMPUTED_VALUE"""),"Closing")</f>
        <v>Closing</v>
      </c>
      <c r="E953" s="1" t="str">
        <f>IFERROR(__xludf.DUMMYFUNCTION("""COMPUTED_VALUE"""),"The governor imposed a curfew from midnight to 5 a.m. and required bars and restaurants to stop serving alcohol after 10 p.m. All social gatherings are now limited to 10 people.")</f>
        <v>The governor imposed a curfew from midnight to 5 a.m. and required bars and restaurants to stop serving alcohol after 10 p.m. All social gatherings are now limited to 10 people.</v>
      </c>
      <c r="F953" s="1" t="str">
        <f>IFERROR(__xludf.DUMMYFUNCTION("""COMPUTED_VALUE"""),"National Academy for State Health Policy")</f>
        <v>National Academy for State Health Policy</v>
      </c>
      <c r="G953" s="3" t="str">
        <f>IFERROR(__xludf.DUMMYFUNCTION("""COMPUTED_VALUE"""),"https://www.nashp.org/2020-state-reopening-chart/")</f>
        <v>https://www.nashp.org/2020-state-reopening-chart/</v>
      </c>
      <c r="H953" s="1"/>
      <c r="I953" s="1"/>
    </row>
    <row r="954">
      <c r="A954" s="2">
        <f>IFERROR(__xludf.DUMMYFUNCTION("""COMPUTED_VALUE"""),44210.0)</f>
        <v>44210</v>
      </c>
      <c r="B954" s="1" t="str">
        <f>IFERROR(__xludf.DUMMYFUNCTION("""COMPUTED_VALUE"""),"Virginia")</f>
        <v>Virginia</v>
      </c>
      <c r="C954" s="1" t="str">
        <f>IFERROR(__xludf.DUMMYFUNCTION("""COMPUTED_VALUE"""),"State Proclamations ")</f>
        <v>State Proclamations </v>
      </c>
      <c r="D954" s="1" t="str">
        <f>IFERROR(__xludf.DUMMYFUNCTION("""COMPUTED_VALUE"""),"Opening")</f>
        <v>Opening</v>
      </c>
      <c r="E954" s="1" t="str">
        <f>IFERROR(__xludf.DUMMYFUNCTION("""COMPUTED_VALUE"""),"The Virginia Department of Education released new guidance encouraging schools to prioritize in-person learning, especially for younger students and those with disabilities.")</f>
        <v>The Virginia Department of Education released new guidance encouraging schools to prioritize in-person learning, especially for younger students and those with disabilities.</v>
      </c>
      <c r="F954" s="1" t="str">
        <f>IFERROR(__xludf.DUMMYFUNCTION("""COMPUTED_VALUE"""),"National Academy for State Health Policy")</f>
        <v>National Academy for State Health Policy</v>
      </c>
      <c r="G954" s="3" t="str">
        <f>IFERROR(__xludf.DUMMYFUNCTION("""COMPUTED_VALUE"""),"https://www.nashp.org/2021-covid-19-state-restrictions-re-openings-and-mask-requirements/")</f>
        <v>https://www.nashp.org/2021-covid-19-state-restrictions-re-openings-and-mask-requirements/</v>
      </c>
      <c r="H954" s="1"/>
      <c r="I954" s="1"/>
    </row>
    <row r="955">
      <c r="A955" s="2">
        <f>IFERROR(__xludf.DUMMYFUNCTION("""COMPUTED_VALUE"""),44239.0)</f>
        <v>44239</v>
      </c>
      <c r="B955" s="1" t="str">
        <f>IFERROR(__xludf.DUMMYFUNCTION("""COMPUTED_VALUE"""),"Virginia")</f>
        <v>Virginia</v>
      </c>
      <c r="C955" s="1" t="str">
        <f>IFERROR(__xludf.DUMMYFUNCTION("""COMPUTED_VALUE"""),"State Proclamations ")</f>
        <v>State Proclamations </v>
      </c>
      <c r="D955" s="1" t="str">
        <f>IFERROR(__xludf.DUMMYFUNCTION("""COMPUTED_VALUE"""),"Opening")</f>
        <v>Opening</v>
      </c>
      <c r="E955" s="1" t="str">
        <f>IFERROR(__xludf.DUMMYFUNCTION("""COMPUTED_VALUE"""),"Gov. Ralph Northam requested that schools provide in-person learning options for students by March 15. Although the request is not a mandate, the governor said he expected schools to comply.")</f>
        <v>Gov. Ralph Northam requested that schools provide in-person learning options for students by March 15. Although the request is not a mandate, the governor said he expected schools to comply.</v>
      </c>
      <c r="F955" s="1" t="str">
        <f>IFERROR(__xludf.DUMMYFUNCTION("""COMPUTED_VALUE"""),"National Academy for State Health Policy")</f>
        <v>National Academy for State Health Policy</v>
      </c>
      <c r="G955" s="3" t="str">
        <f>IFERROR(__xludf.DUMMYFUNCTION("""COMPUTED_VALUE"""),"https://www.nashp.org/2021-covid-19-state-restrictions-re-openings-and-mask-requirements/")</f>
        <v>https://www.nashp.org/2021-covid-19-state-restrictions-re-openings-and-mask-requirements/</v>
      </c>
      <c r="H955" s="1"/>
      <c r="I955" s="1"/>
    </row>
    <row r="956">
      <c r="A956" s="2">
        <f>IFERROR(__xludf.DUMMYFUNCTION("""COMPUTED_VALUE"""),44256.0)</f>
        <v>44256</v>
      </c>
      <c r="B956" s="1" t="str">
        <f>IFERROR(__xludf.DUMMYFUNCTION("""COMPUTED_VALUE"""),"Virginia")</f>
        <v>Virginia</v>
      </c>
      <c r="C956" s="1" t="str">
        <f>IFERROR(__xludf.DUMMYFUNCTION("""COMPUTED_VALUE"""),"State Proclamations ")</f>
        <v>State Proclamations </v>
      </c>
      <c r="D956" s="1" t="str">
        <f>IFERROR(__xludf.DUMMYFUNCTION("""COMPUTED_VALUE"""),"Opening")</f>
        <v>Opening</v>
      </c>
      <c r="E956" s="1" t="str">
        <f>IFERROR(__xludf.DUMMYFUNCTION("""COMPUTED_VALUE"""),"The gathering limit on outdoor entertainment venues will increase from 30% or 250 people to 30% or 1,000 people. Additionally, up to 250 spectators or 30% will be permitted per field at outdoor sports games, up from the current limit of two spectators per"&amp;" participant. The outdoor gathering limit will increase from 10 to 25 people.")</f>
        <v>The gathering limit on outdoor entertainment venues will increase from 30% or 250 people to 30% or 1,000 people. Additionally, up to 250 spectators or 30% will be permitted per field at outdoor sports games, up from the current limit of two spectators per participant. The outdoor gathering limit will increase from 10 to 25 people.</v>
      </c>
      <c r="F956" s="1" t="str">
        <f>IFERROR(__xludf.DUMMYFUNCTION("""COMPUTED_VALUE"""),"National Academy for State Health Policy")</f>
        <v>National Academy for State Health Policy</v>
      </c>
      <c r="G956" s="3" t="str">
        <f>IFERROR(__xludf.DUMMYFUNCTION("""COMPUTED_VALUE"""),"https://www.nashp.org/2021-covid-19-state-restrictions-re-openings-and-mask-requirements/")</f>
        <v>https://www.nashp.org/2021-covid-19-state-restrictions-re-openings-and-mask-requirements/</v>
      </c>
      <c r="H956" s="1"/>
      <c r="I956" s="1"/>
    </row>
    <row r="957">
      <c r="A957" s="2">
        <f>IFERROR(__xludf.DUMMYFUNCTION("""COMPUTED_VALUE"""),44287.0)</f>
        <v>44287</v>
      </c>
      <c r="B957" s="1" t="str">
        <f>IFERROR(__xludf.DUMMYFUNCTION("""COMPUTED_VALUE"""),"Virginia")</f>
        <v>Virginia</v>
      </c>
      <c r="C957" s="1" t="str">
        <f>IFERROR(__xludf.DUMMYFUNCTION("""COMPUTED_VALUE"""),"State Proclamations ")</f>
        <v>State Proclamations </v>
      </c>
      <c r="D957" s="1" t="str">
        <f>IFERROR(__xludf.DUMMYFUNCTION("""COMPUTED_VALUE"""),"Opening")</f>
        <v>Opening</v>
      </c>
      <c r="E957" s="1" t="str">
        <f>IFERROR(__xludf.DUMMYFUNCTION("""COMPUTED_VALUE"""),"The governor will ease some restrictions. The limit on indoor social gatherings will increase from 10 to 50 people, while the limit on outdoor gatherings will increase from 25 to 100. Outdoor ceremonies can accommodate up to 5,000 people or 30% of the ven"&amp;"ue’s capacity, and indoor ceremonies are limited to 500 people or 30% capacity.")</f>
        <v>The governor will ease some restrictions. The limit on indoor social gatherings will increase from 10 to 50 people, while the limit on outdoor gatherings will increase from 25 to 100. Outdoor ceremonies can accommodate up to 5,000 people or 30% of the venue’s capacity, and indoor ceremonies are limited to 500 people or 30% capacity.</v>
      </c>
      <c r="F957" s="1" t="str">
        <f>IFERROR(__xludf.DUMMYFUNCTION("""COMPUTED_VALUE"""),"National Academy for State Health Policy")</f>
        <v>National Academy for State Health Policy</v>
      </c>
      <c r="G957" s="3" t="str">
        <f>IFERROR(__xludf.DUMMYFUNCTION("""COMPUTED_VALUE"""),"https://www.nashp.org/2021-covid-19-state-restrictions-re-openings-and-mask-requirements/")</f>
        <v>https://www.nashp.org/2021-covid-19-state-restrictions-re-openings-and-mask-requirements/</v>
      </c>
      <c r="H957" s="1"/>
      <c r="I957" s="1"/>
    </row>
    <row r="958">
      <c r="A958" s="2">
        <f>IFERROR(__xludf.DUMMYFUNCTION("""COMPUTED_VALUE"""),44307.0)</f>
        <v>44307</v>
      </c>
      <c r="B958" s="1" t="str">
        <f>IFERROR(__xludf.DUMMYFUNCTION("""COMPUTED_VALUE"""),"Virginia")</f>
        <v>Virginia</v>
      </c>
      <c r="C958" s="1" t="str">
        <f>IFERROR(__xludf.DUMMYFUNCTION("""COMPUTED_VALUE"""),"State Proclamations ")</f>
        <v>State Proclamations </v>
      </c>
      <c r="D958" s="1" t="str">
        <f>IFERROR(__xludf.DUMMYFUNCTION("""COMPUTED_VALUE"""),"Opening")</f>
        <v>Opening</v>
      </c>
      <c r="E958" s="1" t="str">
        <f>IFERROR(__xludf.DUMMYFUNCTION("""COMPUTED_VALUE"""),"Seating at bars is allowed as long as patrons keep six feet apart.")</f>
        <v>Seating at bars is allowed as long as patrons keep six feet apart.</v>
      </c>
      <c r="F958" s="1" t="str">
        <f>IFERROR(__xludf.DUMMYFUNCTION("""COMPUTED_VALUE"""),"National Academy for State Health Policy")</f>
        <v>National Academy for State Health Policy</v>
      </c>
      <c r="G958" s="3" t="str">
        <f>IFERROR(__xludf.DUMMYFUNCTION("""COMPUTED_VALUE"""),"https://www.nashp.org/2021-covid-19-state-restrictions-re-openings-and-mask-requirements/")</f>
        <v>https://www.nashp.org/2021-covid-19-state-restrictions-re-openings-and-mask-requirements/</v>
      </c>
      <c r="H958" s="1"/>
      <c r="I958" s="1"/>
    </row>
    <row r="959">
      <c r="A959" s="2">
        <f>IFERROR(__xludf.DUMMYFUNCTION("""COMPUTED_VALUE"""),44315.0)</f>
        <v>44315</v>
      </c>
      <c r="B959" s="1" t="str">
        <f>IFERROR(__xludf.DUMMYFUNCTION("""COMPUTED_VALUE"""),"Virginia")</f>
        <v>Virginia</v>
      </c>
      <c r="C959" s="1" t="str">
        <f>IFERROR(__xludf.DUMMYFUNCTION("""COMPUTED_VALUE"""),"State Proclamations ")</f>
        <v>State Proclamations </v>
      </c>
      <c r="D959" s="1" t="str">
        <f>IFERROR(__xludf.DUMMYFUNCTION("""COMPUTED_VALUE"""),"Opening")</f>
        <v>Opening</v>
      </c>
      <c r="E959" s="1" t="str">
        <f>IFERROR(__xludf.DUMMYFUNCTION("""COMPUTED_VALUE"""),"Outdoor sporting events may accommodate up to 1,000 spectators.")</f>
        <v>Outdoor sporting events may accommodate up to 1,000 spectators.</v>
      </c>
      <c r="F959" s="1" t="str">
        <f>IFERROR(__xludf.DUMMYFUNCTION("""COMPUTED_VALUE"""),"National Academy for State Health Policy")</f>
        <v>National Academy for State Health Policy</v>
      </c>
      <c r="G959" s="3" t="str">
        <f>IFERROR(__xludf.DUMMYFUNCTION("""COMPUTED_VALUE"""),"https://www.nashp.org/2021-covid-19-state-restrictions-re-openings-and-mask-requirements/")</f>
        <v>https://www.nashp.org/2021-covid-19-state-restrictions-re-openings-and-mask-requirements/</v>
      </c>
      <c r="H959" s="1"/>
      <c r="I959" s="1"/>
    </row>
    <row r="960">
      <c r="A960" s="2">
        <f>IFERROR(__xludf.DUMMYFUNCTION("""COMPUTED_VALUE"""),44331.0)</f>
        <v>44331</v>
      </c>
      <c r="B960" s="1" t="str">
        <f>IFERROR(__xludf.DUMMYFUNCTION("""COMPUTED_VALUE"""),"Virginia")</f>
        <v>Virginia</v>
      </c>
      <c r="C960" s="1" t="str">
        <f>IFERROR(__xludf.DUMMYFUNCTION("""COMPUTED_VALUE"""),"Mask Mandate")</f>
        <v>Mask Mandate</v>
      </c>
      <c r="D960" s="1" t="str">
        <f>IFERROR(__xludf.DUMMYFUNCTION("""COMPUTED_VALUE"""),"End")</f>
        <v>End</v>
      </c>
      <c r="E960" s="1" t="str">
        <f>IFERROR(__xludf.DUMMYFUNCTION("""COMPUTED_VALUE"""),"On May 15, the governor lifted the mask mandate for most indoor settings, except on public transit, in health care facilities, and in congregate settings")</f>
        <v>On May 15, the governor lifted the mask mandate for most indoor settings, except on public transit, in health care facilities, and in congregate settings</v>
      </c>
      <c r="F960" s="1" t="str">
        <f>IFERROR(__xludf.DUMMYFUNCTION("""COMPUTED_VALUE"""),"National Academy for State Health Policy")</f>
        <v>National Academy for State Health Policy</v>
      </c>
      <c r="G960" s="3" t="str">
        <f>IFERROR(__xludf.DUMMYFUNCTION("""COMPUTED_VALUE"""),"https://www.nashp.org/2021-covid-19-state-restrictions-re-openings-and-mask-requirements/")</f>
        <v>https://www.nashp.org/2021-covid-19-state-restrictions-re-openings-and-mask-requirements/</v>
      </c>
      <c r="H960" s="1"/>
      <c r="I960" s="1"/>
    </row>
    <row r="961">
      <c r="A961" s="2">
        <f>IFERROR(__xludf.DUMMYFUNCTION("""COMPUTED_VALUE"""),44331.0)</f>
        <v>44331</v>
      </c>
      <c r="B961" s="1" t="str">
        <f>IFERROR(__xludf.DUMMYFUNCTION("""COMPUTED_VALUE"""),"Virginia")</f>
        <v>Virginia</v>
      </c>
      <c r="C961" s="1" t="str">
        <f>IFERROR(__xludf.DUMMYFUNCTION("""COMPUTED_VALUE"""),"State Proclamations ")</f>
        <v>State Proclamations </v>
      </c>
      <c r="D961" s="1" t="str">
        <f>IFERROR(__xludf.DUMMYFUNCTION("""COMPUTED_VALUE"""),"Opening")</f>
        <v>Opening</v>
      </c>
      <c r="E961" s="1" t="str">
        <f>IFERROR(__xludf.DUMMYFUNCTION("""COMPUTED_VALUE"""),"The limit on indoor gatherings will increase from 50 to 100 people, while the outdoor limit will increase from 100 to 250 people. Indoor venues will be permitted to operate at the lesser of 50% capacity or 1,000 people, while outdoor venues will be permit"&amp;"ted to operate at 50% capacity. Indoor sports venues will be permitted to allow up to the lesser of 250 spectators or 50% capacity while outdoor sports venues will be permitted to seat the lesser of 1,000 people or 50% capacity. Restaurants will also be a"&amp;"llowed to sell alcohol after midnight.")</f>
        <v>The limit on indoor gatherings will increase from 50 to 100 people, while the outdoor limit will increase from 100 to 250 people. Indoor venues will be permitted to operate at the lesser of 50% capacity or 1,000 people, while outdoor venues will be permitted to operate at 50% capacity. Indoor sports venues will be permitted to allow up to the lesser of 250 spectators or 50% capacity while outdoor sports venues will be permitted to seat the lesser of 1,000 people or 50% capacity. Restaurants will also be allowed to sell alcohol after midnight.</v>
      </c>
      <c r="F961" s="1" t="str">
        <f>IFERROR(__xludf.DUMMYFUNCTION("""COMPUTED_VALUE"""),"National Academy for State Health Policy")</f>
        <v>National Academy for State Health Policy</v>
      </c>
      <c r="G961" s="3" t="str">
        <f>IFERROR(__xludf.DUMMYFUNCTION("""COMPUTED_VALUE"""),"https://www.nashp.org/2021-covid-19-state-restrictions-re-openings-and-mask-requirements/")</f>
        <v>https://www.nashp.org/2021-covid-19-state-restrictions-re-openings-and-mask-requirements/</v>
      </c>
      <c r="H961" s="1"/>
      <c r="I961" s="1"/>
    </row>
    <row r="962">
      <c r="A962" s="2">
        <f>IFERROR(__xludf.DUMMYFUNCTION("""COMPUTED_VALUE"""),44344.0)</f>
        <v>44344</v>
      </c>
      <c r="B962" s="1" t="str">
        <f>IFERROR(__xludf.DUMMYFUNCTION("""COMPUTED_VALUE"""),"Virginia")</f>
        <v>Virginia</v>
      </c>
      <c r="C962" s="1" t="str">
        <f>IFERROR(__xludf.DUMMYFUNCTION("""COMPUTED_VALUE"""),"State Proclamations ")</f>
        <v>State Proclamations </v>
      </c>
      <c r="D962" s="1" t="str">
        <f>IFERROR(__xludf.DUMMYFUNCTION("""COMPUTED_VALUE"""),"Opening")</f>
        <v>Opening</v>
      </c>
      <c r="E962" s="1" t="str">
        <f>IFERROR(__xludf.DUMMYFUNCTION("""COMPUTED_VALUE"""),"All restrictions and social distancing requirements ended.")</f>
        <v>All restrictions and social distancing requirements ended.</v>
      </c>
      <c r="F962" s="1" t="str">
        <f>IFERROR(__xludf.DUMMYFUNCTION("""COMPUTED_VALUE"""),"National Academy for State Health Policy")</f>
        <v>National Academy for State Health Policy</v>
      </c>
      <c r="G962" s="3" t="str">
        <f>IFERROR(__xludf.DUMMYFUNCTION("""COMPUTED_VALUE"""),"https://www.nashp.org/2021-covid-19-state-restrictions-re-openings-and-mask-requirements/")</f>
        <v>https://www.nashp.org/2021-covid-19-state-restrictions-re-openings-and-mask-requirements/</v>
      </c>
      <c r="H962" s="1"/>
      <c r="I962" s="1"/>
    </row>
    <row r="963">
      <c r="A963" s="2">
        <f>IFERROR(__xludf.DUMMYFUNCTION("""COMPUTED_VALUE"""),44377.0)</f>
        <v>44377</v>
      </c>
      <c r="B963" s="1" t="str">
        <f>IFERROR(__xludf.DUMMYFUNCTION("""COMPUTED_VALUE"""),"Virginia")</f>
        <v>Virginia</v>
      </c>
      <c r="C963" s="1" t="str">
        <f>IFERROR(__xludf.DUMMYFUNCTION("""COMPUTED_VALUE"""),"State of Emergency")</f>
        <v>State of Emergency</v>
      </c>
      <c r="D963" s="1" t="str">
        <f>IFERROR(__xludf.DUMMYFUNCTION("""COMPUTED_VALUE"""),"End")</f>
        <v>End</v>
      </c>
      <c r="E963" s="1" t="str">
        <f>IFERROR(__xludf.DUMMYFUNCTION("""COMPUTED_VALUE"""),"State of Emergency expired June 30")</f>
        <v>State of Emergency expired June 30</v>
      </c>
      <c r="F963" s="1" t="str">
        <f>IFERROR(__xludf.DUMMYFUNCTION("""COMPUTED_VALUE"""),"National Academy for State Health Policy")</f>
        <v>National Academy for State Health Policy</v>
      </c>
      <c r="G963" s="3" t="str">
        <f>IFERROR(__xludf.DUMMYFUNCTION("""COMPUTED_VALUE"""),"https://www.nashp.org/2021-covid-19-state-restrictions-re-openings-and-mask-requirements/")</f>
        <v>https://www.nashp.org/2021-covid-19-state-restrictions-re-openings-and-mask-requirements/</v>
      </c>
      <c r="H963" s="1"/>
      <c r="I963" s="1"/>
    </row>
    <row r="964">
      <c r="A964" s="2">
        <f>IFERROR(__xludf.DUMMYFUNCTION("""COMPUTED_VALUE"""),43890.0)</f>
        <v>43890</v>
      </c>
      <c r="B964" s="1" t="str">
        <f>IFERROR(__xludf.DUMMYFUNCTION("""COMPUTED_VALUE"""),"Washington")</f>
        <v>Washington</v>
      </c>
      <c r="C964" s="1" t="str">
        <f>IFERROR(__xludf.DUMMYFUNCTION("""COMPUTED_VALUE"""),"State of Emergency")</f>
        <v>State of Emergency</v>
      </c>
      <c r="D964" s="1" t="str">
        <f>IFERROR(__xludf.DUMMYFUNCTION("""COMPUTED_VALUE"""),"Start")</f>
        <v>Start</v>
      </c>
      <c r="E964" s="1" t="str">
        <f>IFERROR(__xludf.DUMMYFUNCTION("""COMPUTED_VALUE"""),"Gov. Jay Inslee declared a state of emergency in Washington on February 29 after the first coronavirus death was confirmed.")</f>
        <v>Gov. Jay Inslee declared a state of emergency in Washington on February 29 after the first coronavirus death was confirmed.</v>
      </c>
      <c r="F964" s="1" t="str">
        <f>IFERROR(__xludf.DUMMYFUNCTION("""COMPUTED_VALUE"""),"Business Insider")</f>
        <v>Business Insider</v>
      </c>
      <c r="G964" s="3" t="str">
        <f>IFERROR(__xludf.DUMMYFUNCTION("""COMPUTED_VALUE"""),"https://www.businessinsider.com/california-washington-state-of-emergency-coronavirus-what-it-means-2020-3#washington-1")</f>
        <v>https://www.businessinsider.com/california-washington-state-of-emergency-coronavirus-what-it-means-2020-3#washington-1</v>
      </c>
      <c r="H964" s="1"/>
      <c r="I964" s="1"/>
    </row>
    <row r="965">
      <c r="A965" s="2">
        <f>IFERROR(__xludf.DUMMYFUNCTION("""COMPUTED_VALUE"""),43915.0)</f>
        <v>43915</v>
      </c>
      <c r="B965" s="1" t="str">
        <f>IFERROR(__xludf.DUMMYFUNCTION("""COMPUTED_VALUE"""),"Washington")</f>
        <v>Washington</v>
      </c>
      <c r="C965" s="1" t="str">
        <f>IFERROR(__xludf.DUMMYFUNCTION("""COMPUTED_VALUE"""),"Stay-at-Home Order")</f>
        <v>Stay-at-Home Order</v>
      </c>
      <c r="D965" s="1" t="str">
        <f>IFERROR(__xludf.DUMMYFUNCTION("""COMPUTED_VALUE"""),"Start")</f>
        <v>Start</v>
      </c>
      <c r="E965" s="1" t="str">
        <f>IFERROR(__xludf.DUMMYFUNCTION("""COMPUTED_VALUE"""),"Original stay-at-home order begins")</f>
        <v>Original stay-at-home order begins</v>
      </c>
      <c r="F965" s="1" t="str">
        <f>IFERROR(__xludf.DUMMYFUNCTION("""COMPUTED_VALUE"""),"National Academy for State Health Policy")</f>
        <v>National Academy for State Health Policy</v>
      </c>
      <c r="G965" s="3" t="str">
        <f>IFERROR(__xludf.DUMMYFUNCTION("""COMPUTED_VALUE"""),"https://www.nashp.org/2020-state-reopening-chart/")</f>
        <v>https://www.nashp.org/2020-state-reopening-chart/</v>
      </c>
      <c r="H965" s="1"/>
      <c r="I965" s="1"/>
    </row>
    <row r="966">
      <c r="A966" s="2">
        <f>IFERROR(__xludf.DUMMYFUNCTION("""COMPUTED_VALUE"""),43982.0)</f>
        <v>43982</v>
      </c>
      <c r="B966" s="1" t="str">
        <f>IFERROR(__xludf.DUMMYFUNCTION("""COMPUTED_VALUE"""),"Washington")</f>
        <v>Washington</v>
      </c>
      <c r="C966" s="1" t="str">
        <f>IFERROR(__xludf.DUMMYFUNCTION("""COMPUTED_VALUE"""),"Stay-at-Home Order")</f>
        <v>Stay-at-Home Order</v>
      </c>
      <c r="D966" s="1" t="str">
        <f>IFERROR(__xludf.DUMMYFUNCTION("""COMPUTED_VALUE"""),"End")</f>
        <v>End</v>
      </c>
      <c r="E966" s="1" t="str">
        <f>IFERROR(__xludf.DUMMYFUNCTION("""COMPUTED_VALUE"""),"Original stay-at-home order ends")</f>
        <v>Original stay-at-home order ends</v>
      </c>
      <c r="F966" s="1" t="str">
        <f>IFERROR(__xludf.DUMMYFUNCTION("""COMPUTED_VALUE"""),"National Academy for State Health Policy")</f>
        <v>National Academy for State Health Policy</v>
      </c>
      <c r="G966" s="3" t="str">
        <f>IFERROR(__xludf.DUMMYFUNCTION("""COMPUTED_VALUE"""),"https://www.nashp.org/2020-state-reopening-chart/")</f>
        <v>https://www.nashp.org/2020-state-reopening-chart/</v>
      </c>
      <c r="H966" s="1"/>
      <c r="I966" s="1"/>
    </row>
    <row r="967">
      <c r="A967" s="2">
        <f>IFERROR(__xludf.DUMMYFUNCTION("""COMPUTED_VALUE"""),43982.0)</f>
        <v>43982</v>
      </c>
      <c r="B967" s="1" t="str">
        <f>IFERROR(__xludf.DUMMYFUNCTION("""COMPUTED_VALUE"""),"Washington")</f>
        <v>Washington</v>
      </c>
      <c r="C967" s="1" t="str">
        <f>IFERROR(__xludf.DUMMYFUNCTION("""COMPUTED_VALUE"""),"State Proclamations ")</f>
        <v>State Proclamations </v>
      </c>
      <c r="D967" s="1" t="str">
        <f>IFERROR(__xludf.DUMMYFUNCTION("""COMPUTED_VALUE"""),"Opening")</f>
        <v>Opening</v>
      </c>
      <c r="E967" s="1" t="str">
        <f>IFERROR(__xludf.DUMMYFUNCTION("""COMPUTED_VALUE"""),"Washington has reopened retail stores, restaurant dining, personal care services, gyms, and houses of worship in most counties. Casinos and state parks are open statewide. The state allows gatherings of up to 50 people, nonessential travel, restaurants at"&amp;" 75% capacity, bars at 25% capacity, and 50% capacity for gyms, recreational facilities, and movie theatres in counties eligible for Phase 3. Nonessential medical procedures resumed May 18.")</f>
        <v>Washington has reopened retail stores, restaurant dining, personal care services, gyms, and houses of worship in most counties. Casinos and state parks are open statewide. The state allows gatherings of up to 50 people, nonessential travel, restaurants at 75% capacity, bars at 25% capacity, and 50% capacity for gyms, recreational facilities, and movie theatres in counties eligible for Phase 3. Nonessential medical procedures resumed May 18.</v>
      </c>
      <c r="F967" s="1" t="str">
        <f>IFERROR(__xludf.DUMMYFUNCTION("""COMPUTED_VALUE"""),"National Academy for State Health Policy")</f>
        <v>National Academy for State Health Policy</v>
      </c>
      <c r="G967" s="3" t="str">
        <f>IFERROR(__xludf.DUMMYFUNCTION("""COMPUTED_VALUE"""),"https://www.nashp.org/2020-state-reopening-chart/")</f>
        <v>https://www.nashp.org/2020-state-reopening-chart/</v>
      </c>
      <c r="H967" s="1"/>
      <c r="I967" s="1"/>
    </row>
    <row r="968">
      <c r="A968" s="2">
        <f>IFERROR(__xludf.DUMMYFUNCTION("""COMPUTED_VALUE"""),44008.0)</f>
        <v>44008</v>
      </c>
      <c r="B968" s="1" t="str">
        <f>IFERROR(__xludf.DUMMYFUNCTION("""COMPUTED_VALUE"""),"Washington")</f>
        <v>Washington</v>
      </c>
      <c r="C968" s="1" t="str">
        <f>IFERROR(__xludf.DUMMYFUNCTION("""COMPUTED_VALUE"""),"Mask Mandate")</f>
        <v>Mask Mandate</v>
      </c>
      <c r="D968" s="1" t="str">
        <f>IFERROR(__xludf.DUMMYFUNCTION("""COMPUTED_VALUE"""),"Start")</f>
        <v>Start</v>
      </c>
      <c r="E968" s="1" t="str">
        <f>IFERROR(__xludf.DUMMYFUNCTION("""COMPUTED_VALUE"""),"Gov. Jay Inslee instituted a mask mandate that requires everyone to wear a mask or face covering in an indoor public space and in outdoor public spaces where social distancing isn't possible.")</f>
        <v>Gov. Jay Inslee instituted a mask mandate that requires everyone to wear a mask or face covering in an indoor public space and in outdoor public spaces where social distancing isn't possible.</v>
      </c>
      <c r="F968" s="1" t="str">
        <f>IFERROR(__xludf.DUMMYFUNCTION("""COMPUTED_VALUE"""),"CNN")</f>
        <v>CNN</v>
      </c>
      <c r="G968" s="3" t="str">
        <f>IFERROR(__xludf.DUMMYFUNCTION("""COMPUTED_VALUE"""),"https://www.cnn.com/2020/06/19/us/states-face-mask-coronavirus-trnd/index.html")</f>
        <v>https://www.cnn.com/2020/06/19/us/states-face-mask-coronavirus-trnd/index.html</v>
      </c>
      <c r="H968" s="1"/>
      <c r="I968" s="1"/>
    </row>
    <row r="969">
      <c r="A969" s="2">
        <f>IFERROR(__xludf.DUMMYFUNCTION("""COMPUTED_VALUE"""),44010.0)</f>
        <v>44010</v>
      </c>
      <c r="B969" s="1" t="str">
        <f>IFERROR(__xludf.DUMMYFUNCTION("""COMPUTED_VALUE"""),"Washington")</f>
        <v>Washington</v>
      </c>
      <c r="C969" s="1" t="str">
        <f>IFERROR(__xludf.DUMMYFUNCTION("""COMPUTED_VALUE"""),"State Proclamations ")</f>
        <v>State Proclamations </v>
      </c>
      <c r="D969" s="1" t="str">
        <f>IFERROR(__xludf.DUMMYFUNCTION("""COMPUTED_VALUE"""),"Closing")</f>
        <v>Closing</v>
      </c>
      <c r="E969" s="1" t="str">
        <f>IFERROR(__xludf.DUMMYFUNCTION("""COMPUTED_VALUE"""),"Due to a surge of new cases, the governor froze the state’s reopening plan. Eight counties were eligible to move to Phase 4 (return to normal activity with physical distancing) but will instead stay in Phase 3 until at least July 28.")</f>
        <v>Due to a surge of new cases, the governor froze the state’s reopening plan. Eight counties were eligible to move to Phase 4 (return to normal activity with physical distancing) but will instead stay in Phase 3 until at least July 28.</v>
      </c>
      <c r="F969" s="1" t="str">
        <f>IFERROR(__xludf.DUMMYFUNCTION("""COMPUTED_VALUE"""),"National Academy for State Health Policy")</f>
        <v>National Academy for State Health Policy</v>
      </c>
      <c r="G969" s="3" t="str">
        <f>IFERROR(__xludf.DUMMYFUNCTION("""COMPUTED_VALUE"""),"https://www.nashp.org/2020-state-reopening-chart/")</f>
        <v>https://www.nashp.org/2020-state-reopening-chart/</v>
      </c>
      <c r="H969" s="1"/>
      <c r="I969" s="1"/>
    </row>
    <row r="970">
      <c r="A970" s="2">
        <f>IFERROR(__xludf.DUMMYFUNCTION("""COMPUTED_VALUE"""),44032.0)</f>
        <v>44032</v>
      </c>
      <c r="B970" s="1" t="str">
        <f>IFERROR(__xludf.DUMMYFUNCTION("""COMPUTED_VALUE"""),"Washington")</f>
        <v>Washington</v>
      </c>
      <c r="C970" s="1" t="str">
        <f>IFERROR(__xludf.DUMMYFUNCTION("""COMPUTED_VALUE"""),"State Proclamations ")</f>
        <v>State Proclamations </v>
      </c>
      <c r="D970" s="1" t="str">
        <f>IFERROR(__xludf.DUMMYFUNCTION("""COMPUTED_VALUE"""),"Closing")</f>
        <v>Closing</v>
      </c>
      <c r="E970" s="1" t="str">
        <f>IFERROR(__xludf.DUMMYFUNCTION("""COMPUTED_VALUE"""),"Live entretainment is prohibited statewide and gathering limits reduced to 10 people in counties that are the farthest toward reopening.")</f>
        <v>Live entretainment is prohibited statewide and gathering limits reduced to 10 people in counties that are the farthest toward reopening.</v>
      </c>
      <c r="F970" s="1" t="str">
        <f>IFERROR(__xludf.DUMMYFUNCTION("""COMPUTED_VALUE"""),"National Academy for State Health Policy")</f>
        <v>National Academy for State Health Policy</v>
      </c>
      <c r="G970" s="3" t="str">
        <f>IFERROR(__xludf.DUMMYFUNCTION("""COMPUTED_VALUE"""),"https://www.nashp.org/2020-state-reopening-chart/")</f>
        <v>https://www.nashp.org/2020-state-reopening-chart/</v>
      </c>
      <c r="H970" s="1"/>
      <c r="I970" s="1"/>
    </row>
    <row r="971">
      <c r="A971" s="2">
        <f>IFERROR(__xludf.DUMMYFUNCTION("""COMPUTED_VALUE"""),44047.0)</f>
        <v>44047</v>
      </c>
      <c r="B971" s="1" t="str">
        <f>IFERROR(__xludf.DUMMYFUNCTION("""COMPUTED_VALUE"""),"Washington")</f>
        <v>Washington</v>
      </c>
      <c r="C971" s="1" t="str">
        <f>IFERROR(__xludf.DUMMYFUNCTION("""COMPUTED_VALUE"""),"State Proclamations ")</f>
        <v>State Proclamations </v>
      </c>
      <c r="D971" s="1" t="str">
        <f>IFERROR(__xludf.DUMMYFUNCTION("""COMPUTED_VALUE"""),"Closing")</f>
        <v>Closing</v>
      </c>
      <c r="E971" s="1" t="str">
        <f>IFERROR(__xludf.DUMMYFUNCTION("""COMPUTED_VALUE"""),"The governor extended the pause on reopening indefinitely, prohibiting any country from moving to the next phase.")</f>
        <v>The governor extended the pause on reopening indefinitely, prohibiting any country from moving to the next phase.</v>
      </c>
      <c r="F971" s="1" t="str">
        <f>IFERROR(__xludf.DUMMYFUNCTION("""COMPUTED_VALUE"""),"National Academy for State Health Policy")</f>
        <v>National Academy for State Health Policy</v>
      </c>
      <c r="G971" s="3" t="str">
        <f>IFERROR(__xludf.DUMMYFUNCTION("""COMPUTED_VALUE"""),"https://www.nashp.org/2020-state-reopening-chart/")</f>
        <v>https://www.nashp.org/2020-state-reopening-chart/</v>
      </c>
      <c r="H971" s="1"/>
      <c r="I971" s="1"/>
    </row>
    <row r="972">
      <c r="A972" s="2">
        <f>IFERROR(__xludf.DUMMYFUNCTION("""COMPUTED_VALUE"""),44063.0)</f>
        <v>44063</v>
      </c>
      <c r="B972" s="1" t="str">
        <f>IFERROR(__xludf.DUMMYFUNCTION("""COMPUTED_VALUE"""),"Washington")</f>
        <v>Washington</v>
      </c>
      <c r="C972" s="1" t="str">
        <f>IFERROR(__xludf.DUMMYFUNCTION("""COMPUTED_VALUE"""),"State Proclamations ")</f>
        <v>State Proclamations </v>
      </c>
      <c r="D972" s="1" t="str">
        <f>IFERROR(__xludf.DUMMYFUNCTION("""COMPUTED_VALUE"""),"Opening")</f>
        <v>Opening</v>
      </c>
      <c r="E972" s="1" t="str">
        <f>IFERROR(__xludf.DUMMYFUNCTION("""COMPUTED_VALUE"""),"Allowed museums to reopen in counties that had reached the second or third phases of reopening. Bowling leagues could also resume in those counties with additional guidelines.")</f>
        <v>Allowed museums to reopen in counties that had reached the second or third phases of reopening. Bowling leagues could also resume in those counties with additional guidelines.</v>
      </c>
      <c r="F972" s="1" t="str">
        <f>IFERROR(__xludf.DUMMYFUNCTION("""COMPUTED_VALUE"""),"National Academy for State Health Policy")</f>
        <v>National Academy for State Health Policy</v>
      </c>
      <c r="G972" s="3" t="str">
        <f>IFERROR(__xludf.DUMMYFUNCTION("""COMPUTED_VALUE"""),"https://www.nashp.org/2020-state-reopening-chart/")</f>
        <v>https://www.nashp.org/2020-state-reopening-chart/</v>
      </c>
      <c r="H972" s="1"/>
      <c r="I972" s="1"/>
    </row>
    <row r="973">
      <c r="A973" s="2">
        <f>IFERROR(__xludf.DUMMYFUNCTION("""COMPUTED_VALUE"""),44085.0)</f>
        <v>44085</v>
      </c>
      <c r="B973" s="1" t="str">
        <f>IFERROR(__xludf.DUMMYFUNCTION("""COMPUTED_VALUE"""),"Washington")</f>
        <v>Washington</v>
      </c>
      <c r="C973" s="1" t="str">
        <f>IFERROR(__xludf.DUMMYFUNCTION("""COMPUTED_VALUE"""),"State Proclamations ")</f>
        <v>State Proclamations </v>
      </c>
      <c r="D973" s="1" t="str">
        <f>IFERROR(__xludf.DUMMYFUNCTION("""COMPUTED_VALUE"""),"Opening")</f>
        <v>Opening</v>
      </c>
      <c r="E973" s="1" t="str">
        <f>IFERROR(__xludf.DUMMYFUNCTION("""COMPUTED_VALUE"""),"Gyms in all counties were allowed to reopen.")</f>
        <v>Gyms in all counties were allowed to reopen.</v>
      </c>
      <c r="F973" s="1" t="str">
        <f>IFERROR(__xludf.DUMMYFUNCTION("""COMPUTED_VALUE"""),"National Academy for State Health Policy")</f>
        <v>National Academy for State Health Policy</v>
      </c>
      <c r="G973" s="3" t="str">
        <f>IFERROR(__xludf.DUMMYFUNCTION("""COMPUTED_VALUE"""),"https://www.nashp.org/2020-state-reopening-chart/")</f>
        <v>https://www.nashp.org/2020-state-reopening-chart/</v>
      </c>
      <c r="H973" s="1"/>
      <c r="I973" s="1"/>
    </row>
    <row r="974">
      <c r="A974" s="2">
        <f>IFERROR(__xludf.DUMMYFUNCTION("""COMPUTED_VALUE"""),44110.0)</f>
        <v>44110</v>
      </c>
      <c r="B974" s="1" t="str">
        <f>IFERROR(__xludf.DUMMYFUNCTION("""COMPUTED_VALUE"""),"Washington")</f>
        <v>Washington</v>
      </c>
      <c r="C974" s="1" t="str">
        <f>IFERROR(__xludf.DUMMYFUNCTION("""COMPUTED_VALUE"""),"State Proclamations ")</f>
        <v>State Proclamations </v>
      </c>
      <c r="D974" s="1" t="str">
        <f>IFERROR(__xludf.DUMMYFUNCTION("""COMPUTED_VALUE"""),"Opening")</f>
        <v>Opening</v>
      </c>
      <c r="E974" s="1" t="str">
        <f>IFERROR(__xludf.DUMMYFUNCTION("""COMPUTED_VALUE"""),"Theaters in counties in Phase 2 may operate at 25% capacity and theaters in Phase 3 may operate at 50% capacity, restaurants in Phase 2 can allow up to six people to sit together at a table and restaurants in Phase 3 can allow up to eight, and libraries i"&amp;"n counties in Phase 2 can reopen at 25% capacity.")</f>
        <v>Theaters in counties in Phase 2 may operate at 25% capacity and theaters in Phase 3 may operate at 50% capacity, restaurants in Phase 2 can allow up to six people to sit together at a table and restaurants in Phase 3 can allow up to eight, and libraries in counties in Phase 2 can reopen at 25% capacity.</v>
      </c>
      <c r="F974" s="1" t="str">
        <f>IFERROR(__xludf.DUMMYFUNCTION("""COMPUTED_VALUE"""),"National Academy for State Health Policy")</f>
        <v>National Academy for State Health Policy</v>
      </c>
      <c r="G974" s="3" t="str">
        <f>IFERROR(__xludf.DUMMYFUNCTION("""COMPUTED_VALUE"""),"https://www.nashp.org/2020-state-reopening-chart/")</f>
        <v>https://www.nashp.org/2020-state-reopening-chart/</v>
      </c>
      <c r="H974" s="1"/>
      <c r="I974" s="1"/>
    </row>
    <row r="975">
      <c r="A975" s="2">
        <f>IFERROR(__xludf.DUMMYFUNCTION("""COMPUTED_VALUE"""),44117.0)</f>
        <v>44117</v>
      </c>
      <c r="B975" s="1" t="str">
        <f>IFERROR(__xludf.DUMMYFUNCTION("""COMPUTED_VALUE"""),"Washington")</f>
        <v>Washington</v>
      </c>
      <c r="C975" s="1" t="str">
        <f>IFERROR(__xludf.DUMMYFUNCTION("""COMPUTED_VALUE"""),"State Proclamations ")</f>
        <v>State Proclamations </v>
      </c>
      <c r="D975" s="1" t="str">
        <f>IFERROR(__xludf.DUMMYFUNCTION("""COMPUTED_VALUE"""),"Opening")</f>
        <v>Opening</v>
      </c>
      <c r="E975" s="1" t="str">
        <f>IFERROR(__xludf.DUMMYFUNCTION("""COMPUTED_VALUE"""),"The governor eased restrictions in five counties, allowing them to enter Phase 2 of reopening.")</f>
        <v>The governor eased restrictions in five counties, allowing them to enter Phase 2 of reopening.</v>
      </c>
      <c r="F975" s="1" t="str">
        <f>IFERROR(__xludf.DUMMYFUNCTION("""COMPUTED_VALUE"""),"National Academy for State Health Policy")</f>
        <v>National Academy for State Health Policy</v>
      </c>
      <c r="G975" s="3" t="str">
        <f>IFERROR(__xludf.DUMMYFUNCTION("""COMPUTED_VALUE"""),"https://www.nashp.org/2020-state-reopening-chart/")</f>
        <v>https://www.nashp.org/2020-state-reopening-chart/</v>
      </c>
      <c r="H975" s="1"/>
      <c r="I975" s="1"/>
    </row>
    <row r="976">
      <c r="A976" s="2">
        <f>IFERROR(__xludf.DUMMYFUNCTION("""COMPUTED_VALUE"""),44151.0)</f>
        <v>44151</v>
      </c>
      <c r="B976" s="1" t="str">
        <f>IFERROR(__xludf.DUMMYFUNCTION("""COMPUTED_VALUE"""),"Washington")</f>
        <v>Washington</v>
      </c>
      <c r="C976" s="1" t="str">
        <f>IFERROR(__xludf.DUMMYFUNCTION("""COMPUTED_VALUE"""),"State Proclamations ")</f>
        <v>State Proclamations </v>
      </c>
      <c r="D976" s="1" t="str">
        <f>IFERROR(__xludf.DUMMYFUNCTION("""COMPUTED_VALUE"""),"Closing")</f>
        <v>Closing</v>
      </c>
      <c r="E976" s="1" t="str">
        <f>IFERROR(__xludf.DUMMYFUNCTION("""COMPUTED_VALUE"""),"Through Dec. 14, indoor social gatherings with members of other households will be prohibited unless participants have quarantined and/or have proof of a recent negative COVID-19 test, outdoor social gatherings will be limited to no more than five people,"&amp;" in-store retail - including grocery stores - will be limited to 25% of capacity, and religious services will be limited to 25% of indoor capacity or 200 people, whichever is smaller, with choirs and bands forbidden.")</f>
        <v>Through Dec. 14, indoor social gatherings with members of other households will be prohibited unless participants have quarantined and/or have proof of a recent negative COVID-19 test, outdoor social gatherings will be limited to no more than five people, in-store retail - including grocery stores - will be limited to 25% of capacity, and religious services will be limited to 25% of indoor capacity or 200 people, whichever is smaller, with choirs and bands forbidden.</v>
      </c>
      <c r="F976" s="1" t="str">
        <f>IFERROR(__xludf.DUMMYFUNCTION("""COMPUTED_VALUE"""),"National Academy for State Health Policy")</f>
        <v>National Academy for State Health Policy</v>
      </c>
      <c r="G976" s="3" t="str">
        <f>IFERROR(__xludf.DUMMYFUNCTION("""COMPUTED_VALUE"""),"https://www.nashp.org/2020-state-reopening-chart/")</f>
        <v>https://www.nashp.org/2020-state-reopening-chart/</v>
      </c>
      <c r="H976" s="1"/>
      <c r="I976" s="1"/>
    </row>
    <row r="977">
      <c r="A977" s="2">
        <f>IFERROR(__xludf.DUMMYFUNCTION("""COMPUTED_VALUE"""),44174.0)</f>
        <v>44174</v>
      </c>
      <c r="B977" s="1" t="str">
        <f>IFERROR(__xludf.DUMMYFUNCTION("""COMPUTED_VALUE"""),"Washington")</f>
        <v>Washington</v>
      </c>
      <c r="C977" s="1" t="str">
        <f>IFERROR(__xludf.DUMMYFUNCTION("""COMPUTED_VALUE"""),"State Proclamations ")</f>
        <v>State Proclamations </v>
      </c>
      <c r="D977" s="1" t="str">
        <f>IFERROR(__xludf.DUMMYFUNCTION("""COMPUTED_VALUE"""),"Closing")</f>
        <v>Closing</v>
      </c>
      <c r="E977" s="1" t="str">
        <f>IFERROR(__xludf.DUMMYFUNCTION("""COMPUTED_VALUE"""),"The governor extended COVID-19 restrictions through Jan. 4, 2021. Outdoor gatherings are limited to five people and indoor gatherings are prohibited with people outside of a person's household unless they have quarantined for a week and received a negativ"&amp;"e COVID-19 test.")</f>
        <v>The governor extended COVID-19 restrictions through Jan. 4, 2021. Outdoor gatherings are limited to five people and indoor gatherings are prohibited with people outside of a person's household unless they have quarantined for a week and received a negative COVID-19 test.</v>
      </c>
      <c r="F977" s="1" t="str">
        <f>IFERROR(__xludf.DUMMYFUNCTION("""COMPUTED_VALUE"""),"National Academy for State Health Policy")</f>
        <v>National Academy for State Health Policy</v>
      </c>
      <c r="G977" s="3" t="str">
        <f>IFERROR(__xludf.DUMMYFUNCTION("""COMPUTED_VALUE"""),"https://www.nashp.org/2020-state-reopening-chart/")</f>
        <v>https://www.nashp.org/2020-state-reopening-chart/</v>
      </c>
      <c r="H977" s="1"/>
      <c r="I977" s="1"/>
    </row>
    <row r="978">
      <c r="A978" s="2">
        <f>IFERROR(__xludf.DUMMYFUNCTION("""COMPUTED_VALUE"""),44188.0)</f>
        <v>44188</v>
      </c>
      <c r="B978" s="1" t="str">
        <f>IFERROR(__xludf.DUMMYFUNCTION("""COMPUTED_VALUE"""),"Washington")</f>
        <v>Washington</v>
      </c>
      <c r="C978" s="1" t="str">
        <f>IFERROR(__xludf.DUMMYFUNCTION("""COMPUTED_VALUE"""),"State Proclamations ")</f>
        <v>State Proclamations </v>
      </c>
      <c r="D978" s="1" t="str">
        <f>IFERROR(__xludf.DUMMYFUNCTION("""COMPUTED_VALUE"""),"Opening")</f>
        <v>Opening</v>
      </c>
      <c r="E978" s="1" t="str">
        <f>IFERROR(__xludf.DUMMYFUNCTION("""COMPUTED_VALUE"""),"Until Jan. 2, households can gather with one other household, temporarily lifting a ban on multi-household gatherings for the holidays. If a gathering occurs that involves a household from outside Vermont, all participants must quarantine for 14 days. Par"&amp;"ticipants can end their quarantine early if they receive a negative COVID-19 test taken no earlier than seven days into the quarantine.")</f>
        <v>Until Jan. 2, households can gather with one other household, temporarily lifting a ban on multi-household gatherings for the holidays. If a gathering occurs that involves a household from outside Vermont, all participants must quarantine for 14 days. Participants can end their quarantine early if they receive a negative COVID-19 test taken no earlier than seven days into the quarantine.</v>
      </c>
      <c r="F978" s="1" t="str">
        <f>IFERROR(__xludf.DUMMYFUNCTION("""COMPUTED_VALUE"""),"National Academy for State Health Policy")</f>
        <v>National Academy for State Health Policy</v>
      </c>
      <c r="G978" s="3" t="str">
        <f>IFERROR(__xludf.DUMMYFUNCTION("""COMPUTED_VALUE"""),"https://www.nashp.org/2020-state-reopening-chart/")</f>
        <v>https://www.nashp.org/2020-state-reopening-chart/</v>
      </c>
      <c r="H978" s="1"/>
      <c r="I978" s="1"/>
    </row>
    <row r="979">
      <c r="A979" s="2">
        <f>IFERROR(__xludf.DUMMYFUNCTION("""COMPUTED_VALUE"""),44195.0)</f>
        <v>44195</v>
      </c>
      <c r="B979" s="1" t="str">
        <f>IFERROR(__xludf.DUMMYFUNCTION("""COMPUTED_VALUE"""),"Washington")</f>
        <v>Washington</v>
      </c>
      <c r="C979" s="1" t="str">
        <f>IFERROR(__xludf.DUMMYFUNCTION("""COMPUTED_VALUE"""),"State Proclamations ")</f>
        <v>State Proclamations </v>
      </c>
      <c r="D979" s="1" t="str">
        <f>IFERROR(__xludf.DUMMYFUNCTION("""COMPUTED_VALUE"""),"Closing")</f>
        <v>Closing</v>
      </c>
      <c r="E979" s="1" t="str">
        <f>IFERROR(__xludf.DUMMYFUNCTION("""COMPUTED_VALUE"""),"The governor issued an order with additional restrictions in effect until Jan. 11. Under the order, indoor social gatherings with people from outside a household are prohibited unless they (a) quarantine for fourteen days (14) prior to the social gatherin"&amp;"g; or (b) quarantine for seven (7) days prior to the social gathering and receive a negative COVID-19 test result no more than 48-hours prior to the gathering; outdoor social gatherings shall be limited to five (5) people from outside a household; restaur"&amp;"ants and bars are closed for indoor dine-in service; and indoor business are either closed or must have limitted capacity, depending on the nature of the business.")</f>
        <v>The governor issued an order with additional restrictions in effect until Jan. 11. Under the order, indoor social gatherings with people from outside a household are prohibited unless they (a) quarantine for fourteen days (14) prior to the social gathering; or (b) quarantine for seven (7) days prior to the social gathering and receive a negative COVID-19 test result no more than 48-hours prior to the gathering; outdoor social gatherings shall be limited to five (5) people from outside a household; restaurants and bars are closed for indoor dine-in service; and indoor business are either closed or must have limitted capacity, depending on the nature of the business.</v>
      </c>
      <c r="F979" s="1" t="str">
        <f>IFERROR(__xludf.DUMMYFUNCTION("""COMPUTED_VALUE"""),"National Academy for State Health Policy")</f>
        <v>National Academy for State Health Policy</v>
      </c>
      <c r="G979" s="3" t="str">
        <f>IFERROR(__xludf.DUMMYFUNCTION("""COMPUTED_VALUE"""),"https://www.nashp.org/2020-state-reopening-chart/")</f>
        <v>https://www.nashp.org/2020-state-reopening-chart/</v>
      </c>
      <c r="H979" s="1"/>
      <c r="I979" s="1"/>
    </row>
    <row r="980">
      <c r="A980" s="2">
        <f>IFERROR(__xludf.DUMMYFUNCTION("""COMPUTED_VALUE"""),44207.0)</f>
        <v>44207</v>
      </c>
      <c r="B980" s="1" t="str">
        <f>IFERROR(__xludf.DUMMYFUNCTION("""COMPUTED_VALUE"""),"Washington")</f>
        <v>Washington</v>
      </c>
      <c r="C980" s="1" t="str">
        <f>IFERROR(__xludf.DUMMYFUNCTION("""COMPUTED_VALUE"""),"State Proclamations ")</f>
        <v>State Proclamations </v>
      </c>
      <c r="D980" s="1" t="str">
        <f>IFERROR(__xludf.DUMMYFUNCTION("""COMPUTED_VALUE"""),"Opening")</f>
        <v>Opening</v>
      </c>
      <c r="E980" s="1" t="str">
        <f>IFERROR(__xludf.DUMMYFUNCTION("""COMPUTED_VALUE"""),"A new plan for lifting coronavirus restrictions, “Healthy Washington,” goes into effect. The new two-phased plan, which divides the state into eight regions, replaces the previous county-level reopening plan. Each region begins in Phase 1, which limits ca"&amp;"pacity at gyms and prohibits indoor dining and at-home indoor gatherings with people outside the household. Phase 2 eases restrictions, which includes allowing restaurants to reopen at 50%.")</f>
        <v>A new plan for lifting coronavirus restrictions, “Healthy Washington,” goes into effect. The new two-phased plan, which divides the state into eight regions, replaces the previous county-level reopening plan. Each region begins in Phase 1, which limits capacity at gyms and prohibits indoor dining and at-home indoor gatherings with people outside the household. Phase 2 eases restrictions, which includes allowing restaurants to reopen at 50%.</v>
      </c>
      <c r="F980" s="1" t="str">
        <f>IFERROR(__xludf.DUMMYFUNCTION("""COMPUTED_VALUE"""),"National Academy for State Health Policy")</f>
        <v>National Academy for State Health Policy</v>
      </c>
      <c r="G980" s="3" t="str">
        <f>IFERROR(__xludf.DUMMYFUNCTION("""COMPUTED_VALUE"""),"https://www.nashp.org/2021-covid-19-state-restrictions-re-openings-and-mask-requirements/")</f>
        <v>https://www.nashp.org/2021-covid-19-state-restrictions-re-openings-and-mask-requirements/</v>
      </c>
      <c r="H980" s="1"/>
      <c r="I980" s="1"/>
    </row>
    <row r="981">
      <c r="A981" s="2">
        <f>IFERROR(__xludf.DUMMYFUNCTION("""COMPUTED_VALUE"""),44228.0)</f>
        <v>44228</v>
      </c>
      <c r="B981" s="1" t="str">
        <f>IFERROR(__xludf.DUMMYFUNCTION("""COMPUTED_VALUE"""),"Washington")</f>
        <v>Washington</v>
      </c>
      <c r="C981" s="1" t="str">
        <f>IFERROR(__xludf.DUMMYFUNCTION("""COMPUTED_VALUE"""),"State Proclamations ")</f>
        <v>State Proclamations </v>
      </c>
      <c r="D981" s="1" t="str">
        <f>IFERROR(__xludf.DUMMYFUNCTION("""COMPUTED_VALUE"""),"Opening")</f>
        <v>Opening</v>
      </c>
      <c r="E981" s="1" t="str">
        <f>IFERROR(__xludf.DUMMYFUNCTION("""COMPUTED_VALUE"""),"Two of the state's eight regions moved to Phase 2 of the Roadmap to Recovery reopening plan after Gov. Jay Inslee altered the criteria for regions to move between phases. Under the new plan, regions only need to meet two of the four public health metrics "&amp;"to move into Phase 2, instead of all four. Under Phase 2, indoor dining can resume at 25% capacity, while gyms and entertainment venues, like bowling alleys, can reopen at 25% capacity.")</f>
        <v>Two of the state's eight regions moved to Phase 2 of the Roadmap to Recovery reopening plan after Gov. Jay Inslee altered the criteria for regions to move between phases. Under the new plan, regions only need to meet two of the four public health metrics to move into Phase 2, instead of all four. Under Phase 2, indoor dining can resume at 25% capacity, while gyms and entertainment venues, like bowling alleys, can reopen at 25% capacity.</v>
      </c>
      <c r="F981" s="1" t="str">
        <f>IFERROR(__xludf.DUMMYFUNCTION("""COMPUTED_VALUE"""),"National Academy for State Health Policy")</f>
        <v>National Academy for State Health Policy</v>
      </c>
      <c r="G981" s="3" t="str">
        <f>IFERROR(__xludf.DUMMYFUNCTION("""COMPUTED_VALUE"""),"https://www.nashp.org/2021-covid-19-state-restrictions-re-openings-and-mask-requirements/")</f>
        <v>https://www.nashp.org/2021-covid-19-state-restrictions-re-openings-and-mask-requirements/</v>
      </c>
      <c r="H981" s="1"/>
      <c r="I981" s="1"/>
    </row>
    <row r="982">
      <c r="A982" s="2">
        <f>IFERROR(__xludf.DUMMYFUNCTION("""COMPUTED_VALUE"""),44241.0)</f>
        <v>44241</v>
      </c>
      <c r="B982" s="1" t="str">
        <f>IFERROR(__xludf.DUMMYFUNCTION("""COMPUTED_VALUE"""),"Washington")</f>
        <v>Washington</v>
      </c>
      <c r="C982" s="1" t="str">
        <f>IFERROR(__xludf.DUMMYFUNCTION("""COMPUTED_VALUE"""),"State Proclamations ")</f>
        <v>State Proclamations </v>
      </c>
      <c r="D982" s="1" t="str">
        <f>IFERROR(__xludf.DUMMYFUNCTION("""COMPUTED_VALUE"""),"Opening")</f>
        <v>Opening</v>
      </c>
      <c r="E982" s="1" t="str">
        <f>IFERROR(__xludf.DUMMYFUNCTION("""COMPUTED_VALUE"""),"Five of the eight regions in Washington’s reopening plan advanced to the second phase on Sunday, Feb. 14. Only the South Central region, comprising six of the state’s 39 counties, remains in the first phase (most restrictive).")</f>
        <v>Five of the eight regions in Washington’s reopening plan advanced to the second phase on Sunday, Feb. 14. Only the South Central region, comprising six of the state’s 39 counties, remains in the first phase (most restrictive).</v>
      </c>
      <c r="F982" s="1" t="str">
        <f>IFERROR(__xludf.DUMMYFUNCTION("""COMPUTED_VALUE"""),"National Academy for State Health Policy")</f>
        <v>National Academy for State Health Policy</v>
      </c>
      <c r="G982" s="3" t="str">
        <f>IFERROR(__xludf.DUMMYFUNCTION("""COMPUTED_VALUE"""),"https://www.nashp.org/2021-covid-19-state-restrictions-re-openings-and-mask-requirements/")</f>
        <v>https://www.nashp.org/2021-covid-19-state-restrictions-re-openings-and-mask-requirements/</v>
      </c>
      <c r="H982" s="1"/>
      <c r="I982" s="1"/>
    </row>
    <row r="983">
      <c r="A983" s="2">
        <f>IFERROR(__xludf.DUMMYFUNCTION("""COMPUTED_VALUE"""),44277.0)</f>
        <v>44277</v>
      </c>
      <c r="B983" s="1" t="str">
        <f>IFERROR(__xludf.DUMMYFUNCTION("""COMPUTED_VALUE"""),"Washington")</f>
        <v>Washington</v>
      </c>
      <c r="C983" s="1" t="str">
        <f>IFERROR(__xludf.DUMMYFUNCTION("""COMPUTED_VALUE"""),"State Proclamations ")</f>
        <v>State Proclamations </v>
      </c>
      <c r="D983" s="1" t="str">
        <f>IFERROR(__xludf.DUMMYFUNCTION("""COMPUTED_VALUE"""),"Opening")</f>
        <v>Opening</v>
      </c>
      <c r="E983" s="1" t="str">
        <f>IFERROR(__xludf.DUMMYFUNCTION("""COMPUTED_VALUE"""),"All counties advanced to Phase 3 of reopening. Phase 3 limits capacity at businesses such as restaurants and movie theaters to 50% and allows up to 400 people to gather at indoor and outdoor events so long as mask usage is enforced and people keep six fee"&amp;"t apart.")</f>
        <v>All counties advanced to Phase 3 of reopening. Phase 3 limits capacity at businesses such as restaurants and movie theaters to 50% and allows up to 400 people to gather at indoor and outdoor events so long as mask usage is enforced and people keep six feet apart.</v>
      </c>
      <c r="F983" s="1" t="str">
        <f>IFERROR(__xludf.DUMMYFUNCTION("""COMPUTED_VALUE"""),"National Academy for State Health Policy")</f>
        <v>National Academy for State Health Policy</v>
      </c>
      <c r="G983" s="3" t="str">
        <f>IFERROR(__xludf.DUMMYFUNCTION("""COMPUTED_VALUE"""),"https://www.nashp.org/2021-covid-19-state-restrictions-re-openings-and-mask-requirements/")</f>
        <v>https://www.nashp.org/2021-covid-19-state-restrictions-re-openings-and-mask-requirements/</v>
      </c>
      <c r="H983" s="1"/>
      <c r="I983" s="1"/>
    </row>
    <row r="984">
      <c r="A984" s="2">
        <f>IFERROR(__xludf.DUMMYFUNCTION("""COMPUTED_VALUE"""),44280.0)</f>
        <v>44280</v>
      </c>
      <c r="B984" s="1" t="str">
        <f>IFERROR(__xludf.DUMMYFUNCTION("""COMPUTED_VALUE"""),"Washington")</f>
        <v>Washington</v>
      </c>
      <c r="C984" s="1" t="str">
        <f>IFERROR(__xludf.DUMMYFUNCTION("""COMPUTED_VALUE"""),"State Proclamations ")</f>
        <v>State Proclamations </v>
      </c>
      <c r="D984" s="1" t="str">
        <f>IFERROR(__xludf.DUMMYFUNCTION("""COMPUTED_VALUE"""),"Opening")</f>
        <v>Opening</v>
      </c>
      <c r="E984" s="1" t="str">
        <f>IFERROR(__xludf.DUMMYFUNCTION("""COMPUTED_VALUE"""),"All K-12 schools must follow updated Centers for Disease Control and Prevention (CDC) social distancing guidelines by keeping students three feet apart.")</f>
        <v>All K-12 schools must follow updated Centers for Disease Control and Prevention (CDC) social distancing guidelines by keeping students three feet apart.</v>
      </c>
      <c r="F984" s="1" t="str">
        <f>IFERROR(__xludf.DUMMYFUNCTION("""COMPUTED_VALUE"""),"National Academy for State Health Policy")</f>
        <v>National Academy for State Health Policy</v>
      </c>
      <c r="G984" s="3" t="str">
        <f>IFERROR(__xludf.DUMMYFUNCTION("""COMPUTED_VALUE"""),"https://www.nashp.org/2021-covid-19-state-restrictions-re-openings-and-mask-requirements/")</f>
        <v>https://www.nashp.org/2021-covid-19-state-restrictions-re-openings-and-mask-requirements/</v>
      </c>
      <c r="H984" s="1"/>
      <c r="I984" s="1"/>
    </row>
    <row r="985">
      <c r="A985" s="2">
        <f>IFERROR(__xludf.DUMMYFUNCTION("""COMPUTED_VALUE"""),44291.0)</f>
        <v>44291</v>
      </c>
      <c r="B985" s="1" t="str">
        <f>IFERROR(__xludf.DUMMYFUNCTION("""COMPUTED_VALUE"""),"Washington")</f>
        <v>Washington</v>
      </c>
      <c r="C985" s="1" t="str">
        <f>IFERROR(__xludf.DUMMYFUNCTION("""COMPUTED_VALUE"""),"State Proclamations ")</f>
        <v>State Proclamations </v>
      </c>
      <c r="D985" s="1" t="str">
        <f>IFERROR(__xludf.DUMMYFUNCTION("""COMPUTED_VALUE"""),"Opening")</f>
        <v>Opening</v>
      </c>
      <c r="E985" s="1" t="str">
        <f>IFERROR(__xludf.DUMMYFUNCTION("""COMPUTED_VALUE"""),"Elementary schools must provide students at least two partial days of in-person instruction.")</f>
        <v>Elementary schools must provide students at least two partial days of in-person instruction.</v>
      </c>
      <c r="F985" s="1" t="str">
        <f>IFERROR(__xludf.DUMMYFUNCTION("""COMPUTED_VALUE"""),"National Academy for State Health Policy")</f>
        <v>National Academy for State Health Policy</v>
      </c>
      <c r="G985" s="3" t="str">
        <f>IFERROR(__xludf.DUMMYFUNCTION("""COMPUTED_VALUE"""),"https://www.nashp.org/2021-covid-19-state-restrictions-re-openings-and-mask-requirements/")</f>
        <v>https://www.nashp.org/2021-covid-19-state-restrictions-re-openings-and-mask-requirements/</v>
      </c>
      <c r="H985" s="1"/>
      <c r="I985" s="1"/>
    </row>
    <row r="986">
      <c r="A986" s="2">
        <f>IFERROR(__xludf.DUMMYFUNCTION("""COMPUTED_VALUE"""),44302.0)</f>
        <v>44302</v>
      </c>
      <c r="B986" s="1" t="str">
        <f>IFERROR(__xludf.DUMMYFUNCTION("""COMPUTED_VALUE"""),"Washington")</f>
        <v>Washington</v>
      </c>
      <c r="C986" s="1" t="str">
        <f>IFERROR(__xludf.DUMMYFUNCTION("""COMPUTED_VALUE"""),"State Proclamations ")</f>
        <v>State Proclamations </v>
      </c>
      <c r="D986" s="1" t="str">
        <f>IFERROR(__xludf.DUMMYFUNCTION("""COMPUTED_VALUE"""),"Closing")</f>
        <v>Closing</v>
      </c>
      <c r="E986" s="1" t="str">
        <f>IFERROR(__xludf.DUMMYFUNCTION("""COMPUTED_VALUE"""),"Three counties moved back into Phase 2 (more restrictive) of reopening.")</f>
        <v>Three counties moved back into Phase 2 (more restrictive) of reopening.</v>
      </c>
      <c r="F986" s="1" t="str">
        <f>IFERROR(__xludf.DUMMYFUNCTION("""COMPUTED_VALUE"""),"National Academy for State Health Policy")</f>
        <v>National Academy for State Health Policy</v>
      </c>
      <c r="G986" s="3" t="str">
        <f>IFERROR(__xludf.DUMMYFUNCTION("""COMPUTED_VALUE"""),"https://www.nashp.org/2021-covid-19-state-restrictions-re-openings-and-mask-requirements/")</f>
        <v>https://www.nashp.org/2021-covid-19-state-restrictions-re-openings-and-mask-requirements/</v>
      </c>
      <c r="H986" s="1"/>
      <c r="I986" s="1"/>
    </row>
    <row r="987">
      <c r="A987" s="2">
        <f>IFERROR(__xludf.DUMMYFUNCTION("""COMPUTED_VALUE"""),44305.0)</f>
        <v>44305</v>
      </c>
      <c r="B987" s="1" t="str">
        <f>IFERROR(__xludf.DUMMYFUNCTION("""COMPUTED_VALUE"""),"Washington")</f>
        <v>Washington</v>
      </c>
      <c r="C987" s="1" t="str">
        <f>IFERROR(__xludf.DUMMYFUNCTION("""COMPUTED_VALUE"""),"State Proclamations ")</f>
        <v>State Proclamations </v>
      </c>
      <c r="D987" s="1" t="str">
        <f>IFERROR(__xludf.DUMMYFUNCTION("""COMPUTED_VALUE"""),"Opening")</f>
        <v>Opening</v>
      </c>
      <c r="E987" s="1" t="str">
        <f>IFERROR(__xludf.DUMMYFUNCTION("""COMPUTED_VALUE"""),"Public schools have to offer all K-12 students at least 30% in-person instruction every week.")</f>
        <v>Public schools have to offer all K-12 students at least 30% in-person instruction every week.</v>
      </c>
      <c r="F987" s="1" t="str">
        <f>IFERROR(__xludf.DUMMYFUNCTION("""COMPUTED_VALUE"""),"National Academy for State Health Policy")</f>
        <v>National Academy for State Health Policy</v>
      </c>
      <c r="G987" s="3" t="str">
        <f>IFERROR(__xludf.DUMMYFUNCTION("""COMPUTED_VALUE"""),"https://www.nashp.org/2021-covid-19-state-restrictions-re-openings-and-mask-requirements/")</f>
        <v>https://www.nashp.org/2021-covid-19-state-restrictions-re-openings-and-mask-requirements/</v>
      </c>
      <c r="H987" s="1"/>
      <c r="I987" s="1"/>
    </row>
    <row r="988">
      <c r="A988" s="2">
        <f>IFERROR(__xludf.DUMMYFUNCTION("""COMPUTED_VALUE"""),44319.0)</f>
        <v>44319</v>
      </c>
      <c r="B988" s="1" t="str">
        <f>IFERROR(__xludf.DUMMYFUNCTION("""COMPUTED_VALUE"""),"Washington")</f>
        <v>Washington</v>
      </c>
      <c r="C988" s="1" t="str">
        <f>IFERROR(__xludf.DUMMYFUNCTION("""COMPUTED_VALUE"""),"State Proclamations ")</f>
        <v>State Proclamations </v>
      </c>
      <c r="D988" s="1" t="str">
        <f>IFERROR(__xludf.DUMMYFUNCTION("""COMPUTED_VALUE"""),"Opening")</f>
        <v>Opening</v>
      </c>
      <c r="E988" s="1" t="str">
        <f>IFERROR(__xludf.DUMMYFUNCTION("""COMPUTED_VALUE"""),"For spectator events, indoor and outdoor facilities may increase capacity by adding sections for fully vaccinated people. Outdoor events can increase capacity to the lesser of 50% or 22,000 people, and indoor facilities can expand capacity to the lesser o"&amp;"f 50% or 2000 people. Unvaccinated people cannot comprise more than 9,000 total people. For counties in Phase 2 of reopening, facilities cannot allow more than 200 unvaccinated people, or 300 for areas larger than 100,000 square feet. For counties in Phas"&amp;"e 3 of reopening, facilities cannot allow more than 400 people, or 600 for rooms with more than 100,000 square feet. For religious facilities in Phase 2 counties, capacity can increase to 50% with vaccinated-only sections.")</f>
        <v>For spectator events, indoor and outdoor facilities may increase capacity by adding sections for fully vaccinated people. Outdoor events can increase capacity to the lesser of 50% or 22,000 people, and indoor facilities can expand capacity to the lesser of 50% or 2000 people. Unvaccinated people cannot comprise more than 9,000 total people. For counties in Phase 2 of reopening, facilities cannot allow more than 200 unvaccinated people, or 300 for areas larger than 100,000 square feet. For counties in Phase 3 of reopening, facilities cannot allow more than 400 people, or 600 for rooms with more than 100,000 square feet. For religious facilities in Phase 2 counties, capacity can increase to 50% with vaccinated-only sections.</v>
      </c>
      <c r="F988" s="1" t="str">
        <f>IFERROR(__xludf.DUMMYFUNCTION("""COMPUTED_VALUE"""),"National Academy for State Health Policy")</f>
        <v>National Academy for State Health Policy</v>
      </c>
      <c r="G988" s="3" t="str">
        <f>IFERROR(__xludf.DUMMYFUNCTION("""COMPUTED_VALUE"""),"https://www.nashp.org/2021-covid-19-state-restrictions-re-openings-and-mask-requirements/")</f>
        <v>https://www.nashp.org/2021-covid-19-state-restrictions-re-openings-and-mask-requirements/</v>
      </c>
      <c r="H988" s="1"/>
      <c r="I988" s="1"/>
    </row>
    <row r="989">
      <c r="A989" s="2">
        <f>IFERROR(__xludf.DUMMYFUNCTION("""COMPUTED_VALUE"""),44334.0)</f>
        <v>44334</v>
      </c>
      <c r="B989" s="1" t="str">
        <f>IFERROR(__xludf.DUMMYFUNCTION("""COMPUTED_VALUE"""),"Washington")</f>
        <v>Washington</v>
      </c>
      <c r="C989" s="1" t="str">
        <f>IFERROR(__xludf.DUMMYFUNCTION("""COMPUTED_VALUE"""),"State Proclamations ")</f>
        <v>State Proclamations </v>
      </c>
      <c r="D989" s="1" t="str">
        <f>IFERROR(__xludf.DUMMYFUNCTION("""COMPUTED_VALUE"""),"Opening")</f>
        <v>Opening</v>
      </c>
      <c r="E989" s="1" t="str">
        <f>IFERROR(__xludf.DUMMYFUNCTION("""COMPUTED_VALUE"""),"The state Department of Health moved all four remaining counties in Phase 2 of reopening to Phase 3.")</f>
        <v>The state Department of Health moved all four remaining counties in Phase 2 of reopening to Phase 3.</v>
      </c>
      <c r="F989" s="1" t="str">
        <f>IFERROR(__xludf.DUMMYFUNCTION("""COMPUTED_VALUE"""),"National Academy for State Health Policy")</f>
        <v>National Academy for State Health Policy</v>
      </c>
      <c r="G989" s="3" t="str">
        <f>IFERROR(__xludf.DUMMYFUNCTION("""COMPUTED_VALUE"""),"https://www.nashp.org/2021-covid-19-state-restrictions-re-openings-and-mask-requirements/")</f>
        <v>https://www.nashp.org/2021-covid-19-state-restrictions-re-openings-and-mask-requirements/</v>
      </c>
      <c r="H989" s="1"/>
      <c r="I989" s="1"/>
    </row>
    <row r="990">
      <c r="A990" s="2">
        <f>IFERROR(__xludf.DUMMYFUNCTION("""COMPUTED_VALUE"""),44342.0)</f>
        <v>44342</v>
      </c>
      <c r="B990" s="1" t="str">
        <f>IFERROR(__xludf.DUMMYFUNCTION("""COMPUTED_VALUE"""),"Washington")</f>
        <v>Washington</v>
      </c>
      <c r="C990" s="1" t="str">
        <f>IFERROR(__xludf.DUMMYFUNCTION("""COMPUTED_VALUE"""),"State Proclamations ")</f>
        <v>State Proclamations </v>
      </c>
      <c r="D990" s="1" t="str">
        <f>IFERROR(__xludf.DUMMYFUNCTION("""COMPUTED_VALUE"""),"Opening")</f>
        <v>Opening</v>
      </c>
      <c r="E990" s="1" t="str">
        <f>IFERROR(__xludf.DUMMYFUNCTION("""COMPUTED_VALUE"""),"The occupancy limit for outdoor venues increased from 25% to 50%, with no more than 9,000 spectators allowed; and the governor lifted the requirement that vaccinated spectators have a separate entrance/exit.")</f>
        <v>The occupancy limit for outdoor venues increased from 25% to 50%, with no more than 9,000 spectators allowed; and the governor lifted the requirement that vaccinated spectators have a separate entrance/exit.</v>
      </c>
      <c r="F990" s="1" t="str">
        <f>IFERROR(__xludf.DUMMYFUNCTION("""COMPUTED_VALUE"""),"National Academy for State Health Policy")</f>
        <v>National Academy for State Health Policy</v>
      </c>
      <c r="G990" s="3" t="str">
        <f>IFERROR(__xludf.DUMMYFUNCTION("""COMPUTED_VALUE"""),"https://www.nashp.org/2021-covid-19-state-restrictions-re-openings-and-mask-requirements/")</f>
        <v>https://www.nashp.org/2021-covid-19-state-restrictions-re-openings-and-mask-requirements/</v>
      </c>
      <c r="H990" s="1"/>
      <c r="I990" s="1"/>
    </row>
    <row r="991">
      <c r="A991" s="2">
        <f>IFERROR(__xludf.DUMMYFUNCTION("""COMPUTED_VALUE"""),44356.0)</f>
        <v>44356</v>
      </c>
      <c r="B991" s="1" t="str">
        <f>IFERROR(__xludf.DUMMYFUNCTION("""COMPUTED_VALUE"""),"Washington")</f>
        <v>Washington</v>
      </c>
      <c r="C991" s="1" t="str">
        <f>IFERROR(__xludf.DUMMYFUNCTION("""COMPUTED_VALUE"""),"State Proclamations ")</f>
        <v>State Proclamations </v>
      </c>
      <c r="D991" s="1" t="str">
        <f>IFERROR(__xludf.DUMMYFUNCTION("""COMPUTED_VALUE"""),"Opening")</f>
        <v>Opening</v>
      </c>
      <c r="E991" s="1" t="str">
        <f>IFERROR(__xludf.DUMMYFUNCTION("""COMPUTED_VALUE"""),"The governor announced that venues that can hold 10,000 or more people will still be restricted to 75% capacity once the state lifts most COVID-19 restrictions; and said he would lift most restrictions once 70% of eligible residents get vaccinated.")</f>
        <v>The governor announced that venues that can hold 10,000 or more people will still be restricted to 75% capacity once the state lifts most COVID-19 restrictions; and said he would lift most restrictions once 70% of eligible residents get vaccinated.</v>
      </c>
      <c r="F991" s="1" t="str">
        <f>IFERROR(__xludf.DUMMYFUNCTION("""COMPUTED_VALUE"""),"National Academy for State Health Policy")</f>
        <v>National Academy for State Health Policy</v>
      </c>
      <c r="G991" s="3" t="str">
        <f>IFERROR(__xludf.DUMMYFUNCTION("""COMPUTED_VALUE"""),"https://www.nashp.org/2021-covid-19-state-restrictions-re-openings-and-mask-requirements/")</f>
        <v>https://www.nashp.org/2021-covid-19-state-restrictions-re-openings-and-mask-requirements/</v>
      </c>
      <c r="H991" s="1"/>
      <c r="I991" s="1"/>
    </row>
    <row r="992">
      <c r="A992" s="2">
        <f>IFERROR(__xludf.DUMMYFUNCTION("""COMPUTED_VALUE"""),44377.0)</f>
        <v>44377</v>
      </c>
      <c r="B992" s="1" t="str">
        <f>IFERROR(__xludf.DUMMYFUNCTION("""COMPUTED_VALUE"""),"Washington")</f>
        <v>Washington</v>
      </c>
      <c r="C992" s="1" t="str">
        <f>IFERROR(__xludf.DUMMYFUNCTION("""COMPUTED_VALUE"""),"State Proclamations ")</f>
        <v>State Proclamations </v>
      </c>
      <c r="D992" s="1" t="str">
        <f>IFERROR(__xludf.DUMMYFUNCTION("""COMPUTED_VALUE"""),"Opening")</f>
        <v>Opening</v>
      </c>
      <c r="E992" s="1" t="str">
        <f>IFERROR(__xludf.DUMMYFUNCTION("""COMPUTED_VALUE"""),"Statewide restrictions on businesses and individuals ended, though the 75% capacity restriction on indoor events with more than 10,000 attendees will remain in place through at least July 31.")</f>
        <v>Statewide restrictions on businesses and individuals ended, though the 75% capacity restriction on indoor events with more than 10,000 attendees will remain in place through at least July 31.</v>
      </c>
      <c r="F992" s="1" t="str">
        <f>IFERROR(__xludf.DUMMYFUNCTION("""COMPUTED_VALUE"""),"National Academy for State Health Policy")</f>
        <v>National Academy for State Health Policy</v>
      </c>
      <c r="G992" s="3" t="str">
        <f>IFERROR(__xludf.DUMMYFUNCTION("""COMPUTED_VALUE"""),"https://www.nashp.org/2021-covid-19-state-restrictions-re-openings-and-mask-requirements/")</f>
        <v>https://www.nashp.org/2021-covid-19-state-restrictions-re-openings-and-mask-requirements/</v>
      </c>
      <c r="H992" s="1"/>
      <c r="I992" s="1"/>
    </row>
    <row r="993">
      <c r="A993" s="2">
        <f>IFERROR(__xludf.DUMMYFUNCTION("""COMPUTED_VALUE"""),44426.0)</f>
        <v>44426</v>
      </c>
      <c r="B993" s="1" t="str">
        <f>IFERROR(__xludf.DUMMYFUNCTION("""COMPUTED_VALUE"""),"Washington")</f>
        <v>Washington</v>
      </c>
      <c r="C993" s="1" t="str">
        <f>IFERROR(__xludf.DUMMYFUNCTION("""COMPUTED_VALUE"""),"Mask Mandate")</f>
        <v>Mask Mandate</v>
      </c>
      <c r="D993" s="1" t="str">
        <f>IFERROR(__xludf.DUMMYFUNCTION("""COMPUTED_VALUE"""),"Start")</f>
        <v>Start</v>
      </c>
      <c r="E993" s="1" t="str">
        <f>IFERROR(__xludf.DUMMYFUNCTION("""COMPUTED_VALUE"""),"On Aug. 18, 2021, Gov. Jay Inslee reinstated the indoor mask mandate for all individuals regardless of vaccination status. The requirement does not apply to small gatherings or office environments where everyone is vaccinated and interaction with the publ"&amp;"ic is rare.")</f>
        <v>On Aug. 18, 2021, Gov. Jay Inslee reinstated the indoor mask mandate for all individuals regardless of vaccination status. The requirement does not apply to small gatherings or office environments where everyone is vaccinated and interaction with the public is rare.</v>
      </c>
      <c r="F993" s="1" t="str">
        <f>IFERROR(__xludf.DUMMYFUNCTION("""COMPUTED_VALUE"""),"National Academy for State Health Policy")</f>
        <v>National Academy for State Health Policy</v>
      </c>
      <c r="G993" s="3" t="str">
        <f>IFERROR(__xludf.DUMMYFUNCTION("""COMPUTED_VALUE"""),"https://www.nashp.org/2021-covid-19-state-restrictions-re-openings-and-mask-requirements/")</f>
        <v>https://www.nashp.org/2021-covid-19-state-restrictions-re-openings-and-mask-requirements/</v>
      </c>
      <c r="H993" s="1"/>
      <c r="I993" s="1"/>
    </row>
    <row r="994">
      <c r="A994" s="2">
        <f>IFERROR(__xludf.DUMMYFUNCTION("""COMPUTED_VALUE"""),44515.0)</f>
        <v>44515</v>
      </c>
      <c r="B994" s="1" t="str">
        <f>IFERROR(__xludf.DUMMYFUNCTION("""COMPUTED_VALUE"""),"Washington")</f>
        <v>Washington</v>
      </c>
      <c r="C994" s="1" t="str">
        <f>IFERROR(__xludf.DUMMYFUNCTION("""COMPUTED_VALUE"""),"State Proclamations ")</f>
        <v>State Proclamations </v>
      </c>
      <c r="D994" s="1" t="str">
        <f>IFERROR(__xludf.DUMMYFUNCTION("""COMPUTED_VALUE"""),"Opening")</f>
        <v>Opening</v>
      </c>
      <c r="E994" s="1" t="str">
        <f>IFERROR(__xludf.DUMMYFUNCTION("""COMPUTED_VALUE"""),"Gov. Jay Inslee's order requiring proof of vaccination or a negative COVID-19 test at large events with more than 10,000 individuals outdoors or 1,000 individuals indoors went into effect.")</f>
        <v>Gov. Jay Inslee's order requiring proof of vaccination or a negative COVID-19 test at large events with more than 10,000 individuals outdoors or 1,000 individuals indoors went into effect.</v>
      </c>
      <c r="F994" s="1" t="str">
        <f>IFERROR(__xludf.DUMMYFUNCTION("""COMPUTED_VALUE"""),"National Academy for State Health Policy")</f>
        <v>National Academy for State Health Policy</v>
      </c>
      <c r="G994" s="3" t="str">
        <f>IFERROR(__xludf.DUMMYFUNCTION("""COMPUTED_VALUE"""),"https://www.nashp.org/2021-covid-19-state-restrictions-re-openings-and-mask-requirements/")</f>
        <v>https://www.nashp.org/2021-covid-19-state-restrictions-re-openings-and-mask-requirements/</v>
      </c>
      <c r="H994" s="1"/>
      <c r="I994" s="1"/>
    </row>
    <row r="995">
      <c r="A995" s="2">
        <f>IFERROR(__xludf.DUMMYFUNCTION("""COMPUTED_VALUE"""),43906.0)</f>
        <v>43906</v>
      </c>
      <c r="B995" s="1" t="str">
        <f>IFERROR(__xludf.DUMMYFUNCTION("""COMPUTED_VALUE"""),"West Virginia")</f>
        <v>West Virginia</v>
      </c>
      <c r="C995" s="1" t="str">
        <f>IFERROR(__xludf.DUMMYFUNCTION("""COMPUTED_VALUE"""),"State of Emergency")</f>
        <v>State of Emergency</v>
      </c>
      <c r="D995" s="1" t="str">
        <f>IFERROR(__xludf.DUMMYFUNCTION("""COMPUTED_VALUE"""),"Start")</f>
        <v>Start</v>
      </c>
      <c r="E995" s="1" t="str">
        <f>IFERROR(__xludf.DUMMYFUNCTION("""COMPUTED_VALUE"""),"Gov. Jim Justice on Monday declared a state of emergency in response to the new coronavirus, even as West Virginia remains the last state in the U.S. without a confirmed case.")</f>
        <v>Gov. Jim Justice on Monday declared a state of emergency in response to the new coronavirus, even as West Virginia remains the last state in the U.S. without a confirmed case.</v>
      </c>
      <c r="F995" s="1" t="str">
        <f>IFERROR(__xludf.DUMMYFUNCTION("""COMPUTED_VALUE"""),"WDTV")</f>
        <v>WDTV</v>
      </c>
      <c r="G995" s="3" t="str">
        <f>IFERROR(__xludf.DUMMYFUNCTION("""COMPUTED_VALUE"""),"https://www.wdtv.com/content/news/West-Virginia-governor-declares-emergency-as-virus-threatens-568840751.html")</f>
        <v>https://www.wdtv.com/content/news/West-Virginia-governor-declares-emergency-as-virus-threatens-568840751.html</v>
      </c>
      <c r="H995" s="1"/>
      <c r="I995" s="1"/>
    </row>
    <row r="996">
      <c r="A996" s="2">
        <f>IFERROR(__xludf.DUMMYFUNCTION("""COMPUTED_VALUE"""),43914.0)</f>
        <v>43914</v>
      </c>
      <c r="B996" s="1" t="str">
        <f>IFERROR(__xludf.DUMMYFUNCTION("""COMPUTED_VALUE"""),"West Virginia")</f>
        <v>West Virginia</v>
      </c>
      <c r="C996" s="1" t="str">
        <f>IFERROR(__xludf.DUMMYFUNCTION("""COMPUTED_VALUE"""),"Stay-at-Home Order")</f>
        <v>Stay-at-Home Order</v>
      </c>
      <c r="D996" s="1" t="str">
        <f>IFERROR(__xludf.DUMMYFUNCTION("""COMPUTED_VALUE"""),"Start")</f>
        <v>Start</v>
      </c>
      <c r="E996" s="1" t="str">
        <f>IFERROR(__xludf.DUMMYFUNCTION("""COMPUTED_VALUE"""),"Original stay-at-home order begins")</f>
        <v>Original stay-at-home order begins</v>
      </c>
      <c r="F996" s="1" t="str">
        <f>IFERROR(__xludf.DUMMYFUNCTION("""COMPUTED_VALUE"""),"National Academy for State Health Policy")</f>
        <v>National Academy for State Health Policy</v>
      </c>
      <c r="G996" s="3" t="str">
        <f>IFERROR(__xludf.DUMMYFUNCTION("""COMPUTED_VALUE"""),"https://www.nashp.org/2020-state-reopening-chart/")</f>
        <v>https://www.nashp.org/2020-state-reopening-chart/</v>
      </c>
      <c r="H996" s="1"/>
      <c r="I996" s="1"/>
    </row>
    <row r="997">
      <c r="A997" s="2">
        <f>IFERROR(__xludf.DUMMYFUNCTION("""COMPUTED_VALUE"""),43955.0)</f>
        <v>43955</v>
      </c>
      <c r="B997" s="1" t="str">
        <f>IFERROR(__xludf.DUMMYFUNCTION("""COMPUTED_VALUE"""),"West Virginia")</f>
        <v>West Virginia</v>
      </c>
      <c r="C997" s="1" t="str">
        <f>IFERROR(__xludf.DUMMYFUNCTION("""COMPUTED_VALUE"""),"Stay-at-Home Order")</f>
        <v>Stay-at-Home Order</v>
      </c>
      <c r="D997" s="1" t="str">
        <f>IFERROR(__xludf.DUMMYFUNCTION("""COMPUTED_VALUE"""),"End")</f>
        <v>End</v>
      </c>
      <c r="E997" s="1" t="str">
        <f>IFERROR(__xludf.DUMMYFUNCTION("""COMPUTED_VALUE"""),"Original stay-at-home order ends")</f>
        <v>Original stay-at-home order ends</v>
      </c>
      <c r="F997" s="1" t="str">
        <f>IFERROR(__xludf.DUMMYFUNCTION("""COMPUTED_VALUE"""),"National Academy for State Health Policy")</f>
        <v>National Academy for State Health Policy</v>
      </c>
      <c r="G997" s="3" t="str">
        <f>IFERROR(__xludf.DUMMYFUNCTION("""COMPUTED_VALUE"""),"https://www.nashp.org/2020-state-reopening-chart/")</f>
        <v>https://www.nashp.org/2020-state-reopening-chart/</v>
      </c>
      <c r="H997" s="1"/>
      <c r="I997" s="1"/>
    </row>
    <row r="998">
      <c r="A998" s="2">
        <f>IFERROR(__xludf.DUMMYFUNCTION("""COMPUTED_VALUE"""),43955.0)</f>
        <v>43955</v>
      </c>
      <c r="B998" s="1" t="str">
        <f>IFERROR(__xludf.DUMMYFUNCTION("""COMPUTED_VALUE"""),"West Virginia")</f>
        <v>West Virginia</v>
      </c>
      <c r="C998" s="1" t="str">
        <f>IFERROR(__xludf.DUMMYFUNCTION("""COMPUTED_VALUE"""),"State Proclamations ")</f>
        <v>State Proclamations </v>
      </c>
      <c r="D998" s="1" t="str">
        <f>IFERROR(__xludf.DUMMYFUNCTION("""COMPUTED_VALUE"""),"Opening")</f>
        <v>Opening</v>
      </c>
      <c r="E998" s="1" t="str">
        <f>IFERROR(__xludf.DUMMYFUNCTION("""COMPUTED_VALUE"""),"West Virginia has reopened retail stores, malls, restaurant dining, bars, personal care services, houses of worship, museums, bowling alleys, casinos, movie theaters, gyms, and pools. Nonessential medical procedures resumed April 27.")</f>
        <v>West Virginia has reopened retail stores, malls, restaurant dining, bars, personal care services, houses of worship, museums, bowling alleys, casinos, movie theaters, gyms, and pools. Nonessential medical procedures resumed April 27.</v>
      </c>
      <c r="F998" s="1" t="str">
        <f>IFERROR(__xludf.DUMMYFUNCTION("""COMPUTED_VALUE"""),"National Academy for State Health Policy")</f>
        <v>National Academy for State Health Policy</v>
      </c>
      <c r="G998" s="3" t="str">
        <f>IFERROR(__xludf.DUMMYFUNCTION("""COMPUTED_VALUE"""),"https://www.nashp.org/2020-state-reopening-chart/")</f>
        <v>https://www.nashp.org/2020-state-reopening-chart/</v>
      </c>
      <c r="H998" s="1"/>
      <c r="I998" s="1"/>
    </row>
    <row r="999">
      <c r="A999" s="2">
        <f>IFERROR(__xludf.DUMMYFUNCTION("""COMPUTED_VALUE"""),44018.0)</f>
        <v>44018</v>
      </c>
      <c r="B999" s="1" t="str">
        <f>IFERROR(__xludf.DUMMYFUNCTION("""COMPUTED_VALUE"""),"West Virginia")</f>
        <v>West Virginia</v>
      </c>
      <c r="C999" s="1" t="str">
        <f>IFERROR(__xludf.DUMMYFUNCTION("""COMPUTED_VALUE"""),"Mask Mandate")</f>
        <v>Mask Mandate</v>
      </c>
      <c r="D999" s="1" t="str">
        <f>IFERROR(__xludf.DUMMYFUNCTION("""COMPUTED_VALUE"""),"Start")</f>
        <v>Start</v>
      </c>
      <c r="E999" s="1" t="str">
        <f>IFERROR(__xludf.DUMMYFUNCTION("""COMPUTED_VALUE"""),"Gov. Jim Justice issued an executive order that he said would require all West Virginians 9 years old and up to wear a face mask anytime they are in public and indoors and where they are unable to maintain six feet of social distancing.")</f>
        <v>Gov. Jim Justice issued an executive order that he said would require all West Virginians 9 years old and up to wear a face mask anytime they are in public and indoors and where they are unable to maintain six feet of social distancing.</v>
      </c>
      <c r="F999" s="1" t="str">
        <f>IFERROR(__xludf.DUMMYFUNCTION("""COMPUTED_VALUE"""),"CNN")</f>
        <v>CNN</v>
      </c>
      <c r="G999" s="3" t="str">
        <f>IFERROR(__xludf.DUMMYFUNCTION("""COMPUTED_VALUE"""),"https://www.cnn.com/2020/06/19/us/states-face-mask-coronavirus-trnd/index.html")</f>
        <v>https://www.cnn.com/2020/06/19/us/states-face-mask-coronavirus-trnd/index.html</v>
      </c>
      <c r="H999" s="1"/>
      <c r="I999" s="1"/>
    </row>
    <row r="1000">
      <c r="A1000" s="2">
        <f>IFERROR(__xludf.DUMMYFUNCTION("""COMPUTED_VALUE"""),44026.0)</f>
        <v>44026</v>
      </c>
      <c r="B1000" s="1" t="str">
        <f>IFERROR(__xludf.DUMMYFUNCTION("""COMPUTED_VALUE"""),"West Virginia")</f>
        <v>West Virginia</v>
      </c>
      <c r="C1000" s="1" t="str">
        <f>IFERROR(__xludf.DUMMYFUNCTION("""COMPUTED_VALUE"""),"State Proclamations ")</f>
        <v>State Proclamations </v>
      </c>
      <c r="D1000" s="1" t="str">
        <f>IFERROR(__xludf.DUMMYFUNCTION("""COMPUTED_VALUE"""),"Closing")</f>
        <v>Closing</v>
      </c>
      <c r="E1000" s="1" t="str">
        <f>IFERROR(__xludf.DUMMYFUNCTION("""COMPUTED_VALUE"""),"The governor limited social gatherings from 100 to 25 people; ordered the closure of fairs, festivals and concerts statewide; and ordered bars in Monongalia County to close.")</f>
        <v>The governor limited social gatherings from 100 to 25 people; ordered the closure of fairs, festivals and concerts statewide; and ordered bars in Monongalia County to close.</v>
      </c>
      <c r="F1000" s="1" t="str">
        <f>IFERROR(__xludf.DUMMYFUNCTION("""COMPUTED_VALUE"""),"National Academy for State Health Policy")</f>
        <v>National Academy for State Health Policy</v>
      </c>
      <c r="G1000" s="3" t="str">
        <f>IFERROR(__xludf.DUMMYFUNCTION("""COMPUTED_VALUE"""),"https://www.nashp.org/2020-state-reopening-chart/")</f>
        <v>https://www.nashp.org/2020-state-reopening-chart/</v>
      </c>
      <c r="H1000" s="1"/>
      <c r="I1000" s="1"/>
    </row>
    <row r="1001">
      <c r="A1001" s="2">
        <f>IFERROR(__xludf.DUMMYFUNCTION("""COMPUTED_VALUE"""),44109.0)</f>
        <v>44109</v>
      </c>
      <c r="B1001" s="1" t="str">
        <f>IFERROR(__xludf.DUMMYFUNCTION("""COMPUTED_VALUE"""),"West Virginia")</f>
        <v>West Virginia</v>
      </c>
      <c r="C1001" s="1" t="str">
        <f>IFERROR(__xludf.DUMMYFUNCTION("""COMPUTED_VALUE"""),"State Proclamations ")</f>
        <v>State Proclamations </v>
      </c>
      <c r="D1001" s="1" t="str">
        <f>IFERROR(__xludf.DUMMYFUNCTION("""COMPUTED_VALUE"""),"Opening")</f>
        <v>Opening</v>
      </c>
      <c r="E1001" s="1" t="str">
        <f>IFERROR(__xludf.DUMMYFUNCTION("""COMPUTED_VALUE"""),"Live outdoor music performances may resume at 25% capacity or a maximum 250 individuals.")</f>
        <v>Live outdoor music performances may resume at 25% capacity or a maximum 250 individuals.</v>
      </c>
      <c r="F1001" s="1" t="str">
        <f>IFERROR(__xludf.DUMMYFUNCTION("""COMPUTED_VALUE"""),"National Academy for State Health Policy")</f>
        <v>National Academy for State Health Policy</v>
      </c>
      <c r="G1001" s="3" t="str">
        <f>IFERROR(__xludf.DUMMYFUNCTION("""COMPUTED_VALUE"""),"https://www.nashp.org/2020-state-reopening-chart/")</f>
        <v>https://www.nashp.org/2020-state-reopening-chart/</v>
      </c>
      <c r="H1001" s="1"/>
      <c r="I1001" s="1"/>
    </row>
    <row r="1002">
      <c r="A1002" s="2">
        <f>IFERROR(__xludf.DUMMYFUNCTION("""COMPUTED_VALUE"""),44200.0)</f>
        <v>44200</v>
      </c>
      <c r="B1002" s="1" t="str">
        <f>IFERROR(__xludf.DUMMYFUNCTION("""COMPUTED_VALUE"""),"West Virginia")</f>
        <v>West Virginia</v>
      </c>
      <c r="C1002" s="1" t="str">
        <f>IFERROR(__xludf.DUMMYFUNCTION("""COMPUTED_VALUE"""),"State Proclamations ")</f>
        <v>State Proclamations </v>
      </c>
      <c r="D1002" s="1" t="str">
        <f>IFERROR(__xludf.DUMMYFUNCTION("""COMPUTED_VALUE"""),"Opening")</f>
        <v>Opening</v>
      </c>
      <c r="E1002" s="1" t="str">
        <f>IFERROR(__xludf.DUMMYFUNCTION("""COMPUTED_VALUE"""),"Schools began a two-week period of state-ordered remote-only learning to prepare for the move to in-person instruction.")</f>
        <v>Schools began a two-week period of state-ordered remote-only learning to prepare for the move to in-person instruction.</v>
      </c>
      <c r="F1002" s="1" t="str">
        <f>IFERROR(__xludf.DUMMYFUNCTION("""COMPUTED_VALUE"""),"National Academy for State Health Policy")</f>
        <v>National Academy for State Health Policy</v>
      </c>
      <c r="G1002" s="3" t="str">
        <f>IFERROR(__xludf.DUMMYFUNCTION("""COMPUTED_VALUE"""),"https://www.nashp.org/2021-covid-19-state-restrictions-re-openings-and-mask-requirements/")</f>
        <v>https://www.nashp.org/2021-covid-19-state-restrictions-re-openings-and-mask-requirements/</v>
      </c>
      <c r="H1002" s="1"/>
      <c r="I1002" s="1"/>
    </row>
    <row r="1003">
      <c r="A1003" s="2">
        <f>IFERROR(__xludf.DUMMYFUNCTION("""COMPUTED_VALUE"""),44215.0)</f>
        <v>44215</v>
      </c>
      <c r="B1003" s="1" t="str">
        <f>IFERROR(__xludf.DUMMYFUNCTION("""COMPUTED_VALUE"""),"West Virginia")</f>
        <v>West Virginia</v>
      </c>
      <c r="C1003" s="1" t="str">
        <f>IFERROR(__xludf.DUMMYFUNCTION("""COMPUTED_VALUE"""),"State Proclamations ")</f>
        <v>State Proclamations </v>
      </c>
      <c r="D1003" s="1" t="str">
        <f>IFERROR(__xludf.DUMMYFUNCTION("""COMPUTED_VALUE"""),"Opening")</f>
        <v>Opening</v>
      </c>
      <c r="E1003" s="1" t="str">
        <f>IFERROR(__xludf.DUMMYFUNCTION("""COMPUTED_VALUE"""),"All public and private pre-K, elementary, and middle schools were required to resume full-time in-person or hybrid instruction, regardless of their county’s transmission rates. High schools are still required to close if they are located in counties the D"&amp;"epartment of Health and Human Resources has classified as red.")</f>
        <v>All public and private pre-K, elementary, and middle schools were required to resume full-time in-person or hybrid instruction, regardless of their county’s transmission rates. High schools are still required to close if they are located in counties the Department of Health and Human Resources has classified as red.</v>
      </c>
      <c r="F1003" s="1" t="str">
        <f>IFERROR(__xludf.DUMMYFUNCTION("""COMPUTED_VALUE"""),"National Academy for State Health Policy")</f>
        <v>National Academy for State Health Policy</v>
      </c>
      <c r="G1003" s="3" t="str">
        <f>IFERROR(__xludf.DUMMYFUNCTION("""COMPUTED_VALUE"""),"https://www.nashp.org/2021-covid-19-state-restrictions-re-openings-and-mask-requirements/")</f>
        <v>https://www.nashp.org/2021-covid-19-state-restrictions-re-openings-and-mask-requirements/</v>
      </c>
      <c r="H1003" s="1"/>
      <c r="I1003" s="1"/>
    </row>
    <row r="1004">
      <c r="A1004" s="2">
        <f>IFERROR(__xludf.DUMMYFUNCTION("""COMPUTED_VALUE"""),44260.0)</f>
        <v>44260</v>
      </c>
      <c r="B1004" s="1" t="str">
        <f>IFERROR(__xludf.DUMMYFUNCTION("""COMPUTED_VALUE"""),"West Virginia")</f>
        <v>West Virginia</v>
      </c>
      <c r="C1004" s="1" t="str">
        <f>IFERROR(__xludf.DUMMYFUNCTION("""COMPUTED_VALUE"""),"State Proclamations ")</f>
        <v>State Proclamations </v>
      </c>
      <c r="D1004" s="1" t="str">
        <f>IFERROR(__xludf.DUMMYFUNCTION("""COMPUTED_VALUE"""),"Opening")</f>
        <v>Opening</v>
      </c>
      <c r="E1004" s="1" t="str">
        <f>IFERROR(__xludf.DUMMYFUNCTION("""COMPUTED_VALUE"""),"Gov. Jim Justice announced he was ending capacity limits on restaurants, bars, retail and grocery stores, museums, gyms, and other small businesses. The governor also increased the gathering limit from 75 to 100, though people must continue to wear masks "&amp;"and social distance.")</f>
        <v>Gov. Jim Justice announced he was ending capacity limits on restaurants, bars, retail and grocery stores, museums, gyms, and other small businesses. The governor also increased the gathering limit from 75 to 100, though people must continue to wear masks and social distance.</v>
      </c>
      <c r="F1004" s="1" t="str">
        <f>IFERROR(__xludf.DUMMYFUNCTION("""COMPUTED_VALUE"""),"National Academy for State Health Policy")</f>
        <v>National Academy for State Health Policy</v>
      </c>
      <c r="G1004" s="3" t="str">
        <f>IFERROR(__xludf.DUMMYFUNCTION("""COMPUTED_VALUE"""),"https://www.nashp.org/2021-covid-19-state-restrictions-re-openings-and-mask-requirements/")</f>
        <v>https://www.nashp.org/2021-covid-19-state-restrictions-re-openings-and-mask-requirements/</v>
      </c>
      <c r="H1004" s="1"/>
      <c r="I1004" s="1"/>
    </row>
    <row r="1005">
      <c r="A1005" s="2">
        <f>IFERROR(__xludf.DUMMYFUNCTION("""COMPUTED_VALUE"""),44280.0)</f>
        <v>44280</v>
      </c>
      <c r="B1005" s="1" t="str">
        <f>IFERROR(__xludf.DUMMYFUNCTION("""COMPUTED_VALUE"""),"West Virginia")</f>
        <v>West Virginia</v>
      </c>
      <c r="C1005" s="1" t="str">
        <f>IFERROR(__xludf.DUMMYFUNCTION("""COMPUTED_VALUE"""),"State Proclamations ")</f>
        <v>State Proclamations </v>
      </c>
      <c r="D1005" s="1" t="str">
        <f>IFERROR(__xludf.DUMMYFUNCTION("""COMPUTED_VALUE"""),"Opening")</f>
        <v>Opening</v>
      </c>
      <c r="E1005" s="1" t="str">
        <f>IFERROR(__xludf.DUMMYFUNCTION("""COMPUTED_VALUE"""),"All live music performances may resume. Additionally, high schools must offer full-time, in-person instruction unless there is a COVID-19 active outbreak.")</f>
        <v>All live music performances may resume. Additionally, high schools must offer full-time, in-person instruction unless there is a COVID-19 active outbreak.</v>
      </c>
      <c r="F1005" s="1" t="str">
        <f>IFERROR(__xludf.DUMMYFUNCTION("""COMPUTED_VALUE"""),"National Academy for State Health Policy")</f>
        <v>National Academy for State Health Policy</v>
      </c>
      <c r="G1005" s="3" t="str">
        <f>IFERROR(__xludf.DUMMYFUNCTION("""COMPUTED_VALUE"""),"https://www.nashp.org/2021-covid-19-state-restrictions-re-openings-and-mask-requirements/")</f>
        <v>https://www.nashp.org/2021-covid-19-state-restrictions-re-openings-and-mask-requirements/</v>
      </c>
      <c r="H1005" s="1"/>
      <c r="I1005" s="1"/>
    </row>
    <row r="1006">
      <c r="A1006" s="2">
        <f>IFERROR(__xludf.DUMMYFUNCTION("""COMPUTED_VALUE"""),44307.0)</f>
        <v>44307</v>
      </c>
      <c r="B1006" s="1" t="str">
        <f>IFERROR(__xludf.DUMMYFUNCTION("""COMPUTED_VALUE"""),"West Virginia")</f>
        <v>West Virginia</v>
      </c>
      <c r="C1006" s="1" t="str">
        <f>IFERROR(__xludf.DUMMYFUNCTION("""COMPUTED_VALUE"""),"State Proclamations ")</f>
        <v>State Proclamations </v>
      </c>
      <c r="D1006" s="1" t="str">
        <f>IFERROR(__xludf.DUMMYFUNCTION("""COMPUTED_VALUE"""),"Opening")</f>
        <v>Opening</v>
      </c>
      <c r="E1006" s="1" t="str">
        <f>IFERROR(__xludf.DUMMYFUNCTION("""COMPUTED_VALUE"""),"The governor announced he will end the statewide indoor mask mandate once 70% of state residents receive at least one shot of a coronavirus vaccine.")</f>
        <v>The governor announced he will end the statewide indoor mask mandate once 70% of state residents receive at least one shot of a coronavirus vaccine.</v>
      </c>
      <c r="F1006" s="1" t="str">
        <f>IFERROR(__xludf.DUMMYFUNCTION("""COMPUTED_VALUE"""),"National Academy for State Health Policy")</f>
        <v>National Academy for State Health Policy</v>
      </c>
      <c r="G1006" s="3" t="str">
        <f>IFERROR(__xludf.DUMMYFUNCTION("""COMPUTED_VALUE"""),"https://www.nashp.org/2021-covid-19-state-restrictions-re-openings-and-mask-requirements/")</f>
        <v>https://www.nashp.org/2021-covid-19-state-restrictions-re-openings-and-mask-requirements/</v>
      </c>
      <c r="H1006" s="1"/>
      <c r="I1006" s="1"/>
    </row>
    <row r="1007">
      <c r="A1007" s="2">
        <f>IFERROR(__xludf.DUMMYFUNCTION("""COMPUTED_VALUE"""),44317.0)</f>
        <v>44317</v>
      </c>
      <c r="B1007" s="1" t="str">
        <f>IFERROR(__xludf.DUMMYFUNCTION("""COMPUTED_VALUE"""),"West Virginia")</f>
        <v>West Virginia</v>
      </c>
      <c r="C1007" s="1" t="str">
        <f>IFERROR(__xludf.DUMMYFUNCTION("""COMPUTED_VALUE"""),"State Proclamations ")</f>
        <v>State Proclamations </v>
      </c>
      <c r="D1007" s="1" t="str">
        <f>IFERROR(__xludf.DUMMYFUNCTION("""COMPUTED_VALUE"""),"Opening")</f>
        <v>Opening</v>
      </c>
      <c r="E1007" s="1" t="str">
        <f>IFERROR(__xludf.DUMMYFUNCTION("""COMPUTED_VALUE"""),"Summer camps may reopen, and fairs and festivals may resume.")</f>
        <v>Summer camps may reopen, and fairs and festivals may resume.</v>
      </c>
      <c r="F1007" s="1" t="str">
        <f>IFERROR(__xludf.DUMMYFUNCTION("""COMPUTED_VALUE"""),"National Academy for State Health Policy")</f>
        <v>National Academy for State Health Policy</v>
      </c>
      <c r="G1007" s="3" t="str">
        <f>IFERROR(__xludf.DUMMYFUNCTION("""COMPUTED_VALUE"""),"https://www.nashp.org/2021-covid-19-state-restrictions-re-openings-and-mask-requirements/")</f>
        <v>https://www.nashp.org/2021-covid-19-state-restrictions-re-openings-and-mask-requirements/</v>
      </c>
      <c r="H1007" s="1"/>
      <c r="I1007" s="1"/>
    </row>
    <row r="1008">
      <c r="A1008" s="2">
        <f>IFERROR(__xludf.DUMMYFUNCTION("""COMPUTED_VALUE"""),44367.0)</f>
        <v>44367</v>
      </c>
      <c r="B1008" s="1" t="str">
        <f>IFERROR(__xludf.DUMMYFUNCTION("""COMPUTED_VALUE"""),"West Virginia")</f>
        <v>West Virginia</v>
      </c>
      <c r="C1008" s="1" t="str">
        <f>IFERROR(__xludf.DUMMYFUNCTION("""COMPUTED_VALUE"""),"Mask Mandate")</f>
        <v>Mask Mandate</v>
      </c>
      <c r="D1008" s="1" t="str">
        <f>IFERROR(__xludf.DUMMYFUNCTION("""COMPUTED_VALUE"""),"End")</f>
        <v>End</v>
      </c>
      <c r="E1008" s="1" t="str">
        <f>IFERROR(__xludf.DUMMYFUNCTION("""COMPUTED_VALUE"""),"On June 20, the governor ended the mandate")</f>
        <v>On June 20, the governor ended the mandate</v>
      </c>
      <c r="F1008" s="1" t="str">
        <f>IFERROR(__xludf.DUMMYFUNCTION("""COMPUTED_VALUE"""),"National Academy for State Health Policy")</f>
        <v>National Academy for State Health Policy</v>
      </c>
      <c r="G1008" s="3" t="str">
        <f>IFERROR(__xludf.DUMMYFUNCTION("""COMPUTED_VALUE"""),"https://www.nashp.org/2021-covid-19-state-restrictions-re-openings-and-mask-requirements/")</f>
        <v>https://www.nashp.org/2021-covid-19-state-restrictions-re-openings-and-mask-requirements/</v>
      </c>
      <c r="H1008" s="1"/>
      <c r="I1008" s="1"/>
    </row>
    <row r="1009">
      <c r="A1009" s="2">
        <f>IFERROR(__xludf.DUMMYFUNCTION("""COMPUTED_VALUE"""),43902.0)</f>
        <v>43902</v>
      </c>
      <c r="B1009" s="1" t="str">
        <f>IFERROR(__xludf.DUMMYFUNCTION("""COMPUTED_VALUE"""),"Wisconsin")</f>
        <v>Wisconsin</v>
      </c>
      <c r="C1009" s="1" t="str">
        <f>IFERROR(__xludf.DUMMYFUNCTION("""COMPUTED_VALUE"""),"State of Emergency")</f>
        <v>State of Emergency</v>
      </c>
      <c r="D1009" s="1" t="str">
        <f>IFERROR(__xludf.DUMMYFUNCTION("""COMPUTED_VALUE"""),"Start")</f>
        <v>Start</v>
      </c>
      <c r="E1009" s="1" t="str">
        <f>IFERROR(__xludf.DUMMYFUNCTION("""COMPUTED_VALUE"""),"Gov. Tony Evers declared a state of emergency on March 12.")</f>
        <v>Gov. Tony Evers declared a state of emergency on March 12.</v>
      </c>
      <c r="F1009" s="1" t="str">
        <f>IFERROR(__xludf.DUMMYFUNCTION("""COMPUTED_VALUE"""),"Business Insider")</f>
        <v>Business Insider</v>
      </c>
      <c r="G1009" s="3" t="str">
        <f>IFERROR(__xludf.DUMMYFUNCTION("""COMPUTED_VALUE"""),"https://www.businessinsider.com/california-washington-state-of-emergency-coronavirus-what-it-means-2020-3#wisconsin-28")</f>
        <v>https://www.businessinsider.com/california-washington-state-of-emergency-coronavirus-what-it-means-2020-3#wisconsin-28</v>
      </c>
      <c r="H1009" s="1"/>
      <c r="I1009" s="1"/>
    </row>
    <row r="1010">
      <c r="A1010" s="2">
        <f>IFERROR(__xludf.DUMMYFUNCTION("""COMPUTED_VALUE"""),43915.0)</f>
        <v>43915</v>
      </c>
      <c r="B1010" s="1" t="str">
        <f>IFERROR(__xludf.DUMMYFUNCTION("""COMPUTED_VALUE"""),"Wisconsin")</f>
        <v>Wisconsin</v>
      </c>
      <c r="C1010" s="1" t="str">
        <f>IFERROR(__xludf.DUMMYFUNCTION("""COMPUTED_VALUE"""),"Stay-at-Home Order")</f>
        <v>Stay-at-Home Order</v>
      </c>
      <c r="D1010" s="1" t="str">
        <f>IFERROR(__xludf.DUMMYFUNCTION("""COMPUTED_VALUE"""),"Start")</f>
        <v>Start</v>
      </c>
      <c r="E1010" s="1" t="str">
        <f>IFERROR(__xludf.DUMMYFUNCTION("""COMPUTED_VALUE"""),"Original stay-at-home order begins")</f>
        <v>Original stay-at-home order begins</v>
      </c>
      <c r="F1010" s="1" t="str">
        <f>IFERROR(__xludf.DUMMYFUNCTION("""COMPUTED_VALUE"""),"National Academy for State Health Policy")</f>
        <v>National Academy for State Health Policy</v>
      </c>
      <c r="G1010" s="3" t="str">
        <f>IFERROR(__xludf.DUMMYFUNCTION("""COMPUTED_VALUE"""),"https://www.nashp.org/2020-state-reopening-chart/")</f>
        <v>https://www.nashp.org/2020-state-reopening-chart/</v>
      </c>
      <c r="H1010" s="1"/>
      <c r="I1010" s="1"/>
    </row>
    <row r="1011">
      <c r="A1011" s="2">
        <f>IFERROR(__xludf.DUMMYFUNCTION("""COMPUTED_VALUE"""),43964.0)</f>
        <v>43964</v>
      </c>
      <c r="B1011" s="1" t="str">
        <f>IFERROR(__xludf.DUMMYFUNCTION("""COMPUTED_VALUE"""),"Wisconsin")</f>
        <v>Wisconsin</v>
      </c>
      <c r="C1011" s="1" t="str">
        <f>IFERROR(__xludf.DUMMYFUNCTION("""COMPUTED_VALUE"""),"Stay-at-Home Order")</f>
        <v>Stay-at-Home Order</v>
      </c>
      <c r="D1011" s="1" t="str">
        <f>IFERROR(__xludf.DUMMYFUNCTION("""COMPUTED_VALUE"""),"End")</f>
        <v>End</v>
      </c>
      <c r="E1011" s="1" t="str">
        <f>IFERROR(__xludf.DUMMYFUNCTION("""COMPUTED_VALUE"""),"Original stay-at-home order ends")</f>
        <v>Original stay-at-home order ends</v>
      </c>
      <c r="F1011" s="1" t="str">
        <f>IFERROR(__xludf.DUMMYFUNCTION("""COMPUTED_VALUE"""),"National Academy for State Health Policy")</f>
        <v>National Academy for State Health Policy</v>
      </c>
      <c r="G1011" s="3" t="str">
        <f>IFERROR(__xludf.DUMMYFUNCTION("""COMPUTED_VALUE"""),"https://www.nashp.org/2020-state-reopening-chart/")</f>
        <v>https://www.nashp.org/2020-state-reopening-chart/</v>
      </c>
      <c r="H1011" s="1"/>
      <c r="I1011" s="1"/>
    </row>
    <row r="1012">
      <c r="A1012" s="2">
        <f>IFERROR(__xludf.DUMMYFUNCTION("""COMPUTED_VALUE"""),43964.0)</f>
        <v>43964</v>
      </c>
      <c r="B1012" s="1" t="str">
        <f>IFERROR(__xludf.DUMMYFUNCTION("""COMPUTED_VALUE"""),"Wisconsin")</f>
        <v>Wisconsin</v>
      </c>
      <c r="C1012" s="1" t="str">
        <f>IFERROR(__xludf.DUMMYFUNCTION("""COMPUTED_VALUE"""),"State Proclamations ")</f>
        <v>State Proclamations </v>
      </c>
      <c r="D1012" s="1" t="str">
        <f>IFERROR(__xludf.DUMMYFUNCTION("""COMPUTED_VALUE"""),"Opening")</f>
        <v>Opening</v>
      </c>
      <c r="E1012" s="1" t="str">
        <f>IFERROR(__xludf.DUMMYFUNCTION("""COMPUTED_VALUE"""),"The governor's stay-at-home order was to be in effect until May 26, but was struck down by the state Supreme Court. The ruling allowed a complete reopening, but some individual counties have placed restrictions on businesses. Elective medical procedures c"&amp;"an resume at the discretion of providers.")</f>
        <v>The governor's stay-at-home order was to be in effect until May 26, but was struck down by the state Supreme Court. The ruling allowed a complete reopening, but some individual counties have placed restrictions on businesses. Elective medical procedures can resume at the discretion of providers.</v>
      </c>
      <c r="F1012" s="1" t="str">
        <f>IFERROR(__xludf.DUMMYFUNCTION("""COMPUTED_VALUE"""),"National Academy for State Health Policy")</f>
        <v>National Academy for State Health Policy</v>
      </c>
      <c r="G1012" s="3" t="str">
        <f>IFERROR(__xludf.DUMMYFUNCTION("""COMPUTED_VALUE"""),"https://www.nashp.org/2020-state-reopening-chart/")</f>
        <v>https://www.nashp.org/2020-state-reopening-chart/</v>
      </c>
      <c r="H1012" s="1"/>
      <c r="I1012" s="1"/>
    </row>
    <row r="1013">
      <c r="A1013" s="2">
        <f>IFERROR(__xludf.DUMMYFUNCTION("""COMPUTED_VALUE"""),44044.0)</f>
        <v>44044</v>
      </c>
      <c r="B1013" s="1" t="str">
        <f>IFERROR(__xludf.DUMMYFUNCTION("""COMPUTED_VALUE"""),"Wisconsin")</f>
        <v>Wisconsin</v>
      </c>
      <c r="C1013" s="1" t="str">
        <f>IFERROR(__xludf.DUMMYFUNCTION("""COMPUTED_VALUE"""),"Mask Mandate")</f>
        <v>Mask Mandate</v>
      </c>
      <c r="D1013" s="1" t="str">
        <f>IFERROR(__xludf.DUMMYFUNCTION("""COMPUTED_VALUE"""),"Start")</f>
        <v>Start</v>
      </c>
      <c r="E1013" s="1" t="str">
        <f>IFERROR(__xludf.DUMMYFUNCTION("""COMPUTED_VALUE"""),"Gov. Tony Evers issued a public health emergency and an emergency order that requires a face covering to be worn when indoors or in an enclosed space and not in a private residence, for residents who are 5 and older. The order is set to expire on Septembe"&amp;"r 28.
")</f>
        <v>Gov. Tony Evers issued a public health emergency and an emergency order that requires a face covering to be worn when indoors or in an enclosed space and not in a private residence, for residents who are 5 and older. The order is set to expire on September 28.
</v>
      </c>
      <c r="F1013" s="1" t="str">
        <f>IFERROR(__xludf.DUMMYFUNCTION("""COMPUTED_VALUE"""),"CNN")</f>
        <v>CNN</v>
      </c>
      <c r="G1013" s="3" t="str">
        <f>IFERROR(__xludf.DUMMYFUNCTION("""COMPUTED_VALUE"""),"https://www.cnn.com/2020/06/19/us/states-face-mask-coronavirus-trnd/index.html")</f>
        <v>https://www.cnn.com/2020/06/19/us/states-face-mask-coronavirus-trnd/index.html</v>
      </c>
      <c r="H1013" s="1"/>
      <c r="I1013" s="1"/>
    </row>
    <row r="1014">
      <c r="A1014" s="2">
        <f>IFERROR(__xludf.DUMMYFUNCTION("""COMPUTED_VALUE"""),44097.0)</f>
        <v>44097</v>
      </c>
      <c r="B1014" s="1" t="str">
        <f>IFERROR(__xludf.DUMMYFUNCTION("""COMPUTED_VALUE"""),"Wisconsin")</f>
        <v>Wisconsin</v>
      </c>
      <c r="C1014" s="1" t="str">
        <f>IFERROR(__xludf.DUMMYFUNCTION("""COMPUTED_VALUE"""),"State Proclamations ")</f>
        <v>State Proclamations </v>
      </c>
      <c r="D1014" s="1" t="str">
        <f>IFERROR(__xludf.DUMMYFUNCTION("""COMPUTED_VALUE"""),"Closing")</f>
        <v>Closing</v>
      </c>
      <c r="E1014" s="1" t="str">
        <f>IFERROR(__xludf.DUMMYFUNCTION("""COMPUTED_VALUE"""),"The governor extended the mask requirements through late November.")</f>
        <v>The governor extended the mask requirements through late November.</v>
      </c>
      <c r="F1014" s="1" t="str">
        <f>IFERROR(__xludf.DUMMYFUNCTION("""COMPUTED_VALUE"""),"National Academy for State Health Policy")</f>
        <v>National Academy for State Health Policy</v>
      </c>
      <c r="G1014" s="3" t="str">
        <f>IFERROR(__xludf.DUMMYFUNCTION("""COMPUTED_VALUE"""),"https://www.nashp.org/2020-state-reopening-chart/")</f>
        <v>https://www.nashp.org/2020-state-reopening-chart/</v>
      </c>
      <c r="H1014" s="1"/>
      <c r="I1014" s="1"/>
    </row>
    <row r="1015">
      <c r="A1015" s="2">
        <f>IFERROR(__xludf.DUMMYFUNCTION("""COMPUTED_VALUE"""),44111.0)</f>
        <v>44111</v>
      </c>
      <c r="B1015" s="1" t="str">
        <f>IFERROR(__xludf.DUMMYFUNCTION("""COMPUTED_VALUE"""),"Wisconsin")</f>
        <v>Wisconsin</v>
      </c>
      <c r="C1015" s="1" t="str">
        <f>IFERROR(__xludf.DUMMYFUNCTION("""COMPUTED_VALUE"""),"State Proclamations ")</f>
        <v>State Proclamations </v>
      </c>
      <c r="D1015" s="1" t="str">
        <f>IFERROR(__xludf.DUMMYFUNCTION("""COMPUTED_VALUE"""),"Closing")</f>
        <v>Closing</v>
      </c>
      <c r="E1015" s="1" t="str">
        <f>IFERROR(__xludf.DUMMYFUNCTION("""COMPUTED_VALUE"""),"Indoor gatherings are limitted to 25% capacity. Colleges, schools, churches, polling locations, rallies, and outdoor venues are exempt from the order.")</f>
        <v>Indoor gatherings are limitted to 25% capacity. Colleges, schools, churches, polling locations, rallies, and outdoor venues are exempt from the order.</v>
      </c>
      <c r="F1015" s="1" t="str">
        <f>IFERROR(__xludf.DUMMYFUNCTION("""COMPUTED_VALUE"""),"National Academy for State Health Policy")</f>
        <v>National Academy for State Health Policy</v>
      </c>
      <c r="G1015" s="3" t="str">
        <f>IFERROR(__xludf.DUMMYFUNCTION("""COMPUTED_VALUE"""),"https://www.nashp.org/2020-state-reopening-chart/")</f>
        <v>https://www.nashp.org/2020-state-reopening-chart/</v>
      </c>
      <c r="H1015" s="1"/>
      <c r="I1015" s="1"/>
    </row>
    <row r="1016">
      <c r="A1016" s="2">
        <f>IFERROR(__xludf.DUMMYFUNCTION("""COMPUTED_VALUE"""),44118.0)</f>
        <v>44118</v>
      </c>
      <c r="B1016" s="1" t="str">
        <f>IFERROR(__xludf.DUMMYFUNCTION("""COMPUTED_VALUE"""),"Wisconsin")</f>
        <v>Wisconsin</v>
      </c>
      <c r="C1016" s="1" t="str">
        <f>IFERROR(__xludf.DUMMYFUNCTION("""COMPUTED_VALUE"""),"State Proclamations ")</f>
        <v>State Proclamations </v>
      </c>
      <c r="D1016" s="1" t="str">
        <f>IFERROR(__xludf.DUMMYFUNCTION("""COMPUTED_VALUE"""),"Opening")</f>
        <v>Opening</v>
      </c>
      <c r="E1016" s="1" t="str">
        <f>IFERROR(__xludf.DUMMYFUNCTION("""COMPUTED_VALUE"""),"A county judge blocked enforcement of the governor's order restricting indoor gatherings until a lawsuit filed by restaurants and bars is litigated.")</f>
        <v>A county judge blocked enforcement of the governor's order restricting indoor gatherings until a lawsuit filed by restaurants and bars is litigated.</v>
      </c>
      <c r="F1016" s="1" t="str">
        <f>IFERROR(__xludf.DUMMYFUNCTION("""COMPUTED_VALUE"""),"National Academy for State Health Policy")</f>
        <v>National Academy for State Health Policy</v>
      </c>
      <c r="G1016" s="3" t="str">
        <f>IFERROR(__xludf.DUMMYFUNCTION("""COMPUTED_VALUE"""),"https://www.nashp.org/2020-state-reopening-chart/")</f>
        <v>https://www.nashp.org/2020-state-reopening-chart/</v>
      </c>
      <c r="H1016" s="1"/>
      <c r="I1016" s="1"/>
    </row>
    <row r="1017">
      <c r="A1017" s="2">
        <f>IFERROR(__xludf.DUMMYFUNCTION("""COMPUTED_VALUE"""),44123.0)</f>
        <v>44123</v>
      </c>
      <c r="B1017" s="1" t="str">
        <f>IFERROR(__xludf.DUMMYFUNCTION("""COMPUTED_VALUE"""),"Wisconsin")</f>
        <v>Wisconsin</v>
      </c>
      <c r="C1017" s="1" t="str">
        <f>IFERROR(__xludf.DUMMYFUNCTION("""COMPUTED_VALUE"""),"State Proclamations ")</f>
        <v>State Proclamations </v>
      </c>
      <c r="D1017" s="1" t="str">
        <f>IFERROR(__xludf.DUMMYFUNCTION("""COMPUTED_VALUE"""),"Closing")</f>
        <v>Closing</v>
      </c>
      <c r="E1017" s="1" t="str">
        <f>IFERROR(__xludf.DUMMYFUNCTION("""COMPUTED_VALUE"""),"A judge allowed the governor's order limiting public gatherings in bars and restaurants to go into effect, overturning a court ruling last week that blocked enforcement of the order while the case was being litigated.")</f>
        <v>A judge allowed the governor's order limiting public gatherings in bars and restaurants to go into effect, overturning a court ruling last week that blocked enforcement of the order while the case was being litigated.</v>
      </c>
      <c r="F1017" s="1" t="str">
        <f>IFERROR(__xludf.DUMMYFUNCTION("""COMPUTED_VALUE"""),"National Academy for State Health Policy")</f>
        <v>National Academy for State Health Policy</v>
      </c>
      <c r="G1017" s="3" t="str">
        <f>IFERROR(__xludf.DUMMYFUNCTION("""COMPUTED_VALUE"""),"https://www.nashp.org/2020-state-reopening-chart/")</f>
        <v>https://www.nashp.org/2020-state-reopening-chart/</v>
      </c>
      <c r="H1017" s="1"/>
      <c r="I1017" s="1"/>
    </row>
    <row r="1018">
      <c r="A1018" s="2">
        <f>IFERROR(__xludf.DUMMYFUNCTION("""COMPUTED_VALUE"""),44127.0)</f>
        <v>44127</v>
      </c>
      <c r="B1018" s="1" t="str">
        <f>IFERROR(__xludf.DUMMYFUNCTION("""COMPUTED_VALUE"""),"Wisconsin")</f>
        <v>Wisconsin</v>
      </c>
      <c r="C1018" s="1" t="str">
        <f>IFERROR(__xludf.DUMMYFUNCTION("""COMPUTED_VALUE"""),"State Proclamations ")</f>
        <v>State Proclamations </v>
      </c>
      <c r="D1018" s="1" t="str">
        <f>IFERROR(__xludf.DUMMYFUNCTION("""COMPUTED_VALUE"""),"Opening")</f>
        <v>Opening</v>
      </c>
      <c r="E1018" s="1" t="str">
        <f>IFERROR(__xludf.DUMMYFUNCTION("""COMPUTED_VALUE"""),"A judge again blocked the governor's restrictions on indoor gatherings and capacity limits for restaurants and bars.")</f>
        <v>A judge again blocked the governor's restrictions on indoor gatherings and capacity limits for restaurants and bars.</v>
      </c>
      <c r="F1018" s="1" t="str">
        <f>IFERROR(__xludf.DUMMYFUNCTION("""COMPUTED_VALUE"""),"National Academy for State Health Policy")</f>
        <v>National Academy for State Health Policy</v>
      </c>
      <c r="G1018" s="3" t="str">
        <f>IFERROR(__xludf.DUMMYFUNCTION("""COMPUTED_VALUE"""),"https://www.nashp.org/2020-state-reopening-chart/")</f>
        <v>https://www.nashp.org/2020-state-reopening-chart/</v>
      </c>
      <c r="H1018" s="1"/>
      <c r="I1018" s="1"/>
    </row>
    <row r="1019">
      <c r="A1019" s="2">
        <f>IFERROR(__xludf.DUMMYFUNCTION("""COMPUTED_VALUE"""),44153.0)</f>
        <v>44153</v>
      </c>
      <c r="B1019" s="1" t="str">
        <f>IFERROR(__xludf.DUMMYFUNCTION("""COMPUTED_VALUE"""),"Wisconsin")</f>
        <v>Wisconsin</v>
      </c>
      <c r="C1019" s="1" t="str">
        <f>IFERROR(__xludf.DUMMYFUNCTION("""COMPUTED_VALUE"""),"State Proclamations ")</f>
        <v>State Proclamations </v>
      </c>
      <c r="D1019" s="1" t="str">
        <f>IFERROR(__xludf.DUMMYFUNCTION("""COMPUTED_VALUE"""),"Closing")</f>
        <v>Closing</v>
      </c>
      <c r="E1019" s="1" t="str">
        <f>IFERROR(__xludf.DUMMYFUNCTION("""COMPUTED_VALUE"""),"The governor extended the mask mandate until mid-January 2021.")</f>
        <v>The governor extended the mask mandate until mid-January 2021.</v>
      </c>
      <c r="F1019" s="1" t="str">
        <f>IFERROR(__xludf.DUMMYFUNCTION("""COMPUTED_VALUE"""),"National Academy for State Health Policy")</f>
        <v>National Academy for State Health Policy</v>
      </c>
      <c r="G1019" s="3" t="str">
        <f>IFERROR(__xludf.DUMMYFUNCTION("""COMPUTED_VALUE"""),"https://www.nashp.org/2020-state-reopening-chart/")</f>
        <v>https://www.nashp.org/2020-state-reopening-chart/</v>
      </c>
      <c r="H1019" s="1"/>
      <c r="I1019" s="1"/>
    </row>
    <row r="1020">
      <c r="A1020" s="2">
        <f>IFERROR(__xludf.DUMMYFUNCTION("""COMPUTED_VALUE"""),44222.0)</f>
        <v>44222</v>
      </c>
      <c r="B1020" s="1" t="str">
        <f>IFERROR(__xludf.DUMMYFUNCTION("""COMPUTED_VALUE"""),"Wisconsin")</f>
        <v>Wisconsin</v>
      </c>
      <c r="C1020" s="1" t="str">
        <f>IFERROR(__xludf.DUMMYFUNCTION("""COMPUTED_VALUE"""),"State Proclamations ")</f>
        <v>State Proclamations </v>
      </c>
      <c r="D1020" s="1" t="str">
        <f>IFERROR(__xludf.DUMMYFUNCTION("""COMPUTED_VALUE"""),"Opening")</f>
        <v>Opening</v>
      </c>
      <c r="E1020" s="1" t="str">
        <f>IFERROR(__xludf.DUMMYFUNCTION("""COMPUTED_VALUE"""),"The Wisconsin State Senate voted 18-13 to overturn Gov. Tony Evers’s coronavirus emergency order. The order is the basis for the statewide mask mandate. The State Assembly was set to vote on the resolution Thursday, Jan. 28. If the Assembly overturns the "&amp;"emergency declaration, Evers would not have the authority to veto the resolution.")</f>
        <v>The Wisconsin State Senate voted 18-13 to overturn Gov. Tony Evers’s coronavirus emergency order. The order is the basis for the statewide mask mandate. The State Assembly was set to vote on the resolution Thursday, Jan. 28. If the Assembly overturns the emergency declaration, Evers would not have the authority to veto the resolution.</v>
      </c>
      <c r="F1020" s="1" t="str">
        <f>IFERROR(__xludf.DUMMYFUNCTION("""COMPUTED_VALUE"""),"National Academy for State Health Policy")</f>
        <v>National Academy for State Health Policy</v>
      </c>
      <c r="G1020" s="3" t="str">
        <f>IFERROR(__xludf.DUMMYFUNCTION("""COMPUTED_VALUE"""),"https://www.nashp.org/2021-covid-19-state-restrictions-re-openings-and-mask-requirements/")</f>
        <v>https://www.nashp.org/2021-covid-19-state-restrictions-re-openings-and-mask-requirements/</v>
      </c>
      <c r="H1020" s="1"/>
      <c r="I1020" s="1"/>
    </row>
    <row r="1021">
      <c r="A1021" s="2">
        <f>IFERROR(__xludf.DUMMYFUNCTION("""COMPUTED_VALUE"""),44224.0)</f>
        <v>44224</v>
      </c>
      <c r="B1021" s="1" t="str">
        <f>IFERROR(__xludf.DUMMYFUNCTION("""COMPUTED_VALUE"""),"Wisconsin")</f>
        <v>Wisconsin</v>
      </c>
      <c r="C1021" s="1" t="str">
        <f>IFERROR(__xludf.DUMMYFUNCTION("""COMPUTED_VALUE"""),"State Proclamations ")</f>
        <v>State Proclamations </v>
      </c>
      <c r="D1021" s="1" t="str">
        <f>IFERROR(__xludf.DUMMYFUNCTION("""COMPUTED_VALUE"""),"Closing")</f>
        <v>Closing</v>
      </c>
      <c r="E1021" s="1" t="str">
        <f>IFERROR(__xludf.DUMMYFUNCTION("""COMPUTED_VALUE"""),"The State Assembly cancelled the vote on the governor's emergency order and mask mandate due to the possibility of losing $50 million in federal food assistance funding.")</f>
        <v>The State Assembly cancelled the vote on the governor's emergency order and mask mandate due to the possibility of losing $50 million in federal food assistance funding.</v>
      </c>
      <c r="F1021" s="1" t="str">
        <f>IFERROR(__xludf.DUMMYFUNCTION("""COMPUTED_VALUE"""),"National Academy for State Health Policy")</f>
        <v>National Academy for State Health Policy</v>
      </c>
      <c r="G1021" s="3" t="str">
        <f>IFERROR(__xludf.DUMMYFUNCTION("""COMPUTED_VALUE"""),"https://www.nashp.org/2021-covid-19-state-restrictions-re-openings-and-mask-requirements/")</f>
        <v>https://www.nashp.org/2021-covid-19-state-restrictions-re-openings-and-mask-requirements/</v>
      </c>
      <c r="H1021" s="1"/>
      <c r="I1021" s="1"/>
    </row>
    <row r="1022">
      <c r="A1022" s="2">
        <f>IFERROR(__xludf.DUMMYFUNCTION("""COMPUTED_VALUE"""),44231.0)</f>
        <v>44231</v>
      </c>
      <c r="B1022" s="1" t="str">
        <f>IFERROR(__xludf.DUMMYFUNCTION("""COMPUTED_VALUE"""),"Wisconsin")</f>
        <v>Wisconsin</v>
      </c>
      <c r="C1022" s="1" t="str">
        <f>IFERROR(__xludf.DUMMYFUNCTION("""COMPUTED_VALUE"""),"State Proclamations ")</f>
        <v>State Proclamations </v>
      </c>
      <c r="D1022" s="1" t="str">
        <f>IFERROR(__xludf.DUMMYFUNCTION("""COMPUTED_VALUE"""),"Closing")</f>
        <v>Closing</v>
      </c>
      <c r="E1022" s="1" t="str">
        <f>IFERROR(__xludf.DUMMYFUNCTION("""COMPUTED_VALUE"""),"The state legislature voted to eliminate the governor's emergency order and mask mandate. Only about an hour after the vote, the governor issued a new emergency order and mask mandate. The issue went to the Wisconsin Supreme Court.")</f>
        <v>The state legislature voted to eliminate the governor's emergency order and mask mandate. Only about an hour after the vote, the governor issued a new emergency order and mask mandate. The issue went to the Wisconsin Supreme Court.</v>
      </c>
      <c r="F1022" s="1" t="str">
        <f>IFERROR(__xludf.DUMMYFUNCTION("""COMPUTED_VALUE"""),"National Academy for State Health Policy")</f>
        <v>National Academy for State Health Policy</v>
      </c>
      <c r="G1022" s="3" t="str">
        <f>IFERROR(__xludf.DUMMYFUNCTION("""COMPUTED_VALUE"""),"https://www.nashp.org/2021-covid-19-state-restrictions-re-openings-and-mask-requirements/")</f>
        <v>https://www.nashp.org/2021-covid-19-state-restrictions-re-openings-and-mask-requirements/</v>
      </c>
      <c r="H1022" s="1"/>
      <c r="I1022" s="1"/>
    </row>
    <row r="1023">
      <c r="A1023" s="2">
        <f>IFERROR(__xludf.DUMMYFUNCTION("""COMPUTED_VALUE"""),44276.0)</f>
        <v>44276</v>
      </c>
      <c r="B1023" s="1" t="str">
        <f>IFERROR(__xludf.DUMMYFUNCTION("""COMPUTED_VALUE"""),"Wisconsin")</f>
        <v>Wisconsin</v>
      </c>
      <c r="C1023" s="1" t="str">
        <f>IFERROR(__xludf.DUMMYFUNCTION("""COMPUTED_VALUE"""),"Mask Mandate")</f>
        <v>Mask Mandate</v>
      </c>
      <c r="D1023" s="1" t="str">
        <f>IFERROR(__xludf.DUMMYFUNCTION("""COMPUTED_VALUE"""),"End")</f>
        <v>End</v>
      </c>
      <c r="E1023" s="1" t="str">
        <f>IFERROR(__xludf.DUMMYFUNCTION("""COMPUTED_VALUE"""),"On March 31, a Wisconsin Supreme Court ruling ended the mask mandate")</f>
        <v>On March 31, a Wisconsin Supreme Court ruling ended the mask mandate</v>
      </c>
      <c r="F1023" s="1" t="str">
        <f>IFERROR(__xludf.DUMMYFUNCTION("""COMPUTED_VALUE"""),"National Academy for State Health Policy")</f>
        <v>National Academy for State Health Policy</v>
      </c>
      <c r="G1023" s="3" t="str">
        <f>IFERROR(__xludf.DUMMYFUNCTION("""COMPUTED_VALUE"""),"https://www.nashp.org/2021-covid-19-state-restrictions-re-openings-and-mask-requirements/")</f>
        <v>https://www.nashp.org/2021-covid-19-state-restrictions-re-openings-and-mask-requirements/</v>
      </c>
      <c r="H1023" s="1"/>
      <c r="I1023" s="1"/>
    </row>
    <row r="1024">
      <c r="A1024" s="2">
        <f>IFERROR(__xludf.DUMMYFUNCTION("""COMPUTED_VALUE"""),44286.0)</f>
        <v>44286</v>
      </c>
      <c r="B1024" s="1" t="str">
        <f>IFERROR(__xludf.DUMMYFUNCTION("""COMPUTED_VALUE"""),"Wisconsin")</f>
        <v>Wisconsin</v>
      </c>
      <c r="C1024" s="1" t="str">
        <f>IFERROR(__xludf.DUMMYFUNCTION("""COMPUTED_VALUE"""),"State Proclamations ")</f>
        <v>State Proclamations </v>
      </c>
      <c r="D1024" s="1" t="str">
        <f>IFERROR(__xludf.DUMMYFUNCTION("""COMPUTED_VALUE"""),"Opening")</f>
        <v>Opening</v>
      </c>
      <c r="E1024" s="1" t="str">
        <f>IFERROR(__xludf.DUMMYFUNCTION("""COMPUTED_VALUE"""),"The Wisconsin Supreme Court ruled that only a joint resolution from the legislature can extend a state of emergency beyond 60 days. The governor first declared a state of emergency in March 2020, so the ruling invalidates the current emergency order, whic"&amp;"h includes the statewide mask mandate.")</f>
        <v>The Wisconsin Supreme Court ruled that only a joint resolution from the legislature can extend a state of emergency beyond 60 days. The governor first declared a state of emergency in March 2020, so the ruling invalidates the current emergency order, which includes the statewide mask mandate.</v>
      </c>
      <c r="F1024" s="1" t="str">
        <f>IFERROR(__xludf.DUMMYFUNCTION("""COMPUTED_VALUE"""),"National Academy for State Health Policy")</f>
        <v>National Academy for State Health Policy</v>
      </c>
      <c r="G1024" s="3" t="str">
        <f>IFERROR(__xludf.DUMMYFUNCTION("""COMPUTED_VALUE"""),"https://www.nashp.org/2021-covid-19-state-restrictions-re-openings-and-mask-requirements/")</f>
        <v>https://www.nashp.org/2021-covid-19-state-restrictions-re-openings-and-mask-requirements/</v>
      </c>
      <c r="H1024" s="1"/>
      <c r="I1024" s="1"/>
    </row>
    <row r="1025">
      <c r="A1025" s="2">
        <f>IFERROR(__xludf.DUMMYFUNCTION("""COMPUTED_VALUE"""),44538.0)</f>
        <v>44538</v>
      </c>
      <c r="B1025" s="1" t="str">
        <f>IFERROR(__xludf.DUMMYFUNCTION("""COMPUTED_VALUE"""),"Wisconsin")</f>
        <v>Wisconsin</v>
      </c>
      <c r="C1025" s="1" t="str">
        <f>IFERROR(__xludf.DUMMYFUNCTION("""COMPUTED_VALUE"""),"State Proclamations ")</f>
        <v>State Proclamations </v>
      </c>
      <c r="D1025" s="1" t="str">
        <f>IFERROR(__xludf.DUMMYFUNCTION("""COMPUTED_VALUE"""),"Closing")</f>
        <v>Closing</v>
      </c>
      <c r="E1025" s="1" t="str">
        <f>IFERROR(__xludf.DUMMYFUNCTION("""COMPUTED_VALUE"""),"Department of Health Services Secretary Karen Timberlake announced the state is utilizing 60 National Guard nurses to fill in as nursing assistants at state-run mental institutions due to staffing shortages.")</f>
        <v>Department of Health Services Secretary Karen Timberlake announced the state is utilizing 60 National Guard nurses to fill in as nursing assistants at state-run mental institutions due to staffing shortages.</v>
      </c>
      <c r="F1025" s="1" t="str">
        <f>IFERROR(__xludf.DUMMYFUNCTION("""COMPUTED_VALUE"""),"National Academy for State Health Policy")</f>
        <v>National Academy for State Health Policy</v>
      </c>
      <c r="G1025" s="3" t="str">
        <f>IFERROR(__xludf.DUMMYFUNCTION("""COMPUTED_VALUE"""),"https://www.nashp.org/2021-covid-19-state-restrictions-re-openings-and-mask-requirements/")</f>
        <v>https://www.nashp.org/2021-covid-19-state-restrictions-re-openings-and-mask-requirements/</v>
      </c>
      <c r="H1025" s="1"/>
      <c r="I1025" s="1"/>
    </row>
    <row r="1026">
      <c r="A1026" s="2">
        <f>IFERROR(__xludf.DUMMYFUNCTION("""COMPUTED_VALUE"""),43903.0)</f>
        <v>43903</v>
      </c>
      <c r="B1026" s="1" t="str">
        <f>IFERROR(__xludf.DUMMYFUNCTION("""COMPUTED_VALUE"""),"Wyoming")</f>
        <v>Wyoming</v>
      </c>
      <c r="C1026" s="1" t="str">
        <f>IFERROR(__xludf.DUMMYFUNCTION("""COMPUTED_VALUE"""),"State of Emergency")</f>
        <v>State of Emergency</v>
      </c>
      <c r="D1026" s="1" t="str">
        <f>IFERROR(__xludf.DUMMYFUNCTION("""COMPUTED_VALUE"""),"Start")</f>
        <v>Start</v>
      </c>
      <c r="E1026" s="1" t="str">
        <f>IFERROR(__xludf.DUMMYFUNCTION("""COMPUTED_VALUE"""),"Gov. Mark Gordon declared a state of emergency on March 13.")</f>
        <v>Gov. Mark Gordon declared a state of emergency on March 13.</v>
      </c>
      <c r="F1026" s="1" t="str">
        <f>IFERROR(__xludf.DUMMYFUNCTION("""COMPUTED_VALUE"""),"Business Insider")</f>
        <v>Business Insider</v>
      </c>
      <c r="G1026" s="3" t="str">
        <f>IFERROR(__xludf.DUMMYFUNCTION("""COMPUTED_VALUE"""),"https://www.businessinsider.com/california-washington-state-of-emergency-coronavirus-what-it-means-2020-3#wyoming-43")</f>
        <v>https://www.businessinsider.com/california-washington-state-of-emergency-coronavirus-what-it-means-2020-3#wyoming-43</v>
      </c>
      <c r="H1026" s="1"/>
      <c r="I1026" s="1"/>
    </row>
    <row r="1027">
      <c r="A1027" s="2">
        <f>IFERROR(__xludf.DUMMYFUNCTION("""COMPUTED_VALUE"""),43945.0)</f>
        <v>43945</v>
      </c>
      <c r="B1027" s="1" t="str">
        <f>IFERROR(__xludf.DUMMYFUNCTION("""COMPUTED_VALUE"""),"Wyoming")</f>
        <v>Wyoming</v>
      </c>
      <c r="C1027" s="1" t="str">
        <f>IFERROR(__xludf.DUMMYFUNCTION("""COMPUTED_VALUE"""),"State Proclamations ")</f>
        <v>State Proclamations </v>
      </c>
      <c r="D1027" s="1" t="str">
        <f>IFERROR(__xludf.DUMMYFUNCTION("""COMPUTED_VALUE"""),"Opening")</f>
        <v>Opening</v>
      </c>
      <c r="E1027" s="1" t="str">
        <f>IFERROR(__xludf.DUMMYFUNCTION("""COMPUTED_VALUE"""),"Wyoming never issued a stay-at-home order and instead closed certain businesses. The state has reopened restaurant dining, personal care services, houses of worship, movie theaters, gyms, and entertainment venues. Nonessential medical procedures resumed A"&amp;"pril 24.")</f>
        <v>Wyoming never issued a stay-at-home order and instead closed certain businesses. The state has reopened restaurant dining, personal care services, houses of worship, movie theaters, gyms, and entertainment venues. Nonessential medical procedures resumed April 24.</v>
      </c>
      <c r="F1027" s="1" t="str">
        <f>IFERROR(__xludf.DUMMYFUNCTION("""COMPUTED_VALUE"""),"National Academy for State Health Policy")</f>
        <v>National Academy for State Health Policy</v>
      </c>
      <c r="G1027" s="3" t="str">
        <f>IFERROR(__xludf.DUMMYFUNCTION("""COMPUTED_VALUE"""),"https://www.nashp.org/2020-state-reopening-chart/")</f>
        <v>https://www.nashp.org/2020-state-reopening-chart/</v>
      </c>
      <c r="H1027" s="1"/>
      <c r="I1027" s="1"/>
    </row>
    <row r="1028">
      <c r="A1028" s="2">
        <f>IFERROR(__xludf.DUMMYFUNCTION("""COMPUTED_VALUE"""),43999.0)</f>
        <v>43999</v>
      </c>
      <c r="B1028" s="1" t="str">
        <f>IFERROR(__xludf.DUMMYFUNCTION("""COMPUTED_VALUE"""),"Wyoming")</f>
        <v>Wyoming</v>
      </c>
      <c r="C1028" s="1" t="str">
        <f>IFERROR(__xludf.DUMMYFUNCTION("""COMPUTED_VALUE"""),"State Proclamations ")</f>
        <v>State Proclamations </v>
      </c>
      <c r="D1028" s="1" t="str">
        <f>IFERROR(__xludf.DUMMYFUNCTION("""COMPUTED_VALUE"""),"Opening")</f>
        <v>Opening</v>
      </c>
      <c r="E1028" s="1" t="str">
        <f>IFERROR(__xludf.DUMMYFUNCTION("""COMPUTED_VALUE"""),"Outdoor in-person visitation at long-term care facilities is permitted.")</f>
        <v>Outdoor in-person visitation at long-term care facilities is permitted.</v>
      </c>
      <c r="F1028" s="1" t="str">
        <f>IFERROR(__xludf.DUMMYFUNCTION("""COMPUTED_VALUE"""),"National Academy for State Health Policy")</f>
        <v>National Academy for State Health Policy</v>
      </c>
      <c r="G1028" s="3" t="str">
        <f>IFERROR(__xludf.DUMMYFUNCTION("""COMPUTED_VALUE"""),"https://www.nashp.org/2020-state-reopening-chart/")</f>
        <v>https://www.nashp.org/2020-state-reopening-chart/</v>
      </c>
      <c r="H1028" s="1"/>
      <c r="I1028" s="1"/>
    </row>
    <row r="1029">
      <c r="A1029" s="2">
        <f>IFERROR(__xludf.DUMMYFUNCTION("""COMPUTED_VALUE"""),44011.0)</f>
        <v>44011</v>
      </c>
      <c r="B1029" s="1" t="str">
        <f>IFERROR(__xludf.DUMMYFUNCTION("""COMPUTED_VALUE"""),"Wyoming")</f>
        <v>Wyoming</v>
      </c>
      <c r="C1029" s="1" t="str">
        <f>IFERROR(__xludf.DUMMYFUNCTION("""COMPUTED_VALUE"""),"State Proclamations ")</f>
        <v>State Proclamations </v>
      </c>
      <c r="D1029" s="1" t="str">
        <f>IFERROR(__xludf.DUMMYFUNCTION("""COMPUTED_VALUE"""),"Closing")</f>
        <v>Closing</v>
      </c>
      <c r="E1029" s="1" t="str">
        <f>IFERROR(__xludf.DUMMYFUNCTION("""COMPUTED_VALUE"""),"Due to a surge in new cases, the governor decided to extend current health orders through July 15.")</f>
        <v>Due to a surge in new cases, the governor decided to extend current health orders through July 15.</v>
      </c>
      <c r="F1029" s="1" t="str">
        <f>IFERROR(__xludf.DUMMYFUNCTION("""COMPUTED_VALUE"""),"National Academy for State Health Policy")</f>
        <v>National Academy for State Health Policy</v>
      </c>
      <c r="G1029" s="3" t="str">
        <f>IFERROR(__xludf.DUMMYFUNCTION("""COMPUTED_VALUE"""),"https://www.nashp.org/2020-state-reopening-chart/")</f>
        <v>https://www.nashp.org/2020-state-reopening-chart/</v>
      </c>
      <c r="H1029" s="1"/>
      <c r="I1029" s="1"/>
    </row>
    <row r="1030">
      <c r="A1030" s="2">
        <f>IFERROR(__xludf.DUMMYFUNCTION("""COMPUTED_VALUE"""),44013.0)</f>
        <v>44013</v>
      </c>
      <c r="B1030" s="1" t="str">
        <f>IFERROR(__xludf.DUMMYFUNCTION("""COMPUTED_VALUE"""),"Wyoming")</f>
        <v>Wyoming</v>
      </c>
      <c r="C1030" s="1" t="str">
        <f>IFERROR(__xludf.DUMMYFUNCTION("""COMPUTED_VALUE"""),"State Proclamations ")</f>
        <v>State Proclamations </v>
      </c>
      <c r="D1030" s="1" t="str">
        <f>IFERROR(__xludf.DUMMYFUNCTION("""COMPUTED_VALUE"""),"Opening")</f>
        <v>Opening</v>
      </c>
      <c r="E1030" s="1" t="str">
        <f>IFERROR(__xludf.DUMMYFUNCTION("""COMPUTED_VALUE"""),"Gatherings of up to 250 people are permitted.")</f>
        <v>Gatherings of up to 250 people are permitted.</v>
      </c>
      <c r="F1030" s="1" t="str">
        <f>IFERROR(__xludf.DUMMYFUNCTION("""COMPUTED_VALUE"""),"National Academy for State Health Policy")</f>
        <v>National Academy for State Health Policy</v>
      </c>
      <c r="G1030" s="3" t="str">
        <f>IFERROR(__xludf.DUMMYFUNCTION("""COMPUTED_VALUE"""),"https://www.nashp.org/2020-state-reopening-chart/")</f>
        <v>https://www.nashp.org/2020-state-reopening-chart/</v>
      </c>
      <c r="H1030" s="1"/>
      <c r="I1030" s="1"/>
    </row>
    <row r="1031">
      <c r="A1031" s="2">
        <f>IFERROR(__xludf.DUMMYFUNCTION("""COMPUTED_VALUE"""),44059.0)</f>
        <v>44059</v>
      </c>
      <c r="B1031" s="1" t="str">
        <f>IFERROR(__xludf.DUMMYFUNCTION("""COMPUTED_VALUE"""),"Wyoming")</f>
        <v>Wyoming</v>
      </c>
      <c r="C1031" s="1" t="str">
        <f>IFERROR(__xludf.DUMMYFUNCTION("""COMPUTED_VALUE"""),"State Proclamations ")</f>
        <v>State Proclamations </v>
      </c>
      <c r="D1031" s="1" t="str">
        <f>IFERROR(__xludf.DUMMYFUNCTION("""COMPUTED_VALUE"""),"Opening")</f>
        <v>Opening</v>
      </c>
      <c r="E1031" s="1" t="str">
        <f>IFERROR(__xludf.DUMMYFUNCTION("""COMPUTED_VALUE"""),"Outdoor venues can hold gatherings of up to 1,000 people.")</f>
        <v>Outdoor venues can hold gatherings of up to 1,000 people.</v>
      </c>
      <c r="F1031" s="1" t="str">
        <f>IFERROR(__xludf.DUMMYFUNCTION("""COMPUTED_VALUE"""),"National Academy for State Health Policy")</f>
        <v>National Academy for State Health Policy</v>
      </c>
      <c r="G1031" s="3" t="str">
        <f>IFERROR(__xludf.DUMMYFUNCTION("""COMPUTED_VALUE"""),"https://www.nashp.org/2020-state-reopening-chart/")</f>
        <v>https://www.nashp.org/2020-state-reopening-chart/</v>
      </c>
      <c r="H1031" s="1"/>
      <c r="I1031" s="1"/>
    </row>
    <row r="1032">
      <c r="A1032" s="2">
        <f>IFERROR(__xludf.DUMMYFUNCTION("""COMPUTED_VALUE"""),44103.0)</f>
        <v>44103</v>
      </c>
      <c r="B1032" s="1" t="str">
        <f>IFERROR(__xludf.DUMMYFUNCTION("""COMPUTED_VALUE"""),"Wyoming")</f>
        <v>Wyoming</v>
      </c>
      <c r="C1032" s="1" t="str">
        <f>IFERROR(__xludf.DUMMYFUNCTION("""COMPUTED_VALUE"""),"State Proclamations ")</f>
        <v>State Proclamations </v>
      </c>
      <c r="D1032" s="1" t="str">
        <f>IFERROR(__xludf.DUMMYFUNCTION("""COMPUTED_VALUE"""),"Closing")</f>
        <v>Closing</v>
      </c>
      <c r="E1032" s="1" t="str">
        <f>IFERROR(__xludf.DUMMYFUNCTION("""COMPUTED_VALUE"""),"The governor extended existing health orders through mid-October amid a surge in cases. This extends requirements for barbershops to enforce mask wearing and limits the sizes of indoor and outdoor gatherings.")</f>
        <v>The governor extended existing health orders through mid-October amid a surge in cases. This extends requirements for barbershops to enforce mask wearing and limits the sizes of indoor and outdoor gatherings.</v>
      </c>
      <c r="F1032" s="1" t="str">
        <f>IFERROR(__xludf.DUMMYFUNCTION("""COMPUTED_VALUE"""),"National Academy for State Health Policy")</f>
        <v>National Academy for State Health Policy</v>
      </c>
      <c r="G1032" s="3" t="str">
        <f>IFERROR(__xludf.DUMMYFUNCTION("""COMPUTED_VALUE"""),"https://www.nashp.org/2020-state-reopening-chart/")</f>
        <v>https://www.nashp.org/2020-state-reopening-chart/</v>
      </c>
      <c r="H1032" s="1"/>
      <c r="I1032" s="1"/>
    </row>
    <row r="1033">
      <c r="A1033" s="6">
        <f>IFERROR(__xludf.DUMMYFUNCTION("""COMPUTED_VALUE"""),44174.0)</f>
        <v>44174</v>
      </c>
      <c r="B1033" s="1" t="str">
        <f>IFERROR(__xludf.DUMMYFUNCTION("""COMPUTED_VALUE"""),"Wyoming")</f>
        <v>Wyoming</v>
      </c>
      <c r="C1033" s="1" t="str">
        <f>IFERROR(__xludf.DUMMYFUNCTION("""COMPUTED_VALUE"""),"Mask Mandate")</f>
        <v>Mask Mandate</v>
      </c>
      <c r="D1033" s="1" t="str">
        <f>IFERROR(__xludf.DUMMYFUNCTION("""COMPUTED_VALUE"""),"Start")</f>
        <v>Start</v>
      </c>
      <c r="E1033" s="1" t="str">
        <f>IFERROR(__xludf.DUMMYFUNCTION("""COMPUTED_VALUE"""),"All Public Indoor Spaces (Including Public Transport &amp; Biz's)")</f>
        <v>All Public Indoor Spaces (Including Public Transport &amp; Biz's)</v>
      </c>
      <c r="F1033" s="1" t="str">
        <f>IFERROR(__xludf.DUMMYFUNCTION("""COMPUTED_VALUE"""),"Masks4All")</f>
        <v>Masks4All</v>
      </c>
      <c r="G1033" s="3" t="str">
        <f>IFERROR(__xludf.DUMMYFUNCTION("""COMPUTED_VALUE"""),"https://masks4all.co/what-states-require-masks/")</f>
        <v>https://masks4all.co/what-states-require-masks/</v>
      </c>
      <c r="H1033" s="1"/>
      <c r="I1033" s="1"/>
    </row>
    <row r="1034">
      <c r="A1034" s="2">
        <f>IFERROR(__xludf.DUMMYFUNCTION("""COMPUTED_VALUE"""),44174.0)</f>
        <v>44174</v>
      </c>
      <c r="B1034" s="1" t="str">
        <f>IFERROR(__xludf.DUMMYFUNCTION("""COMPUTED_VALUE"""),"Wyoming")</f>
        <v>Wyoming</v>
      </c>
      <c r="C1034" s="1" t="str">
        <f>IFERROR(__xludf.DUMMYFUNCTION("""COMPUTED_VALUE"""),"State Proclamations ")</f>
        <v>State Proclamations </v>
      </c>
      <c r="D1034" s="1" t="str">
        <f>IFERROR(__xludf.DUMMYFUNCTION("""COMPUTED_VALUE"""),"Closing")</f>
        <v>Closing</v>
      </c>
      <c r="E1034" s="1" t="str">
        <f>IFERROR(__xludf.DUMMYFUNCTION("""COMPUTED_VALUE"""),"Masks are required indoors and gatherings are limited to 10 people.")</f>
        <v>Masks are required indoors and gatherings are limited to 10 people.</v>
      </c>
      <c r="F1034" s="1" t="str">
        <f>IFERROR(__xludf.DUMMYFUNCTION("""COMPUTED_VALUE"""),"National Academy for State Health Policy")</f>
        <v>National Academy for State Health Policy</v>
      </c>
      <c r="G1034" s="3" t="str">
        <f>IFERROR(__xludf.DUMMYFUNCTION("""COMPUTED_VALUE"""),"https://www.nashp.org/2020-state-reopening-chart/")</f>
        <v>https://www.nashp.org/2020-state-reopening-chart/</v>
      </c>
      <c r="H1034" s="1"/>
      <c r="I1034" s="1"/>
    </row>
    <row r="1035">
      <c r="A1035" s="2">
        <f>IFERROR(__xludf.DUMMYFUNCTION("""COMPUTED_VALUE"""),44205.0)</f>
        <v>44205</v>
      </c>
      <c r="B1035" s="1" t="str">
        <f>IFERROR(__xludf.DUMMYFUNCTION("""COMPUTED_VALUE"""),"Wyoming")</f>
        <v>Wyoming</v>
      </c>
      <c r="C1035" s="1" t="str">
        <f>IFERROR(__xludf.DUMMYFUNCTION("""COMPUTED_VALUE"""),"State Proclamations ")</f>
        <v>State Proclamations </v>
      </c>
      <c r="D1035" s="1" t="str">
        <f>IFERROR(__xludf.DUMMYFUNCTION("""COMPUTED_VALUE"""),"Opening")</f>
        <v>Opening</v>
      </c>
      <c r="E1035" s="1" t="str">
        <f>IFERROR(__xludf.DUMMYFUNCTION("""COMPUTED_VALUE"""),"Bars and restaurants will be permitted to resume serving alcohol between 10 pm and 5 am. Gyms will also be permitted to hold fitness classes with up to 25 people, up from 10 under previous restrictions.")</f>
        <v>Bars and restaurants will be permitted to resume serving alcohol between 10 pm and 5 am. Gyms will also be permitted to hold fitness classes with up to 25 people, up from 10 under previous restrictions.</v>
      </c>
      <c r="F1035" s="1" t="str">
        <f>IFERROR(__xludf.DUMMYFUNCTION("""COMPUTED_VALUE"""),"National Academy for State Health Policy")</f>
        <v>National Academy for State Health Policy</v>
      </c>
      <c r="G1035" s="3" t="str">
        <f>IFERROR(__xludf.DUMMYFUNCTION("""COMPUTED_VALUE"""),"https://www.nashp.org/2021-covid-19-state-restrictions-re-openings-and-mask-requirements/")</f>
        <v>https://www.nashp.org/2021-covid-19-state-restrictions-re-openings-and-mask-requirements/</v>
      </c>
      <c r="H1035" s="1"/>
      <c r="I1035" s="1"/>
    </row>
    <row r="1036">
      <c r="A1036" s="2">
        <f>IFERROR(__xludf.DUMMYFUNCTION("""COMPUTED_VALUE"""),44222.0)</f>
        <v>44222</v>
      </c>
      <c r="B1036" s="1" t="str">
        <f>IFERROR(__xludf.DUMMYFUNCTION("""COMPUTED_VALUE"""),"Wyoming")</f>
        <v>Wyoming</v>
      </c>
      <c r="C1036" s="1" t="str">
        <f>IFERROR(__xludf.DUMMYFUNCTION("""COMPUTED_VALUE"""),"State Proclamations ")</f>
        <v>State Proclamations </v>
      </c>
      <c r="D1036" s="1" t="str">
        <f>IFERROR(__xludf.DUMMYFUNCTION("""COMPUTED_VALUE"""),"Opening")</f>
        <v>Opening</v>
      </c>
      <c r="E1036" s="1" t="str">
        <f>IFERROR(__xludf.DUMMYFUNCTION("""COMPUTED_VALUE"""),"The capacity limit for indoor gatherings rose to 25% or 250 people, while the limit for outdoor gatherings will rise to 500. Previously, indoor gatherings had been limited to 25% capacity or 100 people, while outdoor gatherings had been limited to 50% cap"&amp;"acity or 250 people.")</f>
        <v>The capacity limit for indoor gatherings rose to 25% or 250 people, while the limit for outdoor gatherings will rise to 500. Previously, indoor gatherings had been limited to 25% capacity or 100 people, while outdoor gatherings had been limited to 50% capacity or 250 people.</v>
      </c>
      <c r="F1036" s="1" t="str">
        <f>IFERROR(__xludf.DUMMYFUNCTION("""COMPUTED_VALUE"""),"National Academy for State Health Policy")</f>
        <v>National Academy for State Health Policy</v>
      </c>
      <c r="G1036" s="3" t="str">
        <f>IFERROR(__xludf.DUMMYFUNCTION("""COMPUTED_VALUE"""),"https://www.nashp.org/2021-covid-19-state-restrictions-re-openings-and-mask-requirements/")</f>
        <v>https://www.nashp.org/2021-covid-19-state-restrictions-re-openings-and-mask-requirements/</v>
      </c>
      <c r="H1036" s="1"/>
      <c r="I1036" s="1"/>
    </row>
    <row r="1037">
      <c r="A1037" s="2">
        <f>IFERROR(__xludf.DUMMYFUNCTION("""COMPUTED_VALUE"""),44256.0)</f>
        <v>44256</v>
      </c>
      <c r="B1037" s="1" t="str">
        <f>IFERROR(__xludf.DUMMYFUNCTION("""COMPUTED_VALUE"""),"Wyoming")</f>
        <v>Wyoming</v>
      </c>
      <c r="C1037" s="1" t="str">
        <f>IFERROR(__xludf.DUMMYFUNCTION("""COMPUTED_VALUE"""),"State Proclamations ")</f>
        <v>State Proclamations </v>
      </c>
      <c r="D1037" s="1" t="str">
        <f>IFERROR(__xludf.DUMMYFUNCTION("""COMPUTED_VALUE"""),"Opening")</f>
        <v>Opening</v>
      </c>
      <c r="E1037" s="1" t="str">
        <f>IFERROR(__xludf.DUMMYFUNCTION("""COMPUTED_VALUE"""),"Restaurants can reopen buffet and self-service stations, and the number of people permitted to gather without social distancing will increase from 25 to 50 people. The number of people allowed to sit together at indoor events will also increase from 8 to "&amp;"10. Additionally, Gov. Mark Gordon removed the COVID-19 health order governing barbershops, nail salons, and tattoo parlors.")</f>
        <v>Restaurants can reopen buffet and self-service stations, and the number of people permitted to gather without social distancing will increase from 25 to 50 people. The number of people allowed to sit together at indoor events will also increase from 8 to 10. Additionally, Gov. Mark Gordon removed the COVID-19 health order governing barbershops, nail salons, and tattoo parlors.</v>
      </c>
      <c r="F1037" s="1" t="str">
        <f>IFERROR(__xludf.DUMMYFUNCTION("""COMPUTED_VALUE"""),"National Academy for State Health Policy")</f>
        <v>National Academy for State Health Policy</v>
      </c>
      <c r="G1037" s="3" t="str">
        <f>IFERROR(__xludf.DUMMYFUNCTION("""COMPUTED_VALUE"""),"https://www.nashp.org/2021-covid-19-state-restrictions-re-openings-and-mask-requirements/")</f>
        <v>https://www.nashp.org/2021-covid-19-state-restrictions-re-openings-and-mask-requirements/</v>
      </c>
      <c r="H1037" s="1"/>
      <c r="I1037" s="1"/>
    </row>
    <row r="1038">
      <c r="A1038" s="2">
        <f>IFERROR(__xludf.DUMMYFUNCTION("""COMPUTED_VALUE"""),44271.0)</f>
        <v>44271</v>
      </c>
      <c r="B1038" s="1" t="str">
        <f>IFERROR(__xludf.DUMMYFUNCTION("""COMPUTED_VALUE"""),"Wyoming")</f>
        <v>Wyoming</v>
      </c>
      <c r="C1038" s="1" t="str">
        <f>IFERROR(__xludf.DUMMYFUNCTION("""COMPUTED_VALUE"""),"State Proclamations ")</f>
        <v>State Proclamations </v>
      </c>
      <c r="D1038" s="1" t="str">
        <f>IFERROR(__xludf.DUMMYFUNCTION("""COMPUTED_VALUE"""),"Opening")</f>
        <v>Opening</v>
      </c>
      <c r="E1038" s="1" t="str">
        <f>IFERROR(__xludf.DUMMYFUNCTION("""COMPUTED_VALUE"""),"Bars, restaurants, theaters, and gyms may resume normal operations.")</f>
        <v>Bars, restaurants, theaters, and gyms may resume normal operations.</v>
      </c>
      <c r="F1038" s="1" t="str">
        <f>IFERROR(__xludf.DUMMYFUNCTION("""COMPUTED_VALUE"""),"National Academy for State Health Policy")</f>
        <v>National Academy for State Health Policy</v>
      </c>
      <c r="G1038" s="3" t="str">
        <f>IFERROR(__xludf.DUMMYFUNCTION("""COMPUTED_VALUE"""),"https://www.nashp.org/2021-covid-19-state-restrictions-re-openings-and-mask-requirements/")</f>
        <v>https://www.nashp.org/2021-covid-19-state-restrictions-re-openings-and-mask-requirements/</v>
      </c>
      <c r="H1038" s="1"/>
      <c r="I1038" s="1"/>
    </row>
    <row r="1039">
      <c r="A1039" s="1"/>
      <c r="B1039" s="1"/>
      <c r="C1039" s="1"/>
      <c r="D1039" s="1"/>
      <c r="E1039" s="1"/>
      <c r="F1039" s="1"/>
      <c r="G1039" s="1"/>
      <c r="H1039" s="1"/>
      <c r="I1039" s="1"/>
    </row>
    <row r="1040">
      <c r="A1040" s="1"/>
      <c r="B1040" s="1"/>
      <c r="C1040" s="1"/>
      <c r="D1040" s="1"/>
      <c r="E1040" s="1"/>
      <c r="F1040" s="1"/>
      <c r="G1040" s="1"/>
      <c r="H1040" s="1"/>
      <c r="I1040" s="1"/>
    </row>
    <row r="1041">
      <c r="A1041" s="1"/>
      <c r="B1041" s="1"/>
      <c r="C1041" s="1"/>
      <c r="D1041" s="1"/>
      <c r="E1041" s="1"/>
      <c r="F1041" s="1"/>
      <c r="G1041" s="1"/>
      <c r="H1041" s="1"/>
      <c r="I1041" s="1"/>
    </row>
    <row r="1042">
      <c r="A1042" s="1"/>
      <c r="B1042" s="1"/>
      <c r="C1042" s="1"/>
      <c r="D1042" s="1"/>
      <c r="E1042" s="1"/>
      <c r="F1042" s="1"/>
      <c r="G1042" s="1"/>
      <c r="H1042" s="1"/>
      <c r="I1042" s="1"/>
    </row>
    <row r="1043">
      <c r="A1043" s="1"/>
      <c r="B1043" s="1"/>
      <c r="C1043" s="1"/>
      <c r="D1043" s="1"/>
      <c r="E1043" s="1"/>
      <c r="F1043" s="1"/>
      <c r="G1043" s="1"/>
      <c r="H1043" s="1"/>
      <c r="I1043" s="1"/>
    </row>
    <row r="1044">
      <c r="A1044" s="1"/>
      <c r="B1044" s="1"/>
      <c r="C1044" s="1"/>
      <c r="D1044" s="1"/>
      <c r="E1044" s="1"/>
      <c r="F1044" s="1"/>
      <c r="G1044" s="1"/>
      <c r="H1044" s="1"/>
      <c r="I1044" s="1"/>
    </row>
    <row r="1045">
      <c r="A1045" s="1"/>
      <c r="B1045" s="1"/>
      <c r="C1045" s="1"/>
      <c r="D1045" s="1"/>
      <c r="E1045" s="1"/>
      <c r="F1045" s="1"/>
      <c r="G1045" s="1"/>
      <c r="H1045" s="1"/>
      <c r="I1045" s="1"/>
    </row>
    <row r="1046">
      <c r="A1046" s="1"/>
      <c r="B1046" s="1"/>
      <c r="C1046" s="1"/>
      <c r="D1046" s="1"/>
      <c r="E1046" s="1"/>
      <c r="F1046" s="1"/>
      <c r="G1046" s="1"/>
      <c r="H1046" s="1"/>
      <c r="I1046" s="1"/>
    </row>
    <row r="1047">
      <c r="A1047" s="1"/>
      <c r="B1047" s="1"/>
      <c r="C1047" s="1"/>
      <c r="D1047" s="1"/>
      <c r="E1047" s="1"/>
      <c r="F1047" s="1"/>
      <c r="G1047" s="1"/>
      <c r="H1047" s="1"/>
      <c r="I1047" s="1"/>
    </row>
    <row r="1048">
      <c r="A1048" s="1"/>
      <c r="B1048" s="1"/>
      <c r="C1048" s="1"/>
      <c r="D1048" s="1"/>
      <c r="E1048" s="1"/>
      <c r="F1048" s="1"/>
      <c r="G1048" s="1"/>
      <c r="H1048" s="1"/>
      <c r="I1048" s="1"/>
    </row>
    <row r="1049">
      <c r="A1049" s="1"/>
      <c r="B1049" s="1"/>
      <c r="C1049" s="1"/>
      <c r="D1049" s="1"/>
      <c r="E1049" s="1"/>
      <c r="F1049" s="1"/>
      <c r="G1049" s="1"/>
      <c r="H1049" s="1"/>
      <c r="I1049" s="1"/>
    </row>
    <row r="1050">
      <c r="A1050" s="1"/>
      <c r="B1050" s="1"/>
      <c r="C1050" s="1"/>
      <c r="D1050" s="1"/>
      <c r="E1050" s="1"/>
      <c r="F1050" s="1"/>
      <c r="G1050" s="1"/>
      <c r="H1050" s="1"/>
      <c r="I1050" s="1"/>
    </row>
    <row r="1051">
      <c r="A1051" s="1"/>
      <c r="B1051" s="1"/>
      <c r="C1051" s="1"/>
      <c r="D1051" s="1"/>
      <c r="E1051" s="1"/>
      <c r="F1051" s="1"/>
      <c r="G1051" s="1"/>
      <c r="H1051" s="1"/>
      <c r="I1051" s="1"/>
    </row>
    <row r="1052">
      <c r="A1052" s="1"/>
      <c r="B1052" s="1"/>
      <c r="C1052" s="1"/>
      <c r="D1052" s="1"/>
      <c r="E1052" s="1"/>
      <c r="F1052" s="1"/>
      <c r="G1052" s="1"/>
      <c r="H1052" s="1"/>
      <c r="I1052" s="1"/>
    </row>
    <row r="1053">
      <c r="A1053" s="1"/>
      <c r="B1053" s="1"/>
      <c r="C1053" s="1"/>
      <c r="D1053" s="1"/>
      <c r="E1053" s="1"/>
      <c r="F1053" s="1"/>
      <c r="G1053" s="1"/>
      <c r="H1053" s="1"/>
      <c r="I1053" s="1"/>
    </row>
    <row r="1054">
      <c r="A1054" s="1"/>
      <c r="B1054" s="1"/>
      <c r="C1054" s="1"/>
      <c r="D1054" s="1"/>
      <c r="E1054" s="1"/>
      <c r="F1054" s="1"/>
      <c r="G1054" s="1"/>
      <c r="H1054" s="1"/>
      <c r="I1054" s="1"/>
    </row>
    <row r="1055">
      <c r="A1055" s="1"/>
      <c r="B1055" s="1"/>
      <c r="C1055" s="1"/>
      <c r="D1055" s="1"/>
      <c r="E1055" s="1"/>
      <c r="F1055" s="1"/>
      <c r="G1055" s="1"/>
      <c r="H1055" s="1"/>
      <c r="I1055" s="1"/>
    </row>
    <row r="1056">
      <c r="A1056" s="1"/>
      <c r="B1056" s="1"/>
      <c r="C1056" s="1"/>
      <c r="D1056" s="1"/>
      <c r="E1056" s="1"/>
      <c r="F1056" s="1"/>
      <c r="G1056" s="1"/>
      <c r="H1056" s="1"/>
      <c r="I1056" s="1"/>
    </row>
    <row r="1057">
      <c r="A1057" s="1"/>
      <c r="B1057" s="1"/>
      <c r="C1057" s="1"/>
      <c r="D1057" s="1"/>
      <c r="E1057" s="1"/>
      <c r="F1057" s="1"/>
      <c r="G1057" s="1"/>
      <c r="H1057" s="1"/>
      <c r="I1057" s="1"/>
    </row>
    <row r="1058">
      <c r="A1058" s="1"/>
      <c r="B1058" s="1"/>
      <c r="C1058" s="1"/>
      <c r="D1058" s="1"/>
      <c r="E1058" s="1"/>
      <c r="F1058" s="1"/>
      <c r="G1058" s="1"/>
      <c r="H1058" s="1"/>
      <c r="I1058" s="1"/>
    </row>
    <row r="1059">
      <c r="A1059" s="1"/>
      <c r="B1059" s="1"/>
      <c r="C1059" s="1"/>
      <c r="D1059" s="1"/>
      <c r="E1059" s="1"/>
      <c r="F1059" s="1"/>
      <c r="G1059" s="1"/>
      <c r="H1059" s="1"/>
      <c r="I1059" s="1"/>
    </row>
    <row r="1060">
      <c r="A1060" s="1"/>
      <c r="B1060" s="1"/>
      <c r="C1060" s="1"/>
      <c r="D1060" s="1"/>
      <c r="E1060" s="1"/>
      <c r="F1060" s="1"/>
      <c r="G1060" s="1"/>
      <c r="H1060" s="1"/>
      <c r="I1060" s="1"/>
    </row>
    <row r="1061">
      <c r="A1061" s="1"/>
      <c r="B1061" s="1"/>
      <c r="C1061" s="1"/>
      <c r="D1061" s="1"/>
      <c r="E1061" s="1"/>
      <c r="F1061" s="1"/>
      <c r="G1061" s="1"/>
      <c r="H1061" s="1"/>
      <c r="I1061" s="1"/>
    </row>
    <row r="1062">
      <c r="A1062" s="1"/>
      <c r="B1062" s="1"/>
      <c r="C1062" s="1"/>
      <c r="D1062" s="1"/>
      <c r="E1062" s="1"/>
      <c r="F1062" s="1"/>
      <c r="G1062" s="1"/>
      <c r="H1062" s="1"/>
      <c r="I1062" s="1"/>
    </row>
    <row r="1063">
      <c r="A1063" s="1"/>
      <c r="B1063" s="1"/>
      <c r="C1063" s="1"/>
      <c r="D1063" s="1"/>
      <c r="E1063" s="1"/>
      <c r="F1063" s="1"/>
      <c r="G1063" s="1"/>
      <c r="H1063" s="1"/>
      <c r="I1063" s="1"/>
    </row>
    <row r="1064">
      <c r="A1064" s="1"/>
      <c r="B1064" s="1"/>
      <c r="C1064" s="1"/>
      <c r="D1064" s="1"/>
      <c r="E1064" s="1"/>
      <c r="F1064" s="1"/>
      <c r="G1064" s="1"/>
      <c r="H1064" s="1"/>
      <c r="I1064" s="1"/>
    </row>
    <row r="1065">
      <c r="A1065" s="1"/>
      <c r="B1065" s="1"/>
      <c r="C1065" s="1"/>
      <c r="D1065" s="1"/>
      <c r="E1065" s="1"/>
      <c r="F1065" s="1"/>
      <c r="G1065" s="1"/>
      <c r="H1065" s="1"/>
      <c r="I1065" s="1"/>
    </row>
    <row r="1066">
      <c r="A1066" s="1"/>
      <c r="B1066" s="1"/>
      <c r="C1066" s="1"/>
      <c r="D1066" s="1"/>
      <c r="E1066" s="1"/>
      <c r="F1066" s="1"/>
      <c r="G1066" s="1"/>
      <c r="H1066" s="1"/>
      <c r="I1066" s="1"/>
    </row>
    <row r="1067">
      <c r="A1067" s="1"/>
      <c r="B1067" s="1"/>
      <c r="C1067" s="1"/>
      <c r="D1067" s="1"/>
      <c r="E1067" s="1"/>
      <c r="F1067" s="1"/>
      <c r="G1067" s="1"/>
      <c r="H1067" s="1"/>
      <c r="I1067" s="1"/>
    </row>
    <row r="1068">
      <c r="A1068" s="1"/>
      <c r="B1068" s="1"/>
      <c r="C1068" s="1"/>
      <c r="D1068" s="1"/>
      <c r="E1068" s="1"/>
      <c r="F1068" s="1"/>
      <c r="G1068" s="1"/>
      <c r="H1068" s="1"/>
      <c r="I1068" s="1"/>
    </row>
    <row r="1069">
      <c r="A1069" s="1"/>
      <c r="B1069" s="1"/>
      <c r="C1069" s="1"/>
      <c r="D1069" s="1"/>
      <c r="E1069" s="1"/>
      <c r="F1069" s="1"/>
      <c r="G1069" s="1"/>
      <c r="H1069" s="1"/>
      <c r="I1069" s="1"/>
    </row>
    <row r="1070">
      <c r="A1070" s="1"/>
      <c r="B1070" s="1"/>
      <c r="C1070" s="1"/>
      <c r="D1070" s="1"/>
      <c r="E1070" s="1"/>
      <c r="F1070" s="1"/>
      <c r="G1070" s="1"/>
      <c r="H1070" s="1"/>
      <c r="I1070" s="1"/>
    </row>
    <row r="1071">
      <c r="A1071" s="1"/>
      <c r="B1071" s="1"/>
      <c r="C1071" s="1"/>
      <c r="D1071" s="1"/>
      <c r="E1071" s="1"/>
      <c r="F1071" s="1"/>
      <c r="G1071" s="1"/>
      <c r="H1071" s="1"/>
      <c r="I1071" s="1"/>
    </row>
    <row r="1072">
      <c r="A1072" s="1"/>
      <c r="B1072" s="1"/>
      <c r="C1072" s="1"/>
      <c r="D1072" s="1"/>
      <c r="E1072" s="1"/>
      <c r="F1072" s="1"/>
      <c r="G1072" s="1"/>
      <c r="H1072" s="1"/>
      <c r="I1072" s="1"/>
    </row>
    <row r="1073">
      <c r="A1073" s="1"/>
      <c r="B1073" s="1"/>
      <c r="C1073" s="1"/>
      <c r="D1073" s="1"/>
      <c r="E1073" s="1"/>
      <c r="F1073" s="1"/>
      <c r="G1073" s="1"/>
      <c r="H1073" s="1"/>
      <c r="I1073" s="1"/>
    </row>
    <row r="1074">
      <c r="A1074" s="1"/>
      <c r="B1074" s="1"/>
      <c r="C1074" s="1"/>
      <c r="D1074" s="1"/>
      <c r="E1074" s="1"/>
      <c r="F1074" s="1"/>
      <c r="G1074" s="1"/>
      <c r="H1074" s="1"/>
      <c r="I1074" s="1"/>
    </row>
    <row r="1075">
      <c r="A1075" s="1"/>
      <c r="B1075" s="1"/>
      <c r="C1075" s="1"/>
      <c r="D1075" s="1"/>
      <c r="E1075" s="1"/>
      <c r="F1075" s="1"/>
      <c r="G1075" s="1"/>
      <c r="H1075" s="1"/>
      <c r="I1075" s="1"/>
    </row>
    <row r="1076">
      <c r="A1076" s="1"/>
      <c r="B1076" s="1"/>
      <c r="C1076" s="1"/>
      <c r="D1076" s="1"/>
      <c r="E1076" s="1"/>
      <c r="F1076" s="1"/>
      <c r="G1076" s="1"/>
      <c r="H1076" s="1"/>
      <c r="I1076" s="1"/>
    </row>
    <row r="1077">
      <c r="A1077" s="1"/>
      <c r="B1077" s="1"/>
      <c r="C1077" s="1"/>
      <c r="D1077" s="1"/>
      <c r="E1077" s="1"/>
      <c r="F1077" s="1"/>
      <c r="G1077" s="1"/>
      <c r="H1077" s="1"/>
      <c r="I1077" s="1"/>
    </row>
    <row r="1078">
      <c r="A1078" s="1"/>
      <c r="B1078" s="1"/>
      <c r="C1078" s="1"/>
      <c r="D1078" s="1"/>
      <c r="E1078" s="1"/>
      <c r="F1078" s="1"/>
      <c r="G1078" s="1"/>
      <c r="H1078" s="1"/>
      <c r="I1078" s="1"/>
    </row>
    <row r="1079">
      <c r="A1079" s="1"/>
      <c r="B1079" s="1"/>
      <c r="C1079" s="1"/>
      <c r="D1079" s="1"/>
      <c r="E1079" s="1"/>
      <c r="F1079" s="1"/>
      <c r="G1079" s="1"/>
      <c r="H1079" s="1"/>
      <c r="I1079" s="1"/>
    </row>
    <row r="1080">
      <c r="A1080" s="1"/>
      <c r="B1080" s="1"/>
      <c r="C1080" s="1"/>
      <c r="D1080" s="1"/>
      <c r="E1080" s="1"/>
      <c r="F1080" s="1"/>
      <c r="G1080" s="1"/>
      <c r="H1080" s="1"/>
      <c r="I1080" s="1"/>
    </row>
    <row r="1081">
      <c r="A1081" s="1"/>
      <c r="B1081" s="1"/>
      <c r="C1081" s="1"/>
      <c r="D1081" s="1"/>
      <c r="E1081" s="1"/>
      <c r="F1081" s="1"/>
      <c r="G1081" s="1"/>
      <c r="H1081" s="1"/>
      <c r="I1081" s="1"/>
    </row>
    <row r="1082">
      <c r="A1082" s="1"/>
      <c r="B1082" s="1"/>
      <c r="C1082" s="1"/>
      <c r="D1082" s="1"/>
      <c r="E1082" s="1"/>
      <c r="F1082" s="1"/>
      <c r="G1082" s="1"/>
      <c r="H1082" s="1"/>
      <c r="I1082" s="1"/>
    </row>
    <row r="1083">
      <c r="A1083" s="1"/>
      <c r="B1083" s="1"/>
      <c r="C1083" s="1"/>
      <c r="D1083" s="1"/>
      <c r="E1083" s="1"/>
      <c r="F1083" s="1"/>
      <c r="G1083" s="1"/>
      <c r="H1083" s="1"/>
      <c r="I1083" s="1"/>
    </row>
    <row r="1084">
      <c r="A1084" s="1"/>
      <c r="B1084" s="1"/>
      <c r="C1084" s="1"/>
      <c r="D1084" s="1"/>
      <c r="E1084" s="1"/>
      <c r="F1084" s="1"/>
      <c r="G1084" s="1"/>
      <c r="H1084" s="1"/>
      <c r="I1084" s="1"/>
    </row>
    <row r="1085">
      <c r="A1085" s="1"/>
      <c r="B1085" s="1"/>
      <c r="C1085" s="1"/>
      <c r="D1085" s="1"/>
      <c r="E1085" s="1"/>
      <c r="F1085" s="1"/>
      <c r="G1085" s="1"/>
      <c r="H1085" s="1"/>
      <c r="I1085" s="1"/>
    </row>
    <row r="1086">
      <c r="A1086" s="1"/>
      <c r="B1086" s="1"/>
      <c r="C1086" s="1"/>
      <c r="D1086" s="1"/>
      <c r="E1086" s="1"/>
      <c r="F1086" s="1"/>
      <c r="G1086" s="1"/>
      <c r="H1086" s="1"/>
      <c r="I1086" s="1"/>
    </row>
    <row r="1087">
      <c r="A1087" s="1"/>
      <c r="B1087" s="1"/>
      <c r="C1087" s="1"/>
      <c r="D1087" s="1"/>
      <c r="E1087" s="1"/>
      <c r="F1087" s="1"/>
      <c r="G1087" s="1"/>
      <c r="H1087" s="1"/>
      <c r="I1087" s="1"/>
    </row>
    <row r="1088">
      <c r="A1088" s="1"/>
      <c r="B1088" s="1"/>
      <c r="C1088" s="1"/>
      <c r="D1088" s="1"/>
      <c r="E1088" s="1"/>
      <c r="F1088" s="1"/>
      <c r="G1088" s="1"/>
      <c r="H1088" s="1"/>
      <c r="I1088" s="1"/>
    </row>
    <row r="1089">
      <c r="A1089" s="1"/>
      <c r="B1089" s="1"/>
      <c r="C1089" s="1"/>
      <c r="D1089" s="1"/>
      <c r="E1089" s="1"/>
      <c r="F1089" s="1"/>
      <c r="G1089" s="1"/>
      <c r="H1089" s="1"/>
      <c r="I1089" s="1"/>
    </row>
    <row r="1090">
      <c r="A1090" s="1"/>
      <c r="B1090" s="1"/>
      <c r="C1090" s="1"/>
      <c r="D1090" s="1"/>
      <c r="E1090" s="1"/>
      <c r="F1090" s="1"/>
      <c r="G1090" s="1"/>
      <c r="H1090" s="1"/>
      <c r="I1090" s="1"/>
    </row>
    <row r="1091">
      <c r="A1091" s="1"/>
      <c r="B1091" s="1"/>
      <c r="C1091" s="1"/>
      <c r="D1091" s="1"/>
      <c r="E1091" s="1"/>
      <c r="F1091" s="1"/>
      <c r="G1091" s="1"/>
      <c r="H1091" s="1"/>
      <c r="I1091" s="1"/>
    </row>
    <row r="1092">
      <c r="A1092" s="1"/>
      <c r="B1092" s="1"/>
      <c r="C1092" s="1"/>
      <c r="D1092" s="1"/>
      <c r="E1092" s="1"/>
      <c r="F1092" s="1"/>
      <c r="G1092" s="1"/>
      <c r="H1092" s="1"/>
      <c r="I1092" s="1"/>
    </row>
    <row r="1093">
      <c r="A1093" s="1"/>
      <c r="B1093" s="1"/>
      <c r="C1093" s="1"/>
      <c r="D1093" s="1"/>
      <c r="E1093" s="1"/>
      <c r="F1093" s="1"/>
      <c r="G1093" s="1"/>
      <c r="H1093" s="1"/>
      <c r="I1093" s="1"/>
    </row>
  </sheetData>
  <hyperlinks>
    <hyperlink r:id="rId1" location="alabama-3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location="arkansas-26"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location="california-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location="colorado-11" ref="G84"/>
    <hyperlink r:id="rId83" ref="G85"/>
    <hyperlink r:id="rId84" ref="G86"/>
    <hyperlink r:id="rId85" ref="G87"/>
    <hyperlink r:id="rId86" ref="G88"/>
    <hyperlink r:id="rId87" ref="G89"/>
    <hyperlink r:id="rId88" ref="G90"/>
    <hyperlink r:id="rId89" ref="G91"/>
    <hyperlink r:id="rId90" ref="G92"/>
    <hyperlink r:id="rId91" ref="G93"/>
    <hyperlink r:id="rId92" ref="G94"/>
    <hyperlink r:id="rId93" ref="G95"/>
    <hyperlink r:id="rId94" ref="G96"/>
    <hyperlink r:id="rId95" ref="G97"/>
    <hyperlink r:id="rId96" ref="G98"/>
    <hyperlink r:id="rId97" ref="G99"/>
    <hyperlink r:id="rId98" ref="G100"/>
    <hyperlink r:id="rId99" ref="G101"/>
    <hyperlink r:id="rId100" ref="G102"/>
    <hyperlink r:id="rId101" ref="G103"/>
    <hyperlink r:id="rId102" ref="G104"/>
    <hyperlink r:id="rId103" location="connecticut-20" ref="G105"/>
    <hyperlink r:id="rId104" ref="G106"/>
    <hyperlink r:id="rId105" ref="G107"/>
    <hyperlink r:id="rId106" ref="G108"/>
    <hyperlink r:id="rId107" ref="G109"/>
    <hyperlink r:id="rId108" ref="G110"/>
    <hyperlink r:id="rId109" ref="G111"/>
    <hyperlink r:id="rId110" ref="G112"/>
    <hyperlink r:id="rId111" ref="G113"/>
    <hyperlink r:id="rId112" ref="G114"/>
    <hyperlink r:id="rId113" ref="G115"/>
    <hyperlink r:id="rId114" ref="G116"/>
    <hyperlink r:id="rId115" ref="G117"/>
    <hyperlink r:id="rId116" ref="G118"/>
    <hyperlink r:id="rId117" ref="G119"/>
    <hyperlink r:id="rId118" ref="G120"/>
    <hyperlink r:id="rId119" ref="G121"/>
    <hyperlink r:id="rId120" ref="G122"/>
    <hyperlink r:id="rId121" location="delaware-23" ref="G123"/>
    <hyperlink r:id="rId122" ref="G124"/>
    <hyperlink r:id="rId123" ref="G125"/>
    <hyperlink r:id="rId124" ref="G126"/>
    <hyperlink r:id="rId125" ref="G127"/>
    <hyperlink r:id="rId126" ref="G128"/>
    <hyperlink r:id="rId127" ref="G129"/>
    <hyperlink r:id="rId128" ref="G130"/>
    <hyperlink r:id="rId129" ref="G131"/>
    <hyperlink r:id="rId130" ref="G132"/>
    <hyperlink r:id="rId131" ref="G133"/>
    <hyperlink r:id="rId132" ref="G134"/>
    <hyperlink r:id="rId133" ref="G135"/>
    <hyperlink r:id="rId134" ref="G136"/>
    <hyperlink r:id="rId135" ref="G137"/>
    <hyperlink r:id="rId136" ref="G138"/>
    <hyperlink r:id="rId137" ref="G139"/>
    <hyperlink r:id="rId138" ref="G140"/>
    <hyperlink r:id="rId139" ref="G141"/>
    <hyperlink r:id="rId140" ref="G142"/>
    <hyperlink r:id="rId141" ref="G143"/>
    <hyperlink r:id="rId142" ref="G144"/>
    <hyperlink r:id="rId143" ref="G145"/>
    <hyperlink r:id="rId144" ref="G146"/>
    <hyperlink r:id="rId145" ref="G147"/>
    <hyperlink r:id="rId146" ref="G148"/>
    <hyperlink r:id="rId147" location="florida-7" ref="G149"/>
    <hyperlink r:id="rId148" ref="G150"/>
    <hyperlink r:id="rId149" ref="G151"/>
    <hyperlink r:id="rId150" ref="G152"/>
    <hyperlink r:id="rId151" ref="G153"/>
    <hyperlink r:id="rId152" ref="G154"/>
    <hyperlink r:id="rId153" ref="G155"/>
    <hyperlink r:id="rId154" ref="G156"/>
    <hyperlink r:id="rId155" ref="G157"/>
    <hyperlink r:id="rId156" ref="G158"/>
    <hyperlink r:id="rId157" ref="G159"/>
    <hyperlink r:id="rId158" ref="G160"/>
    <hyperlink r:id="rId159" ref="G161"/>
    <hyperlink r:id="rId160" ref="G162"/>
    <hyperlink r:id="rId161" ref="G163"/>
    <hyperlink r:id="rId162" ref="G164"/>
    <hyperlink r:id="rId163" ref="G165"/>
    <hyperlink r:id="rId164" ref="G166"/>
    <hyperlink r:id="rId165" location="georgia-38" ref="G167"/>
    <hyperlink r:id="rId166" ref="G168"/>
    <hyperlink r:id="rId167" ref="G169"/>
    <hyperlink r:id="rId168" ref="G170"/>
    <hyperlink r:id="rId169" ref="G171"/>
    <hyperlink r:id="rId170" ref="G172"/>
    <hyperlink r:id="rId171" ref="G173"/>
    <hyperlink r:id="rId172" ref="G174"/>
    <hyperlink r:id="rId173" ref="G175"/>
    <hyperlink r:id="rId174" ref="G176"/>
    <hyperlink r:id="rId175" ref="G177"/>
    <hyperlink r:id="rId176" ref="G178"/>
    <hyperlink r:id="rId177" ref="G179"/>
    <hyperlink r:id="rId178" ref="G180"/>
    <hyperlink r:id="rId179" ref="G181"/>
    <hyperlink r:id="rId180" ref="G182"/>
    <hyperlink r:id="rId181" ref="G183"/>
    <hyperlink r:id="rId182" ref="G184"/>
    <hyperlink r:id="rId183" ref="G185"/>
    <hyperlink r:id="rId184" location="hawaii-29" ref="G186"/>
    <hyperlink r:id="rId185" ref="G187"/>
    <hyperlink r:id="rId186" ref="G188"/>
    <hyperlink r:id="rId187" ref="G189"/>
    <hyperlink r:id="rId188" ref="G190"/>
    <hyperlink r:id="rId189" ref="G191"/>
    <hyperlink r:id="rId190" ref="G192"/>
    <hyperlink r:id="rId191" ref="G193"/>
    <hyperlink r:id="rId192" ref="G194"/>
    <hyperlink r:id="rId193" ref="G195"/>
    <hyperlink r:id="rId194" ref="G196"/>
    <hyperlink r:id="rId195" ref="G197"/>
    <hyperlink r:id="rId196" ref="G198"/>
    <hyperlink r:id="rId197" ref="G199"/>
    <hyperlink r:id="rId198" ref="G200"/>
    <hyperlink r:id="rId199" ref="G201"/>
    <hyperlink r:id="rId200" ref="G202"/>
    <hyperlink r:id="rId201" ref="G203"/>
    <hyperlink r:id="rId202" ref="G204"/>
    <hyperlink r:id="rId203" ref="G205"/>
    <hyperlink r:id="rId204" ref="G206"/>
    <hyperlink r:id="rId205" location="idaho-34" ref="G207"/>
    <hyperlink r:id="rId206" ref="G208"/>
    <hyperlink r:id="rId207" ref="G209"/>
    <hyperlink r:id="rId208" ref="G210"/>
    <hyperlink r:id="rId209" ref="G211"/>
    <hyperlink r:id="rId210" ref="G212"/>
    <hyperlink r:id="rId211" ref="G213"/>
    <hyperlink r:id="rId212" ref="G214"/>
    <hyperlink r:id="rId213" ref="G215"/>
    <hyperlink r:id="rId214" ref="G216"/>
    <hyperlink r:id="rId215" ref="G217"/>
    <hyperlink r:id="rId216" ref="G218"/>
    <hyperlink r:id="rId217" location="illinois-15" ref="G219"/>
    <hyperlink r:id="rId218" ref="G220"/>
    <hyperlink r:id="rId219" ref="G221"/>
    <hyperlink r:id="rId220" ref="G222"/>
    <hyperlink r:id="rId221" ref="G223"/>
    <hyperlink r:id="rId222" ref="G224"/>
    <hyperlink r:id="rId223" ref="G225"/>
    <hyperlink r:id="rId224" ref="G226"/>
    <hyperlink r:id="rId225" ref="G227"/>
    <hyperlink r:id="rId226" ref="G228"/>
    <hyperlink r:id="rId227" ref="G229"/>
    <hyperlink r:id="rId228" ref="G230"/>
    <hyperlink r:id="rId229" ref="G231"/>
    <hyperlink r:id="rId230" ref="G232"/>
    <hyperlink r:id="rId231" ref="G233"/>
    <hyperlink r:id="rId232" ref="G234"/>
    <hyperlink r:id="rId233" ref="G235"/>
    <hyperlink r:id="rId234" ref="G236"/>
    <hyperlink r:id="rId235" ref="G237"/>
    <hyperlink r:id="rId236" ref="G238"/>
    <hyperlink r:id="rId237" ref="G239"/>
    <hyperlink r:id="rId238" ref="G240"/>
    <hyperlink r:id="rId239" ref="G241"/>
    <hyperlink r:id="rId240" ref="G242"/>
    <hyperlink r:id="rId241" ref="G243"/>
    <hyperlink r:id="rId242" ref="G244"/>
    <hyperlink r:id="rId243" location="indiana-9" ref="G245"/>
    <hyperlink r:id="rId244" ref="G246"/>
    <hyperlink r:id="rId245" ref="G247"/>
    <hyperlink r:id="rId246" ref="G248"/>
    <hyperlink r:id="rId247" ref="G249"/>
    <hyperlink r:id="rId248" ref="G250"/>
    <hyperlink r:id="rId249" ref="G251"/>
    <hyperlink r:id="rId250" ref="G252"/>
    <hyperlink r:id="rId251" ref="G253"/>
    <hyperlink r:id="rId252" ref="G254"/>
    <hyperlink r:id="rId253" ref="G255"/>
    <hyperlink r:id="rId254" ref="G256"/>
    <hyperlink r:id="rId255" ref="G257"/>
    <hyperlink r:id="rId256" ref="G258"/>
    <hyperlink r:id="rId257" ref="G259"/>
    <hyperlink r:id="rId258" ref="G260"/>
    <hyperlink r:id="rId259" ref="G261"/>
    <hyperlink r:id="rId260" ref="G262"/>
    <hyperlink r:id="rId261" ref="G263"/>
    <hyperlink r:id="rId262" ref="G264"/>
    <hyperlink r:id="rId263" ref="G265"/>
    <hyperlink r:id="rId264" ref="G266"/>
    <hyperlink r:id="rId265" ref="G267"/>
    <hyperlink r:id="rId266" ref="G268"/>
    <hyperlink r:id="rId267" ref="G269"/>
    <hyperlink r:id="rId268" location="iowa-12" ref="G270"/>
    <hyperlink r:id="rId269" ref="G271"/>
    <hyperlink r:id="rId270" ref="G272"/>
    <hyperlink r:id="rId271" ref="G273"/>
    <hyperlink r:id="rId272" ref="G274"/>
    <hyperlink r:id="rId273" ref="G275"/>
    <hyperlink r:id="rId274" ref="G276"/>
    <hyperlink r:id="rId275" ref="G277"/>
    <hyperlink r:id="rId276" ref="G278"/>
    <hyperlink r:id="rId277" ref="G279"/>
    <hyperlink r:id="rId278" ref="G280"/>
    <hyperlink r:id="rId279" ref="G281"/>
    <hyperlink r:id="rId280" ref="G282"/>
    <hyperlink r:id="rId281" ref="G283"/>
    <hyperlink r:id="rId282" ref="G284"/>
    <hyperlink r:id="rId283" ref="G285"/>
    <hyperlink r:id="rId284" ref="G286"/>
    <hyperlink r:id="rId285" ref="G287"/>
    <hyperlink r:id="rId286" ref="G288"/>
    <hyperlink r:id="rId287" location="kansas-27" ref="G290"/>
    <hyperlink r:id="rId288" ref="G291"/>
    <hyperlink r:id="rId289" ref="G292"/>
    <hyperlink r:id="rId290" ref="G293"/>
    <hyperlink r:id="rId291" ref="G294"/>
    <hyperlink r:id="rId292" ref="G295"/>
    <hyperlink r:id="rId293" ref="G296"/>
    <hyperlink r:id="rId294" ref="G297"/>
    <hyperlink r:id="rId295" ref="G298"/>
    <hyperlink r:id="rId296" ref="G299"/>
    <hyperlink r:id="rId297" ref="G300"/>
    <hyperlink r:id="rId298" ref="G301"/>
    <hyperlink r:id="rId299" ref="G302"/>
    <hyperlink r:id="rId300" location="kentucky-4" ref="G303"/>
    <hyperlink r:id="rId301" ref="G304"/>
    <hyperlink r:id="rId302" ref="G305"/>
    <hyperlink r:id="rId303" ref="G306"/>
    <hyperlink r:id="rId304" ref="G307"/>
    <hyperlink r:id="rId305" ref="G308"/>
    <hyperlink r:id="rId306" ref="G309"/>
    <hyperlink r:id="rId307" ref="G310"/>
    <hyperlink r:id="rId308" ref="G311"/>
    <hyperlink r:id="rId309" ref="G312"/>
    <hyperlink r:id="rId310" ref="G313"/>
    <hyperlink r:id="rId311" ref="G314"/>
    <hyperlink r:id="rId312" ref="G315"/>
    <hyperlink r:id="rId313" ref="G316"/>
    <hyperlink r:id="rId314" ref="G317"/>
    <hyperlink r:id="rId315" ref="G318"/>
    <hyperlink r:id="rId316" ref="G319"/>
    <hyperlink r:id="rId317" ref="G320"/>
    <hyperlink r:id="rId318" ref="G321"/>
    <hyperlink r:id="rId319" ref="G322"/>
    <hyperlink r:id="rId320" ref="G323"/>
    <hyperlink r:id="rId321" ref="G324"/>
    <hyperlink r:id="rId322" ref="G325"/>
    <hyperlink r:id="rId323" ref="G326"/>
    <hyperlink r:id="rId324" ref="G327"/>
    <hyperlink r:id="rId325" location="louisiana-21" ref="G328"/>
    <hyperlink r:id="rId326" ref="G329"/>
    <hyperlink r:id="rId327" ref="G330"/>
    <hyperlink r:id="rId328" ref="G331"/>
    <hyperlink r:id="rId329" ref="G332"/>
    <hyperlink r:id="rId330" ref="G333"/>
    <hyperlink r:id="rId331" ref="G334"/>
    <hyperlink r:id="rId332" ref="G335"/>
    <hyperlink r:id="rId333" ref="G336"/>
    <hyperlink r:id="rId334" ref="G337"/>
    <hyperlink r:id="rId335" ref="G338"/>
    <hyperlink r:id="rId336" ref="G339"/>
    <hyperlink r:id="rId337" ref="G340"/>
    <hyperlink r:id="rId338" ref="G341"/>
    <hyperlink r:id="rId339" ref="G342"/>
    <hyperlink r:id="rId340" ref="G343"/>
    <hyperlink r:id="rId341" ref="G344"/>
    <hyperlink r:id="rId342" ref="G345"/>
    <hyperlink r:id="rId343" ref="G346"/>
    <hyperlink r:id="rId344" ref="G347"/>
    <hyperlink r:id="rId345" ref="G348"/>
    <hyperlink r:id="rId346" ref="G349"/>
    <hyperlink r:id="rId347" ref="G350"/>
    <hyperlink r:id="rId348" ref="G351"/>
    <hyperlink r:id="rId349" location="maine-46" ref="G353"/>
    <hyperlink r:id="rId350" ref="G354"/>
    <hyperlink r:id="rId351" ref="G355"/>
    <hyperlink r:id="rId352" ref="G356"/>
    <hyperlink r:id="rId353" ref="G357"/>
    <hyperlink r:id="rId354" ref="G358"/>
    <hyperlink r:id="rId355" ref="G359"/>
    <hyperlink r:id="rId356" ref="G360"/>
    <hyperlink r:id="rId357" ref="G361"/>
    <hyperlink r:id="rId358" ref="G362"/>
    <hyperlink r:id="rId359" ref="G363"/>
    <hyperlink r:id="rId360" ref="G364"/>
    <hyperlink r:id="rId361" ref="G365"/>
    <hyperlink r:id="rId362" ref="G366"/>
    <hyperlink r:id="rId363" ref="G367"/>
    <hyperlink r:id="rId364" ref="G368"/>
    <hyperlink r:id="rId365" ref="G369"/>
    <hyperlink r:id="rId366" ref="G370"/>
    <hyperlink r:id="rId367" ref="G371"/>
    <hyperlink r:id="rId368" ref="G372"/>
    <hyperlink r:id="rId369" ref="G373"/>
    <hyperlink r:id="rId370" ref="G374"/>
    <hyperlink r:id="rId371" ref="G375"/>
    <hyperlink r:id="rId372" ref="G376"/>
    <hyperlink r:id="rId373" ref="G377"/>
    <hyperlink r:id="rId374" location="maryland-3" ref="G378"/>
    <hyperlink r:id="rId375" ref="G379"/>
    <hyperlink r:id="rId376" ref="G380"/>
    <hyperlink r:id="rId377" ref="G381"/>
    <hyperlink r:id="rId378" ref="G382"/>
    <hyperlink r:id="rId379" ref="G383"/>
    <hyperlink r:id="rId380" ref="G384"/>
    <hyperlink r:id="rId381" ref="G385"/>
    <hyperlink r:id="rId382" ref="G386"/>
    <hyperlink r:id="rId383" ref="G387"/>
    <hyperlink r:id="rId384" ref="G388"/>
    <hyperlink r:id="rId385" ref="G389"/>
    <hyperlink r:id="rId386" ref="G390"/>
    <hyperlink r:id="rId387" ref="G391"/>
    <hyperlink r:id="rId388" ref="G392"/>
    <hyperlink r:id="rId389" ref="G393"/>
    <hyperlink r:id="rId390" ref="G394"/>
    <hyperlink r:id="rId391" ref="G395"/>
    <hyperlink r:id="rId392" ref="G396"/>
    <hyperlink r:id="rId393" ref="G397"/>
    <hyperlink r:id="rId394" ref="G398"/>
    <hyperlink r:id="rId395" ref="G399"/>
    <hyperlink r:id="rId396" ref="G400"/>
    <hyperlink r:id="rId397" ref="G401"/>
    <hyperlink r:id="rId398" ref="G402"/>
    <hyperlink r:id="rId399" location="massachusetts-16" ref="G403"/>
    <hyperlink r:id="rId400" ref="G404"/>
    <hyperlink r:id="rId401" ref="G405"/>
    <hyperlink r:id="rId402" ref="G406"/>
    <hyperlink r:id="rId403" ref="G407"/>
    <hyperlink r:id="rId404" ref="G408"/>
    <hyperlink r:id="rId405" ref="G409"/>
    <hyperlink r:id="rId406" ref="G410"/>
    <hyperlink r:id="rId407" ref="G411"/>
    <hyperlink r:id="rId408" ref="G412"/>
    <hyperlink r:id="rId409" ref="G413"/>
    <hyperlink r:id="rId410" ref="G414"/>
    <hyperlink r:id="rId411" ref="G415"/>
    <hyperlink r:id="rId412" ref="G416"/>
    <hyperlink r:id="rId413" ref="G417"/>
    <hyperlink r:id="rId414" ref="G418"/>
    <hyperlink r:id="rId415" ref="G419"/>
    <hyperlink r:id="rId416" ref="G420"/>
    <hyperlink r:id="rId417" ref="G421"/>
    <hyperlink r:id="rId418" ref="G422"/>
    <hyperlink r:id="rId419" ref="G423"/>
    <hyperlink r:id="rId420" ref="G424"/>
    <hyperlink r:id="rId421" ref="G425"/>
    <hyperlink r:id="rId422" ref="G426"/>
    <hyperlink r:id="rId423" ref="G427"/>
    <hyperlink r:id="rId424" ref="G428"/>
    <hyperlink r:id="rId425" ref="G429"/>
    <hyperlink r:id="rId426" location="michigan-18" ref="G430"/>
    <hyperlink r:id="rId427" ref="G431"/>
    <hyperlink r:id="rId428" ref="G432"/>
    <hyperlink r:id="rId429" ref="G433"/>
    <hyperlink r:id="rId430" ref="G434"/>
    <hyperlink r:id="rId431" ref="G435"/>
    <hyperlink r:id="rId432" ref="G436"/>
    <hyperlink r:id="rId433" ref="G437"/>
    <hyperlink r:id="rId434" ref="G438"/>
    <hyperlink r:id="rId435" ref="G439"/>
    <hyperlink r:id="rId436" ref="G440"/>
    <hyperlink r:id="rId437" ref="G441"/>
    <hyperlink r:id="rId438" ref="G442"/>
    <hyperlink r:id="rId439" ref="G443"/>
    <hyperlink r:id="rId440" ref="G444"/>
    <hyperlink r:id="rId441" ref="G445"/>
    <hyperlink r:id="rId442" ref="G446"/>
    <hyperlink r:id="rId443" ref="G447"/>
    <hyperlink r:id="rId444" ref="G448"/>
    <hyperlink r:id="rId445" ref="G449"/>
    <hyperlink r:id="rId446" ref="G450"/>
    <hyperlink r:id="rId447" ref="G451"/>
    <hyperlink r:id="rId448" ref="G452"/>
    <hyperlink r:id="rId449" ref="G453"/>
    <hyperlink r:id="rId450" ref="G454"/>
    <hyperlink r:id="rId451" ref="G455"/>
    <hyperlink r:id="rId452" ref="G456"/>
    <hyperlink r:id="rId453" ref="G457"/>
    <hyperlink r:id="rId454" ref="G458"/>
    <hyperlink r:id="rId455" location="minnesota-37" ref="G459"/>
    <hyperlink r:id="rId456" ref="G460"/>
    <hyperlink r:id="rId457" ref="G461"/>
    <hyperlink r:id="rId458" ref="G462"/>
    <hyperlink r:id="rId459" ref="G463"/>
    <hyperlink r:id="rId460" ref="G464"/>
    <hyperlink r:id="rId461" ref="G465"/>
    <hyperlink r:id="rId462" ref="G466"/>
    <hyperlink r:id="rId463" ref="G467"/>
    <hyperlink r:id="rId464" ref="G468"/>
    <hyperlink r:id="rId465" ref="G469"/>
    <hyperlink r:id="rId466" ref="G470"/>
    <hyperlink r:id="rId467" ref="G471"/>
    <hyperlink r:id="rId468" ref="G472"/>
    <hyperlink r:id="rId469" ref="G473"/>
    <hyperlink r:id="rId470" ref="G474"/>
    <hyperlink r:id="rId471" ref="G475"/>
    <hyperlink r:id="rId472" ref="G476"/>
    <hyperlink r:id="rId473" ref="G477"/>
    <hyperlink r:id="rId474" ref="G478"/>
    <hyperlink r:id="rId475" ref="G479"/>
    <hyperlink r:id="rId476" ref="G480"/>
    <hyperlink r:id="rId477" ref="G481"/>
    <hyperlink r:id="rId478" ref="G482"/>
    <hyperlink r:id="rId479" ref="G483"/>
    <hyperlink r:id="rId480" location="mississippi-42" ref="G484"/>
    <hyperlink r:id="rId481" ref="G485"/>
    <hyperlink r:id="rId482" ref="G486"/>
    <hyperlink r:id="rId483" ref="G487"/>
    <hyperlink r:id="rId484" ref="G488"/>
    <hyperlink r:id="rId485" ref="G489"/>
    <hyperlink r:id="rId486" ref="G490"/>
    <hyperlink r:id="rId487" ref="G491"/>
    <hyperlink r:id="rId488" ref="G492"/>
    <hyperlink r:id="rId489" ref="G493"/>
    <hyperlink r:id="rId490" ref="G494"/>
    <hyperlink r:id="rId491" ref="G495"/>
    <hyperlink r:id="rId492" ref="G496"/>
    <hyperlink r:id="rId493" ref="G497"/>
    <hyperlink r:id="rId494" ref="G498"/>
    <hyperlink r:id="rId495" ref="G499"/>
    <hyperlink r:id="rId496" ref="G500"/>
    <hyperlink r:id="rId497" ref="G501"/>
    <hyperlink r:id="rId498" ref="G502"/>
    <hyperlink r:id="rId499" ref="G503"/>
    <hyperlink r:id="rId500" ref="G504"/>
    <hyperlink r:id="rId501" ref="G505"/>
    <hyperlink r:id="rId502" location="missouri-36" ref="G506"/>
    <hyperlink r:id="rId503" ref="G507"/>
    <hyperlink r:id="rId504" ref="G508"/>
    <hyperlink r:id="rId505" ref="G509"/>
    <hyperlink r:id="rId506" ref="G510"/>
    <hyperlink r:id="rId507" ref="G511"/>
    <hyperlink r:id="rId508" ref="G512"/>
    <hyperlink r:id="rId509" ref="G513"/>
    <hyperlink r:id="rId510" ref="G514"/>
    <hyperlink r:id="rId511" ref="G515"/>
    <hyperlink r:id="rId512" ref="G516"/>
    <hyperlink r:id="rId513" location="montana-24" ref="G517"/>
    <hyperlink r:id="rId514" ref="G518"/>
    <hyperlink r:id="rId515" ref="G519"/>
    <hyperlink r:id="rId516" ref="G520"/>
    <hyperlink r:id="rId517" ref="G521"/>
    <hyperlink r:id="rId518" ref="G522"/>
    <hyperlink r:id="rId519" ref="G523"/>
    <hyperlink r:id="rId520" ref="G524"/>
    <hyperlink r:id="rId521" ref="G525"/>
    <hyperlink r:id="rId522" ref="G526"/>
    <hyperlink r:id="rId523" location="nebraska-35" ref="G527"/>
    <hyperlink r:id="rId524" ref="G528"/>
    <hyperlink r:id="rId525" ref="G529"/>
    <hyperlink r:id="rId526" ref="G530"/>
    <hyperlink r:id="rId527" ref="G531"/>
    <hyperlink r:id="rId528" ref="G532"/>
    <hyperlink r:id="rId529" ref="G533"/>
    <hyperlink r:id="rId530" ref="G534"/>
    <hyperlink r:id="rId531" ref="G535"/>
    <hyperlink r:id="rId532" ref="G536"/>
    <hyperlink r:id="rId533" ref="G537"/>
    <hyperlink r:id="rId534" ref="G538"/>
    <hyperlink r:id="rId535" ref="G539"/>
    <hyperlink r:id="rId536" ref="G540"/>
    <hyperlink r:id="rId537" location="nevada-25" ref="G541"/>
    <hyperlink r:id="rId538" ref="G542"/>
    <hyperlink r:id="rId539" ref="G543"/>
    <hyperlink r:id="rId540" ref="G544"/>
    <hyperlink r:id="rId541" ref="G545"/>
    <hyperlink r:id="rId542" ref="G546"/>
    <hyperlink r:id="rId543" ref="G547"/>
    <hyperlink r:id="rId544" ref="G548"/>
    <hyperlink r:id="rId545" ref="G549"/>
    <hyperlink r:id="rId546" ref="G550"/>
    <hyperlink r:id="rId547" ref="G551"/>
    <hyperlink r:id="rId548" ref="G552"/>
    <hyperlink r:id="rId549" ref="G553"/>
    <hyperlink r:id="rId550" ref="G554"/>
    <hyperlink r:id="rId551" ref="G555"/>
    <hyperlink r:id="rId552" ref="G556"/>
    <hyperlink r:id="rId553" ref="G557"/>
    <hyperlink r:id="rId554" ref="G558"/>
    <hyperlink r:id="rId555" ref="G559"/>
    <hyperlink r:id="rId556" ref="G560"/>
    <hyperlink r:id="rId557" ref="G561"/>
    <hyperlink r:id="rId558" ref="G562"/>
    <hyperlink r:id="rId559" location="new-hampshire-32" ref="G563"/>
    <hyperlink r:id="rId560" ref="G564"/>
    <hyperlink r:id="rId561" ref="G565"/>
    <hyperlink r:id="rId562" ref="G566"/>
    <hyperlink r:id="rId563" ref="G567"/>
    <hyperlink r:id="rId564" ref="G568"/>
    <hyperlink r:id="rId565" ref="G569"/>
    <hyperlink r:id="rId566" ref="G570"/>
    <hyperlink r:id="rId567" ref="G571"/>
    <hyperlink r:id="rId568" ref="G572"/>
    <hyperlink r:id="rId569" ref="G573"/>
    <hyperlink r:id="rId570" ref="G574"/>
    <hyperlink r:id="rId571" ref="G575"/>
    <hyperlink r:id="rId572" ref="G576"/>
    <hyperlink r:id="rId573" ref="G577"/>
    <hyperlink r:id="rId574" ref="G578"/>
    <hyperlink r:id="rId575" location="new-jersey-10" ref="G579"/>
    <hyperlink r:id="rId576" ref="G580"/>
    <hyperlink r:id="rId577" ref="G581"/>
    <hyperlink r:id="rId578" ref="G582"/>
    <hyperlink r:id="rId579" ref="G583"/>
    <hyperlink r:id="rId580" ref="G584"/>
    <hyperlink r:id="rId581" ref="G585"/>
    <hyperlink r:id="rId582" ref="G586"/>
    <hyperlink r:id="rId583" ref="G587"/>
    <hyperlink r:id="rId584" ref="G588"/>
    <hyperlink r:id="rId585" ref="G589"/>
    <hyperlink r:id="rId586" ref="G590"/>
    <hyperlink r:id="rId587" ref="G591"/>
    <hyperlink r:id="rId588" ref="G592"/>
    <hyperlink r:id="rId589" ref="G593"/>
    <hyperlink r:id="rId590" ref="G594"/>
    <hyperlink r:id="rId591" ref="G595"/>
    <hyperlink r:id="rId592" ref="G596"/>
    <hyperlink r:id="rId593" ref="G597"/>
    <hyperlink r:id="rId594" ref="G598"/>
    <hyperlink r:id="rId595" ref="G599"/>
    <hyperlink r:id="rId596" ref="G600"/>
    <hyperlink r:id="rId597" ref="G601"/>
    <hyperlink r:id="rId598" ref="G602"/>
    <hyperlink r:id="rId599" ref="G603"/>
    <hyperlink r:id="rId600" ref="G604"/>
    <hyperlink r:id="rId601" ref="G605"/>
    <hyperlink r:id="rId602" ref="G606"/>
    <hyperlink r:id="rId603" ref="G607"/>
    <hyperlink r:id="rId604" ref="G608"/>
    <hyperlink r:id="rId605" ref="G609"/>
    <hyperlink r:id="rId606" ref="G610"/>
    <hyperlink r:id="rId607" ref="G611"/>
    <hyperlink r:id="rId608" ref="G612"/>
    <hyperlink r:id="rId609" location="new-mexico-40" ref="G613"/>
    <hyperlink r:id="rId610" ref="G614"/>
    <hyperlink r:id="rId611" ref="G615"/>
    <hyperlink r:id="rId612" ref="G616"/>
    <hyperlink r:id="rId613" ref="G617"/>
    <hyperlink r:id="rId614" ref="G618"/>
    <hyperlink r:id="rId615" ref="G619"/>
    <hyperlink r:id="rId616" ref="G620"/>
    <hyperlink r:id="rId617" ref="G621"/>
    <hyperlink r:id="rId618" ref="G622"/>
    <hyperlink r:id="rId619" ref="G623"/>
    <hyperlink r:id="rId620" ref="G624"/>
    <hyperlink r:id="rId621" ref="G625"/>
    <hyperlink r:id="rId622" ref="G626"/>
    <hyperlink r:id="rId623" ref="G627"/>
    <hyperlink r:id="rId624" ref="G628"/>
    <hyperlink r:id="rId625" ref="G629"/>
    <hyperlink r:id="rId626" ref="G630"/>
    <hyperlink r:id="rId627" ref="G631"/>
    <hyperlink r:id="rId628" ref="G632"/>
    <hyperlink r:id="rId629" ref="G633"/>
    <hyperlink r:id="rId630" ref="G634"/>
    <hyperlink r:id="rId631" ref="G635"/>
    <hyperlink r:id="rId632" ref="G636"/>
    <hyperlink r:id="rId633" ref="G637"/>
    <hyperlink r:id="rId634" ref="G638"/>
    <hyperlink r:id="rId635" ref="G639"/>
    <hyperlink r:id="rId636" ref="G640"/>
    <hyperlink r:id="rId637" ref="G641"/>
    <hyperlink r:id="rId638" ref="G642"/>
    <hyperlink r:id="rId639" ref="G643"/>
    <hyperlink r:id="rId640" ref="G644"/>
    <hyperlink r:id="rId641" ref="G645"/>
    <hyperlink r:id="rId642" ref="G646"/>
    <hyperlink r:id="rId643" ref="G647"/>
    <hyperlink r:id="rId644" ref="G648"/>
    <hyperlink r:id="rId645" ref="G649"/>
    <hyperlink r:id="rId646" ref="G650"/>
    <hyperlink r:id="rId647" ref="G651"/>
    <hyperlink r:id="rId648" ref="G652"/>
    <hyperlink r:id="rId649" ref="G653"/>
    <hyperlink r:id="rId650" ref="G654"/>
    <hyperlink r:id="rId651" ref="G655"/>
    <hyperlink r:id="rId652" ref="G656"/>
    <hyperlink r:id="rId653" ref="G657"/>
    <hyperlink r:id="rId654" ref="G658"/>
    <hyperlink r:id="rId655" ref="G659"/>
    <hyperlink r:id="rId656" ref="G660"/>
    <hyperlink r:id="rId657" ref="G661"/>
    <hyperlink r:id="rId658" ref="G662"/>
    <hyperlink r:id="rId659" ref="G663"/>
    <hyperlink r:id="rId660" ref="G664"/>
    <hyperlink r:id="rId661" ref="G665"/>
    <hyperlink r:id="rId662" ref="G666"/>
    <hyperlink r:id="rId663" ref="G667"/>
    <hyperlink r:id="rId664" ref="G668"/>
    <hyperlink r:id="rId665" ref="G669"/>
    <hyperlink r:id="rId666" ref="G670"/>
    <hyperlink r:id="rId667" ref="G671"/>
    <hyperlink r:id="rId668" ref="G672"/>
    <hyperlink r:id="rId669" ref="G673"/>
    <hyperlink r:id="rId670" ref="G674"/>
    <hyperlink r:id="rId671" ref="G675"/>
    <hyperlink r:id="rId672" ref="G676"/>
    <hyperlink r:id="rId673" ref="G677"/>
    <hyperlink r:id="rId674" ref="G678"/>
    <hyperlink r:id="rId675" ref="G679"/>
    <hyperlink r:id="rId676" ref="G680"/>
    <hyperlink r:id="rId677" ref="G681"/>
    <hyperlink r:id="rId678" ref="G682"/>
    <hyperlink r:id="rId679" ref="G683"/>
    <hyperlink r:id="rId680" ref="G684"/>
    <hyperlink r:id="rId681" ref="G685"/>
    <hyperlink r:id="rId682" ref="G686"/>
    <hyperlink r:id="rId683" ref="G687"/>
    <hyperlink r:id="rId684" ref="G688"/>
    <hyperlink r:id="rId685" ref="G689"/>
    <hyperlink r:id="rId686" ref="G690"/>
    <hyperlink r:id="rId687" ref="G691"/>
    <hyperlink r:id="rId688" ref="G692"/>
    <hyperlink r:id="rId689" ref="G693"/>
    <hyperlink r:id="rId690" ref="G694"/>
    <hyperlink r:id="rId691" location="north-carolina-17" ref="G695"/>
    <hyperlink r:id="rId692" ref="G696"/>
    <hyperlink r:id="rId693" ref="G697"/>
    <hyperlink r:id="rId694" ref="G698"/>
    <hyperlink r:id="rId695" ref="G699"/>
    <hyperlink r:id="rId696" ref="G700"/>
    <hyperlink r:id="rId697" ref="G701"/>
    <hyperlink r:id="rId698" ref="G702"/>
    <hyperlink r:id="rId699" ref="G703"/>
    <hyperlink r:id="rId700" ref="G704"/>
    <hyperlink r:id="rId701" ref="G705"/>
    <hyperlink r:id="rId702" ref="G706"/>
    <hyperlink r:id="rId703" ref="G707"/>
    <hyperlink r:id="rId704" ref="G708"/>
    <hyperlink r:id="rId705" ref="G709"/>
    <hyperlink r:id="rId706" ref="G710"/>
    <hyperlink r:id="rId707" ref="G711"/>
    <hyperlink r:id="rId708" ref="G712"/>
    <hyperlink r:id="rId709" ref="G713"/>
    <hyperlink r:id="rId710" ref="G714"/>
    <hyperlink r:id="rId711" ref="G715"/>
    <hyperlink r:id="rId712" ref="G716"/>
    <hyperlink r:id="rId713" ref="G717"/>
    <hyperlink r:id="rId714" ref="G718"/>
    <hyperlink r:id="rId715" location="north-dakota-45" ref="G719"/>
    <hyperlink r:id="rId716" ref="G720"/>
    <hyperlink r:id="rId717" ref="G721"/>
    <hyperlink r:id="rId718" ref="G722"/>
    <hyperlink r:id="rId719" ref="G723"/>
    <hyperlink r:id="rId720" ref="G724"/>
    <hyperlink r:id="rId721" ref="G725"/>
    <hyperlink r:id="rId722" ref="G726"/>
    <hyperlink r:id="rId723" ref="G727"/>
    <hyperlink r:id="rId724" ref="G728"/>
    <hyperlink r:id="rId725" ref="G729"/>
    <hyperlink r:id="rId726" ref="G730"/>
    <hyperlink r:id="rId727" ref="G731"/>
    <hyperlink r:id="rId728" ref="G732"/>
    <hyperlink r:id="rId729" ref="G733"/>
    <hyperlink r:id="rId730" ref="G734"/>
    <hyperlink r:id="rId731" ref="G735"/>
    <hyperlink r:id="rId732" location="ohio-13" ref="G736"/>
    <hyperlink r:id="rId733" ref="G737"/>
    <hyperlink r:id="rId734" ref="G738"/>
    <hyperlink r:id="rId735" ref="G739"/>
    <hyperlink r:id="rId736" ref="G740"/>
    <hyperlink r:id="rId737" ref="G741"/>
    <hyperlink r:id="rId738" ref="G742"/>
    <hyperlink r:id="rId739" ref="G743"/>
    <hyperlink r:id="rId740" ref="G744"/>
    <hyperlink r:id="rId741" ref="G745"/>
    <hyperlink r:id="rId742" ref="G746"/>
    <hyperlink r:id="rId743" ref="G747"/>
    <hyperlink r:id="rId744" ref="G748"/>
    <hyperlink r:id="rId745" ref="G749"/>
    <hyperlink r:id="rId746" ref="G750"/>
    <hyperlink r:id="rId747" ref="G751"/>
    <hyperlink r:id="rId748" ref="G752"/>
    <hyperlink r:id="rId749" ref="G753"/>
    <hyperlink r:id="rId750" ref="G754"/>
    <hyperlink r:id="rId751" ref="G755"/>
    <hyperlink r:id="rId752" ref="G756"/>
    <hyperlink r:id="rId753" ref="G757"/>
    <hyperlink r:id="rId754" ref="G758"/>
    <hyperlink r:id="rId755" ref="G759"/>
    <hyperlink r:id="rId756" ref="G760"/>
    <hyperlink r:id="rId757" ref="G761"/>
    <hyperlink r:id="rId758" ref="G762"/>
    <hyperlink r:id="rId759" ref="G763"/>
    <hyperlink r:id="rId760" ref="G764"/>
    <hyperlink r:id="rId761" ref="G765"/>
    <hyperlink r:id="rId762" ref="G766"/>
    <hyperlink r:id="rId763" ref="G767"/>
    <hyperlink r:id="rId764" ref="G768"/>
    <hyperlink r:id="rId765" ref="G769"/>
    <hyperlink r:id="rId766" ref="G770"/>
    <hyperlink r:id="rId767" ref="G771"/>
    <hyperlink r:id="rId768" location="oregon-8" ref="G772"/>
    <hyperlink r:id="rId769" ref="G773"/>
    <hyperlink r:id="rId770" ref="G774"/>
    <hyperlink r:id="rId771" ref="G775"/>
    <hyperlink r:id="rId772" ref="G776"/>
    <hyperlink r:id="rId773" ref="G777"/>
    <hyperlink r:id="rId774" ref="G778"/>
    <hyperlink r:id="rId775" ref="G779"/>
    <hyperlink r:id="rId776" ref="G780"/>
    <hyperlink r:id="rId777" ref="G781"/>
    <hyperlink r:id="rId778" ref="G782"/>
    <hyperlink r:id="rId779" ref="G783"/>
    <hyperlink r:id="rId780" ref="G784"/>
    <hyperlink r:id="rId781" ref="G785"/>
    <hyperlink r:id="rId782" ref="G786"/>
    <hyperlink r:id="rId783" ref="G787"/>
    <hyperlink r:id="rId784" ref="G788"/>
    <hyperlink r:id="rId785" ref="G789"/>
    <hyperlink r:id="rId786" ref="G790"/>
    <hyperlink r:id="rId787" ref="G791"/>
    <hyperlink r:id="rId788" ref="G792"/>
    <hyperlink r:id="rId789" ref="G793"/>
    <hyperlink r:id="rId790" ref="G794"/>
    <hyperlink r:id="rId791" ref="G795"/>
    <hyperlink r:id="rId792" ref="G796"/>
    <hyperlink r:id="rId793" ref="G797"/>
    <hyperlink r:id="rId794" ref="G798"/>
    <hyperlink r:id="rId795" ref="G799"/>
    <hyperlink r:id="rId796" ref="G800"/>
    <hyperlink r:id="rId797" ref="G801"/>
    <hyperlink r:id="rId798" ref="G802"/>
    <hyperlink r:id="rId799" ref="G803"/>
    <hyperlink r:id="rId800" ref="G804"/>
    <hyperlink r:id="rId801" ref="G805"/>
    <hyperlink r:id="rId802" ref="G806"/>
    <hyperlink r:id="rId803" ref="G807"/>
    <hyperlink r:id="rId804" ref="G808"/>
    <hyperlink r:id="rId805" ref="G809"/>
    <hyperlink r:id="rId806" ref="G810"/>
    <hyperlink r:id="rId807" location="pennsylvania-14" ref="G811"/>
    <hyperlink r:id="rId808" ref="G812"/>
    <hyperlink r:id="rId809" ref="G813"/>
    <hyperlink r:id="rId810" ref="G814"/>
    <hyperlink r:id="rId811" ref="G815"/>
    <hyperlink r:id="rId812" ref="G816"/>
    <hyperlink r:id="rId813" ref="G817"/>
    <hyperlink r:id="rId814" ref="G818"/>
    <hyperlink r:id="rId815" ref="G819"/>
    <hyperlink r:id="rId816" ref="G820"/>
    <hyperlink r:id="rId817" ref="G821"/>
    <hyperlink r:id="rId818" ref="G822"/>
    <hyperlink r:id="rId819" ref="G823"/>
    <hyperlink r:id="rId820" ref="G824"/>
    <hyperlink r:id="rId821" ref="G825"/>
    <hyperlink r:id="rId822" ref="G826"/>
    <hyperlink r:id="rId823" ref="G827"/>
    <hyperlink r:id="rId824" ref="G828"/>
    <hyperlink r:id="rId825" ref="G829"/>
    <hyperlink r:id="rId826" location="rhode-island-39" ref="G830"/>
    <hyperlink r:id="rId827" ref="G831"/>
    <hyperlink r:id="rId828" ref="G832"/>
    <hyperlink r:id="rId829" ref="G833"/>
    <hyperlink r:id="rId830" ref="G834"/>
    <hyperlink r:id="rId831" ref="G835"/>
    <hyperlink r:id="rId832" ref="G836"/>
    <hyperlink r:id="rId833" ref="G837"/>
    <hyperlink r:id="rId834" ref="G838"/>
    <hyperlink r:id="rId835" ref="G839"/>
    <hyperlink r:id="rId836" ref="G840"/>
    <hyperlink r:id="rId837" ref="G841"/>
    <hyperlink r:id="rId838" ref="G842"/>
    <hyperlink r:id="rId839" ref="G843"/>
    <hyperlink r:id="rId840" ref="G844"/>
    <hyperlink r:id="rId841" ref="G845"/>
    <hyperlink r:id="rId842" ref="G846"/>
    <hyperlink r:id="rId843" ref="G847"/>
    <hyperlink r:id="rId844" ref="G848"/>
    <hyperlink r:id="rId845" ref="G849"/>
    <hyperlink r:id="rId846" ref="G850"/>
    <hyperlink r:id="rId847" ref="G851"/>
    <hyperlink r:id="rId848" ref="G852"/>
    <hyperlink r:id="rId849" ref="G853"/>
    <hyperlink r:id="rId850" ref="G854"/>
    <hyperlink r:id="rId851" ref="G855"/>
    <hyperlink r:id="rId852" ref="G856"/>
    <hyperlink r:id="rId853" location="south-carolina-33" ref="G857"/>
    <hyperlink r:id="rId854" ref="G858"/>
    <hyperlink r:id="rId855" ref="G859"/>
    <hyperlink r:id="rId856" ref="G860"/>
    <hyperlink r:id="rId857" ref="G861"/>
    <hyperlink r:id="rId858" ref="G862"/>
    <hyperlink r:id="rId859" ref="G863"/>
    <hyperlink r:id="rId860" ref="G864"/>
    <hyperlink r:id="rId861" ref="G865"/>
    <hyperlink r:id="rId862" ref="G866"/>
    <hyperlink r:id="rId863" ref="G867"/>
    <hyperlink r:id="rId864" ref="G868"/>
    <hyperlink r:id="rId865" location="south-dakota-44" ref="G869"/>
    <hyperlink r:id="rId866" ref="G870"/>
    <hyperlink r:id="rId867" ref="G871"/>
    <hyperlink r:id="rId868" location="tennessee-30" ref="G872"/>
    <hyperlink r:id="rId869" ref="G873"/>
    <hyperlink r:id="rId870" ref="G874"/>
    <hyperlink r:id="rId871" ref="G875"/>
    <hyperlink r:id="rId872" ref="G876"/>
    <hyperlink r:id="rId873" ref="G877"/>
    <hyperlink r:id="rId874" ref="G878"/>
    <hyperlink r:id="rId875" ref="G879"/>
    <hyperlink r:id="rId876" ref="G880"/>
    <hyperlink r:id="rId877" ref="G881"/>
    <hyperlink r:id="rId878" ref="G882"/>
    <hyperlink r:id="rId879" ref="G883"/>
    <hyperlink r:id="rId880" ref="G884"/>
    <hyperlink r:id="rId881" ref="G885"/>
    <hyperlink r:id="rId882" ref="G886"/>
    <hyperlink r:id="rId883" ref="G887"/>
    <hyperlink r:id="rId884" ref="G888"/>
    <hyperlink r:id="rId885" location="texas-48" ref="G889"/>
    <hyperlink r:id="rId886" ref="G890"/>
    <hyperlink r:id="rId887" ref="G891"/>
    <hyperlink r:id="rId888" ref="G892"/>
    <hyperlink r:id="rId889" ref="G893"/>
    <hyperlink r:id="rId890" ref="G894"/>
    <hyperlink r:id="rId891" ref="G895"/>
    <hyperlink r:id="rId892" ref="G896"/>
    <hyperlink r:id="rId893" ref="G897"/>
    <hyperlink r:id="rId894" ref="G898"/>
    <hyperlink r:id="rId895" ref="G899"/>
    <hyperlink r:id="rId896" ref="G900"/>
    <hyperlink r:id="rId897" ref="G901"/>
    <hyperlink r:id="rId898" ref="G902"/>
    <hyperlink r:id="rId899" ref="G903"/>
    <hyperlink r:id="rId900" ref="G904"/>
    <hyperlink r:id="rId901" ref="G905"/>
    <hyperlink r:id="rId902" ref="G906"/>
    <hyperlink r:id="rId903" location="utah-5" ref="G907"/>
    <hyperlink r:id="rId904" ref="G908"/>
    <hyperlink r:id="rId905" ref="G909"/>
    <hyperlink r:id="rId906" ref="G910"/>
    <hyperlink r:id="rId907" ref="G911"/>
    <hyperlink r:id="rId908" ref="G912"/>
    <hyperlink r:id="rId909" ref="G913"/>
    <hyperlink r:id="rId910" ref="G914"/>
    <hyperlink r:id="rId911" ref="G915"/>
    <hyperlink r:id="rId912" ref="G916"/>
    <hyperlink r:id="rId913" ref="G917"/>
    <hyperlink r:id="rId914" ref="G918"/>
    <hyperlink r:id="rId915" ref="G919"/>
    <hyperlink r:id="rId916" location="vermont-47" ref="G920"/>
    <hyperlink r:id="rId917" ref="G921"/>
    <hyperlink r:id="rId918" ref="G922"/>
    <hyperlink r:id="rId919" ref="G923"/>
    <hyperlink r:id="rId920" ref="G924"/>
    <hyperlink r:id="rId921" ref="G925"/>
    <hyperlink r:id="rId922" ref="G926"/>
    <hyperlink r:id="rId923" ref="G927"/>
    <hyperlink r:id="rId924" ref="G928"/>
    <hyperlink r:id="rId925" ref="G929"/>
    <hyperlink r:id="rId926" ref="G930"/>
    <hyperlink r:id="rId927" ref="G931"/>
    <hyperlink r:id="rId928" ref="G932"/>
    <hyperlink r:id="rId929" ref="G933"/>
    <hyperlink r:id="rId930" ref="G934"/>
    <hyperlink r:id="rId931" ref="G935"/>
    <hyperlink r:id="rId932" ref="G936"/>
    <hyperlink r:id="rId933" ref="G937"/>
    <hyperlink r:id="rId934" ref="G938"/>
    <hyperlink r:id="rId935" ref="G939"/>
    <hyperlink r:id="rId936" ref="G940"/>
    <hyperlink r:id="rId937" ref="G941"/>
    <hyperlink r:id="rId938" location="virginia-22" ref="G942"/>
    <hyperlink r:id="rId939" ref="G943"/>
    <hyperlink r:id="rId940" ref="G944"/>
    <hyperlink r:id="rId941" ref="G945"/>
    <hyperlink r:id="rId942" ref="G946"/>
    <hyperlink r:id="rId943" ref="G947"/>
    <hyperlink r:id="rId944" ref="G948"/>
    <hyperlink r:id="rId945" ref="G949"/>
    <hyperlink r:id="rId946" ref="G950"/>
    <hyperlink r:id="rId947" ref="G951"/>
    <hyperlink r:id="rId948" ref="G952"/>
    <hyperlink r:id="rId949" ref="G953"/>
    <hyperlink r:id="rId950" ref="G954"/>
    <hyperlink r:id="rId951" ref="G955"/>
    <hyperlink r:id="rId952" ref="G956"/>
    <hyperlink r:id="rId953" ref="G957"/>
    <hyperlink r:id="rId954" ref="G958"/>
    <hyperlink r:id="rId955" ref="G959"/>
    <hyperlink r:id="rId956" ref="G960"/>
    <hyperlink r:id="rId957" ref="G961"/>
    <hyperlink r:id="rId958" ref="G962"/>
    <hyperlink r:id="rId959" ref="G963"/>
    <hyperlink r:id="rId960" location="washington-1" ref="G964"/>
    <hyperlink r:id="rId961" ref="G965"/>
    <hyperlink r:id="rId962" ref="G966"/>
    <hyperlink r:id="rId963" ref="G967"/>
    <hyperlink r:id="rId964" ref="G968"/>
    <hyperlink r:id="rId965" ref="G969"/>
    <hyperlink r:id="rId966" ref="G970"/>
    <hyperlink r:id="rId967" ref="G971"/>
    <hyperlink r:id="rId968" ref="G972"/>
    <hyperlink r:id="rId969" ref="G973"/>
    <hyperlink r:id="rId970" ref="G974"/>
    <hyperlink r:id="rId971" ref="G975"/>
    <hyperlink r:id="rId972" ref="G976"/>
    <hyperlink r:id="rId973" ref="G977"/>
    <hyperlink r:id="rId974" ref="G978"/>
    <hyperlink r:id="rId975" ref="G979"/>
    <hyperlink r:id="rId976" ref="G980"/>
    <hyperlink r:id="rId977" ref="G981"/>
    <hyperlink r:id="rId978" ref="G982"/>
    <hyperlink r:id="rId979" ref="G983"/>
    <hyperlink r:id="rId980" ref="G984"/>
    <hyperlink r:id="rId981" ref="G985"/>
    <hyperlink r:id="rId982" ref="G986"/>
    <hyperlink r:id="rId983" ref="G987"/>
    <hyperlink r:id="rId984" ref="G988"/>
    <hyperlink r:id="rId985" ref="G989"/>
    <hyperlink r:id="rId986" ref="G990"/>
    <hyperlink r:id="rId987" ref="G991"/>
    <hyperlink r:id="rId988" ref="G992"/>
    <hyperlink r:id="rId989" ref="G993"/>
    <hyperlink r:id="rId990" ref="G994"/>
    <hyperlink r:id="rId991" ref="G995"/>
    <hyperlink r:id="rId992" ref="G996"/>
    <hyperlink r:id="rId993" ref="G997"/>
    <hyperlink r:id="rId994" ref="G998"/>
    <hyperlink r:id="rId995" ref="G999"/>
    <hyperlink r:id="rId996" ref="G1000"/>
    <hyperlink r:id="rId997" ref="G1001"/>
    <hyperlink r:id="rId998" ref="G1002"/>
    <hyperlink r:id="rId999" ref="G1003"/>
    <hyperlink r:id="rId1000" ref="G1004"/>
    <hyperlink r:id="rId1001" ref="G1005"/>
    <hyperlink r:id="rId1002" ref="G1006"/>
    <hyperlink r:id="rId1003" ref="G1007"/>
    <hyperlink r:id="rId1004" ref="G1008"/>
    <hyperlink r:id="rId1005" location="wisconsin-28" ref="G1009"/>
    <hyperlink r:id="rId1006" ref="G1010"/>
    <hyperlink r:id="rId1007" ref="G1011"/>
    <hyperlink r:id="rId1008" ref="G1012"/>
    <hyperlink r:id="rId1009" ref="G1013"/>
    <hyperlink r:id="rId1010" ref="G1014"/>
    <hyperlink r:id="rId1011" ref="G1015"/>
    <hyperlink r:id="rId1012" ref="G1016"/>
    <hyperlink r:id="rId1013" ref="G1017"/>
    <hyperlink r:id="rId1014" ref="G1018"/>
    <hyperlink r:id="rId1015" ref="G1019"/>
    <hyperlink r:id="rId1016" ref="G1020"/>
    <hyperlink r:id="rId1017" ref="G1021"/>
    <hyperlink r:id="rId1018" ref="G1022"/>
    <hyperlink r:id="rId1019" ref="G1023"/>
    <hyperlink r:id="rId1020" ref="G1024"/>
    <hyperlink r:id="rId1021" ref="G1025"/>
    <hyperlink r:id="rId1022" location="wyoming-43" ref="G1026"/>
    <hyperlink r:id="rId1023" ref="G1027"/>
    <hyperlink r:id="rId1024" ref="G1028"/>
    <hyperlink r:id="rId1025" ref="G1029"/>
    <hyperlink r:id="rId1026" ref="G1030"/>
    <hyperlink r:id="rId1027" ref="G1031"/>
    <hyperlink r:id="rId1028" ref="G1032"/>
    <hyperlink r:id="rId1029" ref="G1033"/>
    <hyperlink r:id="rId1030" ref="G1034"/>
    <hyperlink r:id="rId1031" ref="G1035"/>
    <hyperlink r:id="rId1032" ref="G1036"/>
    <hyperlink r:id="rId1033" ref="G1037"/>
    <hyperlink r:id="rId1034" ref="G1038"/>
  </hyperlinks>
  <drawing r:id="rId1035"/>
</worksheet>
</file>