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filterPrivacy="1" defaultThemeVersion="124226"/>
  <xr:revisionPtr revIDLastSave="0" documentId="13_ncr:1_{1A1B9756-DF87-D049-85F0-49527D8CB612}" xr6:coauthVersionLast="47" xr6:coauthVersionMax="47" xr10:uidLastSave="{00000000-0000-0000-0000-000000000000}"/>
  <bookViews>
    <workbookView xWindow="10280" yWindow="3400" windowWidth="18600" windowHeight="12820" activeTab="2" xr2:uid="{00000000-000D-0000-FFFF-FFFF00000000}"/>
  </bookViews>
  <sheets>
    <sheet name="杭州" sheetId="1" r:id="rId1"/>
    <sheet name="金华" sheetId="2" r:id="rId2"/>
    <sheet name="湖州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3" l="1"/>
  <c r="N13" i="3"/>
  <c r="J13" i="3"/>
  <c r="F13" i="3"/>
  <c r="S13" i="3" s="1"/>
  <c r="U10" i="3"/>
  <c r="T10" i="3"/>
  <c r="V10" i="3" s="1"/>
  <c r="Q10" i="3"/>
  <c r="P10" i="3"/>
  <c r="O10" i="3"/>
  <c r="M10" i="3"/>
  <c r="L10" i="3"/>
  <c r="K10" i="3"/>
  <c r="I10" i="3"/>
  <c r="H10" i="3"/>
  <c r="G10" i="3"/>
  <c r="E10" i="3"/>
  <c r="D10" i="3"/>
  <c r="C10" i="3"/>
  <c r="V9" i="3"/>
  <c r="S9" i="3"/>
  <c r="W9" i="3" s="1"/>
  <c r="R9" i="3"/>
  <c r="N9" i="3"/>
  <c r="J9" i="3"/>
  <c r="F9" i="3"/>
  <c r="S8" i="3"/>
  <c r="R8" i="3"/>
  <c r="N8" i="3"/>
  <c r="J8" i="3"/>
  <c r="F8" i="3"/>
  <c r="R7" i="3"/>
  <c r="N7" i="3"/>
  <c r="J7" i="3"/>
  <c r="S7" i="3" s="1"/>
  <c r="F7" i="3"/>
  <c r="R6" i="3"/>
  <c r="S6" i="3" s="1"/>
  <c r="N6" i="3"/>
  <c r="J6" i="3"/>
  <c r="F6" i="3"/>
  <c r="V5" i="3"/>
  <c r="R5" i="3"/>
  <c r="S5" i="3" s="1"/>
  <c r="W5" i="3" s="1"/>
  <c r="N5" i="3"/>
  <c r="J5" i="3"/>
  <c r="F5" i="3"/>
  <c r="V4" i="3"/>
  <c r="S4" i="3"/>
  <c r="W4" i="3" s="1"/>
  <c r="R4" i="3"/>
  <c r="N4" i="3"/>
  <c r="J4" i="3"/>
  <c r="F4" i="3"/>
  <c r="F10" i="3" s="1"/>
  <c r="R3" i="3"/>
  <c r="R10" i="3" s="1"/>
  <c r="N3" i="3"/>
  <c r="N10" i="3" s="1"/>
  <c r="J3" i="3"/>
  <c r="J10" i="3" s="1"/>
  <c r="F3" i="3"/>
  <c r="V8" i="2"/>
  <c r="U8" i="2"/>
  <c r="T8" i="2"/>
  <c r="V7" i="2"/>
  <c r="R7" i="2"/>
  <c r="P7" i="2"/>
  <c r="O7" i="2"/>
  <c r="M7" i="2"/>
  <c r="L7" i="2"/>
  <c r="K7" i="2"/>
  <c r="N7" i="2" s="1"/>
  <c r="I7" i="2"/>
  <c r="J7" i="2" s="1"/>
  <c r="H7" i="2"/>
  <c r="G7" i="2"/>
  <c r="E7" i="2"/>
  <c r="D7" i="2"/>
  <c r="C7" i="2"/>
  <c r="F7" i="2" s="1"/>
  <c r="S7" i="2" s="1"/>
  <c r="W7" i="2" s="1"/>
  <c r="V6" i="2"/>
  <c r="Q6" i="2"/>
  <c r="P6" i="2"/>
  <c r="P8" i="2" s="1"/>
  <c r="O6" i="2"/>
  <c r="R6" i="2" s="1"/>
  <c r="M6" i="2"/>
  <c r="M8" i="2" s="1"/>
  <c r="L6" i="2"/>
  <c r="L8" i="2" s="1"/>
  <c r="K6" i="2"/>
  <c r="I6" i="2"/>
  <c r="H6" i="2"/>
  <c r="H8" i="2" s="1"/>
  <c r="G6" i="2"/>
  <c r="J6" i="2" s="1"/>
  <c r="E6" i="2"/>
  <c r="E8" i="2" s="1"/>
  <c r="D6" i="2"/>
  <c r="D8" i="2" s="1"/>
  <c r="C6" i="2"/>
  <c r="V5" i="2"/>
  <c r="R5" i="2"/>
  <c r="S5" i="2" s="1"/>
  <c r="W5" i="2" s="1"/>
  <c r="N5" i="2"/>
  <c r="J5" i="2"/>
  <c r="F5" i="2"/>
  <c r="V4" i="2"/>
  <c r="Q4" i="2"/>
  <c r="R4" i="2" s="1"/>
  <c r="P4" i="2"/>
  <c r="O4" i="2"/>
  <c r="N4" i="2"/>
  <c r="M4" i="2"/>
  <c r="L4" i="2"/>
  <c r="K4" i="2"/>
  <c r="I4" i="2"/>
  <c r="J4" i="2" s="1"/>
  <c r="H4" i="2"/>
  <c r="G4" i="2"/>
  <c r="F4" i="2"/>
  <c r="E4" i="2"/>
  <c r="D4" i="2"/>
  <c r="C4" i="2"/>
  <c r="V3" i="2"/>
  <c r="Q3" i="2"/>
  <c r="R3" i="2" s="1"/>
  <c r="P3" i="2"/>
  <c r="O3" i="2"/>
  <c r="M3" i="2"/>
  <c r="L3" i="2"/>
  <c r="K3" i="2"/>
  <c r="N3" i="2" s="1"/>
  <c r="I3" i="2"/>
  <c r="J3" i="2" s="1"/>
  <c r="H3" i="2"/>
  <c r="G3" i="2"/>
  <c r="E3" i="2"/>
  <c r="D3" i="2"/>
  <c r="C3" i="2"/>
  <c r="F3" i="2" s="1"/>
  <c r="T9" i="1"/>
  <c r="Q9" i="1"/>
  <c r="P9" i="1"/>
  <c r="O9" i="1"/>
  <c r="M9" i="1"/>
  <c r="L9" i="1"/>
  <c r="K9" i="1"/>
  <c r="I9" i="1"/>
  <c r="H9" i="1"/>
  <c r="G9" i="1"/>
  <c r="E9" i="1"/>
  <c r="D9" i="1"/>
  <c r="C9" i="1"/>
  <c r="U8" i="1"/>
  <c r="V8" i="1" s="1"/>
  <c r="R8" i="1"/>
  <c r="S8" i="1" s="1"/>
  <c r="W8" i="1" s="1"/>
  <c r="N8" i="1"/>
  <c r="J8" i="1"/>
  <c r="F8" i="1"/>
  <c r="U7" i="1"/>
  <c r="U9" i="1" s="1"/>
  <c r="V9" i="1" s="1"/>
  <c r="R7" i="1"/>
  <c r="S7" i="1" s="1"/>
  <c r="W7" i="1" s="1"/>
  <c r="N7" i="1"/>
  <c r="J7" i="1"/>
  <c r="F7" i="1"/>
  <c r="V6" i="1"/>
  <c r="R6" i="1"/>
  <c r="N6" i="1"/>
  <c r="S6" i="1" s="1"/>
  <c r="W6" i="1" s="1"/>
  <c r="J6" i="1"/>
  <c r="F6" i="1"/>
  <c r="V5" i="1"/>
  <c r="R5" i="1"/>
  <c r="N5" i="1"/>
  <c r="J5" i="1"/>
  <c r="S5" i="1" s="1"/>
  <c r="W5" i="1" s="1"/>
  <c r="F5" i="1"/>
  <c r="V4" i="1"/>
  <c r="R4" i="1"/>
  <c r="N4" i="1"/>
  <c r="J4" i="1"/>
  <c r="F4" i="1"/>
  <c r="S4" i="1" s="1"/>
  <c r="W4" i="1" s="1"/>
  <c r="V3" i="1"/>
  <c r="R3" i="1"/>
  <c r="R9" i="1" s="1"/>
  <c r="N3" i="1"/>
  <c r="N9" i="1" s="1"/>
  <c r="J3" i="1"/>
  <c r="J9" i="1" s="1"/>
  <c r="F3" i="1"/>
  <c r="S3" i="1" s="1"/>
  <c r="S3" i="3" l="1"/>
  <c r="S10" i="3" s="1"/>
  <c r="W10" i="3" s="1"/>
  <c r="S3" i="2"/>
  <c r="W3" i="2" s="1"/>
  <c r="S4" i="2"/>
  <c r="W4" i="2" s="1"/>
  <c r="R8" i="2"/>
  <c r="J8" i="2"/>
  <c r="G8" i="2"/>
  <c r="O8" i="2"/>
  <c r="F6" i="2"/>
  <c r="N6" i="2"/>
  <c r="N8" i="2" s="1"/>
  <c r="I8" i="2"/>
  <c r="Q8" i="2"/>
  <c r="C8" i="2"/>
  <c r="K8" i="2"/>
  <c r="W3" i="1"/>
  <c r="S9" i="1"/>
  <c r="W9" i="1" s="1"/>
  <c r="G10" i="1"/>
  <c r="K10" i="1"/>
  <c r="F9" i="1"/>
  <c r="C10" i="1" s="1"/>
  <c r="C11" i="1" s="1"/>
  <c r="V7" i="1"/>
  <c r="O11" i="3" l="1"/>
  <c r="K11" i="3"/>
  <c r="K12" i="3" s="1"/>
  <c r="C11" i="3"/>
  <c r="G11" i="3"/>
  <c r="F8" i="2"/>
  <c r="S6" i="2"/>
  <c r="W6" i="2" s="1"/>
  <c r="O10" i="1"/>
  <c r="K11" i="1" s="1"/>
  <c r="C12" i="3" l="1"/>
  <c r="S8" i="2"/>
  <c r="C9" i="2" s="1"/>
  <c r="W8" i="2" l="1"/>
  <c r="K9" i="2"/>
  <c r="G9" i="2"/>
  <c r="C10" i="2" s="1"/>
  <c r="O9" i="2"/>
  <c r="K10" i="2" l="1"/>
</calcChain>
</file>

<file path=xl/sharedStrings.xml><?xml version="1.0" encoding="utf-8"?>
<sst xmlns="http://schemas.openxmlformats.org/spreadsheetml/2006/main" count="113" uniqueCount="51">
  <si>
    <t>负责人</t>
  </si>
  <si>
    <t>区域</t>
  </si>
  <si>
    <t>25年任务</t>
  </si>
  <si>
    <t>24年</t>
  </si>
  <si>
    <t>任务增长率</t>
  </si>
  <si>
    <t>1月</t>
  </si>
  <si>
    <t>2月</t>
  </si>
  <si>
    <t>3月</t>
  </si>
  <si>
    <t>Q1</t>
  </si>
  <si>
    <t>4月</t>
  </si>
  <si>
    <t>5月</t>
  </si>
  <si>
    <t>6月</t>
  </si>
  <si>
    <t>Q2</t>
  </si>
  <si>
    <t>7月</t>
  </si>
  <si>
    <t>8月</t>
  </si>
  <si>
    <t>9月</t>
  </si>
  <si>
    <t>Q3</t>
  </si>
  <si>
    <t>10月</t>
  </si>
  <si>
    <t>11月</t>
  </si>
  <si>
    <t>12月</t>
  </si>
  <si>
    <t>Q4</t>
  </si>
  <si>
    <t>全年合计</t>
  </si>
  <si>
    <t>任务</t>
  </si>
  <si>
    <t>实际完成</t>
  </si>
  <si>
    <t>完成率</t>
  </si>
  <si>
    <t>专卖店</t>
  </si>
  <si>
    <t>李燕霞</t>
  </si>
  <si>
    <t>五星</t>
  </si>
  <si>
    <t>董培培</t>
  </si>
  <si>
    <t>汇德隆</t>
  </si>
  <si>
    <t>外围</t>
  </si>
  <si>
    <t>黄颖</t>
  </si>
  <si>
    <t>家装</t>
  </si>
  <si>
    <t>零售</t>
  </si>
  <si>
    <t>杭州汇总</t>
  </si>
  <si>
    <t>汇总</t>
  </si>
  <si>
    <t>季度占比</t>
  </si>
  <si>
    <t>年度占比</t>
  </si>
  <si>
    <t>周琴</t>
  </si>
  <si>
    <t>潘杏</t>
  </si>
  <si>
    <t>江雯</t>
  </si>
  <si>
    <t>林青云</t>
  </si>
  <si>
    <t>湖州市区</t>
  </si>
  <si>
    <t>翁昕</t>
  </si>
  <si>
    <t>浙北含网格</t>
  </si>
  <si>
    <t>张正芳</t>
  </si>
  <si>
    <t>长兴</t>
  </si>
  <si>
    <t>安吉</t>
  </si>
  <si>
    <t>德清</t>
  </si>
  <si>
    <t>南浔</t>
  </si>
  <si>
    <t>网格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</si>
</sst>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%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6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65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176" fontId="7" fillId="0" borderId="2" xfId="1" applyNumberFormat="1" applyFont="1" applyBorder="1" applyAlignment="1">
      <alignment horizontal="center" vertical="center" wrapText="1"/>
    </xf>
    <xf numFmtId="10" fontId="7" fillId="0" borderId="2" xfId="3" applyNumberFormat="1" applyFont="1" applyFill="1" applyBorder="1" applyAlignment="1">
      <alignment horizontal="center" vertical="center" wrapText="1"/>
    </xf>
    <xf numFmtId="9" fontId="8" fillId="0" borderId="2" xfId="3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177" fontId="10" fillId="0" borderId="2" xfId="1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76" fontId="5" fillId="0" borderId="2" xfId="1" applyNumberFormat="1" applyFont="1" applyBorder="1" applyAlignment="1">
      <alignment horizontal="center" vertical="center" wrapText="1"/>
    </xf>
    <xf numFmtId="176" fontId="5" fillId="4" borderId="2" xfId="1" applyNumberFormat="1" applyFont="1" applyFill="1" applyBorder="1" applyAlignment="1">
      <alignment horizontal="center" vertical="center" wrapText="1"/>
    </xf>
    <xf numFmtId="177" fontId="7" fillId="0" borderId="2" xfId="1" applyNumberFormat="1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176" fontId="7" fillId="2" borderId="2" xfId="1" applyNumberFormat="1" applyFont="1" applyFill="1" applyBorder="1" applyAlignment="1">
      <alignment horizontal="center" vertical="center" wrapText="1"/>
    </xf>
    <xf numFmtId="9" fontId="7" fillId="0" borderId="2" xfId="3" applyFont="1" applyFill="1" applyBorder="1" applyAlignment="1">
      <alignment horizontal="center" vertical="center" wrapText="1"/>
    </xf>
    <xf numFmtId="178" fontId="7" fillId="0" borderId="2" xfId="3" applyNumberFormat="1" applyFont="1" applyFill="1" applyBorder="1" applyAlignment="1">
      <alignment horizontal="center" vertical="center" wrapText="1"/>
    </xf>
    <xf numFmtId="178" fontId="7" fillId="2" borderId="2" xfId="3" applyNumberFormat="1" applyFont="1" applyFill="1" applyBorder="1" applyAlignment="1">
      <alignment horizontal="center" vertical="center" wrapText="1"/>
    </xf>
    <xf numFmtId="10" fontId="7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9" fontId="7" fillId="0" borderId="3" xfId="1" applyNumberFormat="1" applyFont="1" applyBorder="1" applyAlignment="1">
      <alignment horizontal="center" vertical="center" wrapText="1"/>
    </xf>
    <xf numFmtId="9" fontId="7" fillId="2" borderId="3" xfId="1" applyNumberFormat="1" applyFont="1" applyFill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178" fontId="7" fillId="0" borderId="2" xfId="3" applyNumberFormat="1" applyFont="1" applyFill="1" applyBorder="1" applyAlignment="1">
      <alignment horizontal="center" vertical="center" wrapText="1"/>
    </xf>
    <xf numFmtId="176" fontId="7" fillId="4" borderId="2" xfId="1" applyNumberFormat="1" applyFont="1" applyFill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178" fontId="7" fillId="0" borderId="4" xfId="1" applyNumberFormat="1" applyFont="1" applyBorder="1" applyAlignment="1">
      <alignment horizontal="center" vertical="center" wrapText="1"/>
    </xf>
    <xf numFmtId="178" fontId="7" fillId="2" borderId="4" xfId="1" applyNumberFormat="1" applyFont="1" applyFill="1" applyBorder="1" applyAlignment="1">
      <alignment horizontal="center" vertical="center" wrapText="1"/>
    </xf>
    <xf numFmtId="10" fontId="7" fillId="0" borderId="4" xfId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9" fontId="15" fillId="0" borderId="5" xfId="3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7" fillId="0" borderId="2" xfId="3" applyNumberFormat="1" applyFont="1" applyFill="1" applyBorder="1" applyAlignment="1" applyProtection="1">
      <alignment horizontal="center" vertical="center" wrapText="1"/>
    </xf>
    <xf numFmtId="9" fontId="7" fillId="2" borderId="2" xfId="3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78" fontId="7" fillId="0" borderId="4" xfId="3" applyNumberFormat="1" applyFont="1" applyFill="1" applyBorder="1" applyAlignment="1" applyProtection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">
    <cellStyle name="百分比 3" xfId="3" xr:uid="{C33D3074-B2A8-7746-A45F-601B348790F0}"/>
    <cellStyle name="常规" xfId="0" builtinId="0"/>
    <cellStyle name="常规 2 2" xfId="2" xr:uid="{8D7DD6F6-0DB8-5A48-918D-414ABD3551D1}"/>
    <cellStyle name="常规 3 3" xfId="4" xr:uid="{E61FF6A1-0B9B-9D4F-B071-998FF9FEC740}"/>
    <cellStyle name="常规 5" xfId="1" xr:uid="{81BC6E63-D2FC-C145-8BC7-8573E4485AF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M7" sqref="M7"/>
    </sheetView>
  </sheetViews>
  <sheetFormatPr baseColWidth="10" defaultColWidth="8.83203125" defaultRowHeight="14"/>
  <sheetData>
    <row r="1" spans="1:2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 t="s">
        <v>3</v>
      </c>
      <c r="U1" s="1"/>
      <c r="V1" s="1"/>
      <c r="W1" s="3" t="s">
        <v>4</v>
      </c>
    </row>
    <row r="2" spans="1:23" ht="15">
      <c r="A2" s="4"/>
      <c r="B2" s="4"/>
      <c r="C2" s="5" t="s">
        <v>5</v>
      </c>
      <c r="D2" s="5" t="s">
        <v>6</v>
      </c>
      <c r="E2" s="5" t="s">
        <v>7</v>
      </c>
      <c r="F2" s="6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5" t="s">
        <v>21</v>
      </c>
      <c r="T2" s="8" t="s">
        <v>22</v>
      </c>
      <c r="U2" s="8" t="s">
        <v>23</v>
      </c>
      <c r="V2" s="8" t="s">
        <v>24</v>
      </c>
      <c r="W2" s="9"/>
    </row>
    <row r="3" spans="1:23" ht="15">
      <c r="A3" s="8" t="s">
        <v>25</v>
      </c>
      <c r="B3" s="8" t="s">
        <v>25</v>
      </c>
      <c r="C3" s="10">
        <v>95</v>
      </c>
      <c r="D3" s="10">
        <v>96</v>
      </c>
      <c r="E3" s="10">
        <v>152</v>
      </c>
      <c r="F3" s="8">
        <f t="shared" ref="F3:F8" si="0">SUM(C3:E3)</f>
        <v>343</v>
      </c>
      <c r="G3" s="10">
        <v>135</v>
      </c>
      <c r="H3" s="10">
        <v>141</v>
      </c>
      <c r="I3" s="10">
        <v>148</v>
      </c>
      <c r="J3" s="8">
        <f t="shared" ref="J3:J8" si="1">SUM(G3:I3)</f>
        <v>424</v>
      </c>
      <c r="K3" s="10">
        <v>122</v>
      </c>
      <c r="L3" s="11">
        <v>128</v>
      </c>
      <c r="M3" s="10">
        <v>141</v>
      </c>
      <c r="N3" s="8">
        <f t="shared" ref="N3:N8" si="2">SUM(K3:M3)</f>
        <v>391</v>
      </c>
      <c r="O3" s="10">
        <v>155</v>
      </c>
      <c r="P3" s="10">
        <v>157</v>
      </c>
      <c r="Q3" s="10">
        <v>160</v>
      </c>
      <c r="R3" s="8">
        <f t="shared" ref="R3:R8" si="3">SUM(O3:Q3)</f>
        <v>472</v>
      </c>
      <c r="S3" s="12">
        <f t="shared" ref="S3:S8" si="4">F3+J3+N3+R3</f>
        <v>1630</v>
      </c>
      <c r="T3" s="13">
        <v>1500</v>
      </c>
      <c r="U3" s="13">
        <v>1171.633515</v>
      </c>
      <c r="V3" s="14">
        <f t="shared" ref="V3:V9" si="5">U3/T3</f>
        <v>0.78108900999999997</v>
      </c>
      <c r="W3" s="15">
        <f t="shared" ref="W3:W9" si="6">(S3-U3)/U3</f>
        <v>0.39122001814705687</v>
      </c>
    </row>
    <row r="4" spans="1:23" ht="15">
      <c r="A4" s="8" t="s">
        <v>26</v>
      </c>
      <c r="B4" s="8" t="s">
        <v>27</v>
      </c>
      <c r="C4" s="16">
        <v>40</v>
      </c>
      <c r="D4" s="16">
        <v>30</v>
      </c>
      <c r="E4" s="16">
        <v>48</v>
      </c>
      <c r="F4" s="8">
        <f t="shared" si="0"/>
        <v>118</v>
      </c>
      <c r="G4" s="16">
        <v>43</v>
      </c>
      <c r="H4" s="16">
        <v>49</v>
      </c>
      <c r="I4" s="16">
        <v>54</v>
      </c>
      <c r="J4" s="8">
        <f t="shared" si="1"/>
        <v>146</v>
      </c>
      <c r="K4" s="16">
        <v>38</v>
      </c>
      <c r="L4" s="17">
        <v>40</v>
      </c>
      <c r="M4" s="16">
        <v>54</v>
      </c>
      <c r="N4" s="8">
        <f t="shared" si="2"/>
        <v>132</v>
      </c>
      <c r="O4" s="16">
        <v>57</v>
      </c>
      <c r="P4" s="16">
        <v>52</v>
      </c>
      <c r="Q4" s="16">
        <v>55</v>
      </c>
      <c r="R4" s="8">
        <f t="shared" si="3"/>
        <v>164</v>
      </c>
      <c r="S4" s="12">
        <f t="shared" si="4"/>
        <v>560</v>
      </c>
      <c r="T4" s="13">
        <v>500</v>
      </c>
      <c r="U4" s="13">
        <v>365.50189999999998</v>
      </c>
      <c r="V4" s="14">
        <f t="shared" si="5"/>
        <v>0.73100379999999998</v>
      </c>
      <c r="W4" s="15">
        <f t="shared" si="6"/>
        <v>0.53213977820635139</v>
      </c>
    </row>
    <row r="5" spans="1:23" ht="15">
      <c r="A5" s="8" t="s">
        <v>28</v>
      </c>
      <c r="B5" s="8" t="s">
        <v>29</v>
      </c>
      <c r="C5" s="16">
        <v>27</v>
      </c>
      <c r="D5" s="16">
        <v>21</v>
      </c>
      <c r="E5" s="16">
        <v>120</v>
      </c>
      <c r="F5" s="8">
        <f t="shared" si="0"/>
        <v>168</v>
      </c>
      <c r="G5" s="16">
        <v>60</v>
      </c>
      <c r="H5" s="16">
        <v>60</v>
      </c>
      <c r="I5" s="16">
        <v>88</v>
      </c>
      <c r="J5" s="8">
        <f t="shared" si="1"/>
        <v>208</v>
      </c>
      <c r="K5" s="16">
        <v>30</v>
      </c>
      <c r="L5" s="17">
        <v>40</v>
      </c>
      <c r="M5" s="16">
        <v>122</v>
      </c>
      <c r="N5" s="8">
        <f t="shared" si="2"/>
        <v>192</v>
      </c>
      <c r="O5" s="16">
        <v>82</v>
      </c>
      <c r="P5" s="16">
        <v>70</v>
      </c>
      <c r="Q5" s="16">
        <v>80</v>
      </c>
      <c r="R5" s="8">
        <f t="shared" si="3"/>
        <v>232</v>
      </c>
      <c r="S5" s="12">
        <f t="shared" si="4"/>
        <v>800</v>
      </c>
      <c r="T5" s="13">
        <v>750</v>
      </c>
      <c r="U5" s="13">
        <v>637.91020000000003</v>
      </c>
      <c r="V5" s="14">
        <f t="shared" si="5"/>
        <v>0.85054693333333342</v>
      </c>
      <c r="W5" s="15">
        <f t="shared" si="6"/>
        <v>0.25409501211926061</v>
      </c>
    </row>
    <row r="6" spans="1:23" ht="16">
      <c r="A6" s="8" t="s">
        <v>30</v>
      </c>
      <c r="B6" s="8" t="s">
        <v>30</v>
      </c>
      <c r="C6" s="10">
        <v>60</v>
      </c>
      <c r="D6" s="18">
        <v>50</v>
      </c>
      <c r="E6" s="18">
        <v>70</v>
      </c>
      <c r="F6" s="8">
        <f t="shared" si="0"/>
        <v>180</v>
      </c>
      <c r="G6" s="18">
        <v>55</v>
      </c>
      <c r="H6" s="10">
        <v>60</v>
      </c>
      <c r="I6" s="10">
        <v>63</v>
      </c>
      <c r="J6" s="8">
        <f t="shared" si="1"/>
        <v>178</v>
      </c>
      <c r="K6" s="10">
        <v>58</v>
      </c>
      <c r="L6" s="11">
        <v>60</v>
      </c>
      <c r="M6" s="10">
        <v>64</v>
      </c>
      <c r="N6" s="8">
        <f t="shared" si="2"/>
        <v>182</v>
      </c>
      <c r="O6" s="10">
        <v>68</v>
      </c>
      <c r="P6" s="10">
        <v>72</v>
      </c>
      <c r="Q6" s="10">
        <v>80</v>
      </c>
      <c r="R6" s="8">
        <f t="shared" si="3"/>
        <v>220</v>
      </c>
      <c r="S6" s="12">
        <f t="shared" si="4"/>
        <v>760</v>
      </c>
      <c r="T6" s="19">
        <v>1200</v>
      </c>
      <c r="U6" s="20">
        <v>675.55728799999997</v>
      </c>
      <c r="V6" s="14">
        <f t="shared" si="5"/>
        <v>0.56296440666666669</v>
      </c>
      <c r="W6" s="15">
        <f t="shared" si="6"/>
        <v>0.12499711497450389</v>
      </c>
    </row>
    <row r="7" spans="1:23" ht="16">
      <c r="A7" s="8" t="s">
        <v>31</v>
      </c>
      <c r="B7" s="8" t="s">
        <v>32</v>
      </c>
      <c r="C7" s="10">
        <v>28</v>
      </c>
      <c r="D7" s="10">
        <v>15</v>
      </c>
      <c r="E7" s="10">
        <v>83</v>
      </c>
      <c r="F7" s="8">
        <f t="shared" si="0"/>
        <v>126</v>
      </c>
      <c r="G7" s="10">
        <v>50</v>
      </c>
      <c r="H7" s="10">
        <v>52</v>
      </c>
      <c r="I7" s="10">
        <v>54</v>
      </c>
      <c r="J7" s="8">
        <f t="shared" si="1"/>
        <v>156</v>
      </c>
      <c r="K7" s="10">
        <v>45</v>
      </c>
      <c r="L7" s="11">
        <v>49</v>
      </c>
      <c r="M7" s="10">
        <v>50</v>
      </c>
      <c r="N7" s="8">
        <f t="shared" si="2"/>
        <v>144</v>
      </c>
      <c r="O7" s="10">
        <v>56</v>
      </c>
      <c r="P7" s="10">
        <v>58</v>
      </c>
      <c r="Q7" s="10">
        <v>60</v>
      </c>
      <c r="R7" s="8">
        <f t="shared" si="3"/>
        <v>174</v>
      </c>
      <c r="S7" s="12">
        <f t="shared" si="4"/>
        <v>600</v>
      </c>
      <c r="T7" s="21">
        <v>500</v>
      </c>
      <c r="U7" s="20">
        <f>212.0265+58.4426</f>
        <v>270.46910000000003</v>
      </c>
      <c r="V7" s="14">
        <f t="shared" si="5"/>
        <v>0.54093820000000004</v>
      </c>
      <c r="W7" s="15">
        <f t="shared" si="6"/>
        <v>1.2183680132037262</v>
      </c>
    </row>
    <row r="8" spans="1:23" ht="15">
      <c r="A8" s="8" t="s">
        <v>33</v>
      </c>
      <c r="B8" s="22"/>
      <c r="C8" s="10"/>
      <c r="D8" s="10"/>
      <c r="E8" s="10"/>
      <c r="F8" s="23">
        <f t="shared" si="0"/>
        <v>0</v>
      </c>
      <c r="G8" s="10"/>
      <c r="H8" s="10"/>
      <c r="I8" s="10"/>
      <c r="J8" s="8">
        <f t="shared" si="1"/>
        <v>0</v>
      </c>
      <c r="K8" s="10"/>
      <c r="L8" s="11"/>
      <c r="M8" s="10"/>
      <c r="N8" s="8">
        <f t="shared" si="2"/>
        <v>0</v>
      </c>
      <c r="O8" s="10"/>
      <c r="P8" s="10"/>
      <c r="Q8" s="10"/>
      <c r="R8" s="8">
        <f t="shared" si="3"/>
        <v>0</v>
      </c>
      <c r="S8" s="24">
        <f t="shared" si="4"/>
        <v>0</v>
      </c>
      <c r="T8" s="22">
        <v>50</v>
      </c>
      <c r="U8" s="25">
        <f>197.654817-58.4426+58.3375</f>
        <v>197.54971700000002</v>
      </c>
      <c r="V8" s="14">
        <f t="shared" si="5"/>
        <v>3.9509943400000003</v>
      </c>
      <c r="W8" s="15">
        <f t="shared" si="6"/>
        <v>-1</v>
      </c>
    </row>
    <row r="9" spans="1:23" ht="15">
      <c r="A9" s="4" t="s">
        <v>34</v>
      </c>
      <c r="B9" s="26" t="s">
        <v>35</v>
      </c>
      <c r="C9" s="13">
        <f t="shared" ref="C9:S9" si="7">C3+C4+C5+C6+C7</f>
        <v>250</v>
      </c>
      <c r="D9" s="13">
        <f t="shared" si="7"/>
        <v>212</v>
      </c>
      <c r="E9" s="13">
        <f t="shared" si="7"/>
        <v>473</v>
      </c>
      <c r="F9" s="23">
        <f t="shared" si="7"/>
        <v>935</v>
      </c>
      <c r="G9" s="13">
        <f t="shared" si="7"/>
        <v>343</v>
      </c>
      <c r="H9" s="13">
        <f t="shared" si="7"/>
        <v>362</v>
      </c>
      <c r="I9" s="13">
        <f t="shared" si="7"/>
        <v>407</v>
      </c>
      <c r="J9" s="23">
        <f t="shared" si="7"/>
        <v>1112</v>
      </c>
      <c r="K9" s="13">
        <f t="shared" si="7"/>
        <v>293</v>
      </c>
      <c r="L9" s="27">
        <f t="shared" si="7"/>
        <v>317</v>
      </c>
      <c r="M9" s="13">
        <f t="shared" si="7"/>
        <v>431</v>
      </c>
      <c r="N9" s="23">
        <f t="shared" si="7"/>
        <v>1041</v>
      </c>
      <c r="O9" s="13">
        <f t="shared" si="7"/>
        <v>418</v>
      </c>
      <c r="P9" s="13">
        <f t="shared" si="7"/>
        <v>409</v>
      </c>
      <c r="Q9" s="13">
        <f t="shared" si="7"/>
        <v>435</v>
      </c>
      <c r="R9" s="23">
        <f t="shared" si="7"/>
        <v>1262</v>
      </c>
      <c r="S9" s="24">
        <f t="shared" si="7"/>
        <v>4350</v>
      </c>
      <c r="T9" s="23">
        <f>T3+T4+T5+T6+T7+T8</f>
        <v>4500</v>
      </c>
      <c r="U9" s="23">
        <f>U3+U4+U5+U6+U7+U8</f>
        <v>3318.6217200000001</v>
      </c>
      <c r="V9" s="14">
        <f t="shared" si="5"/>
        <v>0.73747149333333339</v>
      </c>
      <c r="W9" s="15">
        <f t="shared" si="6"/>
        <v>0.31078512919514067</v>
      </c>
    </row>
    <row r="10" spans="1:23" ht="15">
      <c r="A10" s="4"/>
      <c r="B10" s="22" t="s">
        <v>36</v>
      </c>
      <c r="C10" s="28">
        <f>F9/S9</f>
        <v>0.21494252873563219</v>
      </c>
      <c r="D10" s="28"/>
      <c r="E10" s="28"/>
      <c r="F10" s="28"/>
      <c r="G10" s="28">
        <f>J9/S9</f>
        <v>0.25563218390804598</v>
      </c>
      <c r="H10" s="28"/>
      <c r="I10" s="28"/>
      <c r="J10" s="28"/>
      <c r="K10" s="29">
        <f>N9/S9</f>
        <v>0.2393103448275862</v>
      </c>
      <c r="L10" s="30"/>
      <c r="M10" s="29"/>
      <c r="N10" s="29"/>
      <c r="O10" s="29">
        <f>R9/S9</f>
        <v>0.29011494252873565</v>
      </c>
      <c r="P10" s="29"/>
      <c r="Q10" s="29"/>
      <c r="R10" s="29"/>
      <c r="S10" s="22"/>
      <c r="T10" s="22"/>
      <c r="U10" s="22"/>
      <c r="V10" s="31"/>
      <c r="W10" s="32"/>
    </row>
    <row r="11" spans="1:23" ht="15">
      <c r="A11" s="33"/>
      <c r="B11" s="34" t="s">
        <v>37</v>
      </c>
      <c r="C11" s="35">
        <f>SUM(C10:J10)</f>
        <v>0.47057471264367817</v>
      </c>
      <c r="D11" s="35"/>
      <c r="E11" s="35"/>
      <c r="F11" s="35"/>
      <c r="G11" s="35"/>
      <c r="H11" s="35"/>
      <c r="I11" s="35"/>
      <c r="J11" s="35"/>
      <c r="K11" s="35">
        <f>SUM(K10:R10)</f>
        <v>0.52942528735632188</v>
      </c>
      <c r="L11" s="36"/>
      <c r="M11" s="35"/>
      <c r="N11" s="35"/>
      <c r="O11" s="35"/>
      <c r="P11" s="35"/>
      <c r="Q11" s="35"/>
      <c r="R11" s="35"/>
      <c r="S11" s="34"/>
      <c r="T11" s="34"/>
      <c r="U11" s="34"/>
      <c r="V11" s="37"/>
      <c r="W11" s="38"/>
    </row>
  </sheetData>
  <mergeCells count="12">
    <mergeCell ref="C11:J11"/>
    <mergeCell ref="K11:R11"/>
    <mergeCell ref="A1:A2"/>
    <mergeCell ref="B1:B2"/>
    <mergeCell ref="C1:S1"/>
    <mergeCell ref="T1:V1"/>
    <mergeCell ref="W1:W2"/>
    <mergeCell ref="A9:A11"/>
    <mergeCell ref="C10:F10"/>
    <mergeCell ref="G10:J10"/>
    <mergeCell ref="K10:N10"/>
    <mergeCell ref="O10:R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"/>
  <sheetViews>
    <sheetView workbookViewId="0">
      <selection sqref="A1:W10"/>
    </sheetView>
  </sheetViews>
  <sheetFormatPr baseColWidth="10" defaultColWidth="8.83203125" defaultRowHeight="14"/>
  <sheetData>
    <row r="1" spans="1:23">
      <c r="A1" s="39" t="s">
        <v>0</v>
      </c>
      <c r="B1" s="39" t="s">
        <v>1</v>
      </c>
      <c r="C1" s="39" t="s">
        <v>2</v>
      </c>
      <c r="D1" s="39"/>
      <c r="E1" s="39"/>
      <c r="F1" s="39"/>
      <c r="G1" s="39"/>
      <c r="H1" s="39"/>
      <c r="I1" s="39"/>
      <c r="J1" s="39"/>
      <c r="K1" s="39"/>
      <c r="L1" s="40"/>
      <c r="M1" s="39"/>
      <c r="N1" s="39"/>
      <c r="O1" s="39"/>
      <c r="P1" s="39"/>
      <c r="Q1" s="39"/>
      <c r="R1" s="39"/>
      <c r="S1" s="39"/>
      <c r="T1" s="39" t="s">
        <v>3</v>
      </c>
      <c r="U1" s="39"/>
      <c r="V1" s="39"/>
      <c r="W1" s="9" t="s">
        <v>4</v>
      </c>
    </row>
    <row r="2" spans="1:23" ht="15">
      <c r="A2" s="4"/>
      <c r="B2" s="4"/>
      <c r="C2" s="5" t="s">
        <v>5</v>
      </c>
      <c r="D2" s="5" t="s">
        <v>6</v>
      </c>
      <c r="E2" s="5" t="s">
        <v>7</v>
      </c>
      <c r="F2" s="8" t="s">
        <v>8</v>
      </c>
      <c r="G2" s="5" t="s">
        <v>9</v>
      </c>
      <c r="H2" s="5" t="s">
        <v>10</v>
      </c>
      <c r="I2" s="5" t="s">
        <v>11</v>
      </c>
      <c r="J2" s="8" t="s">
        <v>12</v>
      </c>
      <c r="K2" s="5" t="s">
        <v>13</v>
      </c>
      <c r="L2" s="7" t="s">
        <v>14</v>
      </c>
      <c r="M2" s="5" t="s">
        <v>15</v>
      </c>
      <c r="N2" s="8" t="s">
        <v>16</v>
      </c>
      <c r="O2" s="5" t="s">
        <v>17</v>
      </c>
      <c r="P2" s="5" t="s">
        <v>18</v>
      </c>
      <c r="Q2" s="5" t="s">
        <v>19</v>
      </c>
      <c r="R2" s="8" t="s">
        <v>20</v>
      </c>
      <c r="S2" s="5" t="s">
        <v>21</v>
      </c>
      <c r="T2" s="8" t="s">
        <v>22</v>
      </c>
      <c r="U2" s="8" t="s">
        <v>23</v>
      </c>
      <c r="V2" s="8" t="s">
        <v>24</v>
      </c>
      <c r="W2" s="9"/>
    </row>
    <row r="3" spans="1:23" ht="16">
      <c r="A3" s="8" t="s">
        <v>38</v>
      </c>
      <c r="B3" s="22"/>
      <c r="C3" s="41">
        <f>(2000000*0.074)/10000</f>
        <v>14.8</v>
      </c>
      <c r="D3" s="41">
        <f>(2000000*0.043)/10000</f>
        <v>8.6</v>
      </c>
      <c r="E3" s="41">
        <f>(2000000*0.087)/10000</f>
        <v>17.399999999999999</v>
      </c>
      <c r="F3" s="22">
        <f>SUM(C3:E3)</f>
        <v>40.799999999999997</v>
      </c>
      <c r="G3" s="41">
        <f>(2000000*0.082)/10000</f>
        <v>16.399999999999999</v>
      </c>
      <c r="H3" s="41">
        <f>(2000000*0.092)/10000</f>
        <v>18.399999999999999</v>
      </c>
      <c r="I3" s="41">
        <f>(2000000*0.087)/10000</f>
        <v>17.399999999999999</v>
      </c>
      <c r="J3" s="22">
        <f>SUM(G3:I3)</f>
        <v>52.199999999999996</v>
      </c>
      <c r="K3" s="41">
        <f>(2000000*0.073)/10000</f>
        <v>14.6</v>
      </c>
      <c r="L3" s="42">
        <f>(2000000*0.069)/10000</f>
        <v>13.8</v>
      </c>
      <c r="M3" s="41">
        <f>(2000000*0.093)/10000</f>
        <v>18.600000000000001</v>
      </c>
      <c r="N3" s="22">
        <f>SUM(K3:M3)</f>
        <v>47</v>
      </c>
      <c r="O3" s="41">
        <f>(2000000*0.098)/10000</f>
        <v>19.600000000000001</v>
      </c>
      <c r="P3" s="41">
        <f>(2000000*0.097)/10000</f>
        <v>19.399999999999999</v>
      </c>
      <c r="Q3" s="41">
        <f>(2000000*0.105)/10000</f>
        <v>21</v>
      </c>
      <c r="R3" s="22">
        <f>SUM(O3:Q3)</f>
        <v>60</v>
      </c>
      <c r="S3" s="43">
        <f t="shared" ref="S3:S8" si="0">F3+J3+N3+R3</f>
        <v>200</v>
      </c>
      <c r="T3" s="20">
        <v>200</v>
      </c>
      <c r="U3" s="20">
        <v>171.31</v>
      </c>
      <c r="V3" s="44">
        <f t="shared" ref="V3:V8" si="1">U3/T3</f>
        <v>0.85655000000000003</v>
      </c>
      <c r="W3" s="15">
        <f t="shared" ref="W3:W8" si="2">(S3-U3)/U3</f>
        <v>0.16747416963399683</v>
      </c>
    </row>
    <row r="4" spans="1:23" ht="16">
      <c r="A4" s="8" t="s">
        <v>39</v>
      </c>
      <c r="B4" s="22"/>
      <c r="C4" s="41">
        <f>(3100000*0.074)/10000</f>
        <v>22.94</v>
      </c>
      <c r="D4" s="41">
        <f>(3100000*0.043)/10000</f>
        <v>13.33</v>
      </c>
      <c r="E4" s="41">
        <f>(3100000*0.087)/10000</f>
        <v>26.97</v>
      </c>
      <c r="F4" s="25">
        <f>SUM(C4:E4)</f>
        <v>63.24</v>
      </c>
      <c r="G4" s="41">
        <f>(3100000*0.082)/10000</f>
        <v>25.42</v>
      </c>
      <c r="H4" s="41">
        <f>(3100000*0.092)/10000</f>
        <v>28.52</v>
      </c>
      <c r="I4" s="41">
        <f>(3100000*0.087)/10000</f>
        <v>26.97</v>
      </c>
      <c r="J4" s="25">
        <f>SUM(G4:I4)</f>
        <v>80.91</v>
      </c>
      <c r="K4" s="41">
        <f>(3100000*0.073)/10000</f>
        <v>22.63</v>
      </c>
      <c r="L4" s="42">
        <f>(3100000*0.069)/10000</f>
        <v>21.390000000000004</v>
      </c>
      <c r="M4" s="41">
        <f>(3100000*0.093)/10000</f>
        <v>28.83</v>
      </c>
      <c r="N4" s="25">
        <f>SUM(K4:M4)</f>
        <v>72.849999999999994</v>
      </c>
      <c r="O4" s="41">
        <f>(3100000*0.098)/10000</f>
        <v>30.38</v>
      </c>
      <c r="P4" s="41">
        <f>(3100000*0.097)/10000</f>
        <v>30.07</v>
      </c>
      <c r="Q4" s="41">
        <f>(3100000*0.105)/10000</f>
        <v>32.549999999999997</v>
      </c>
      <c r="R4" s="25">
        <f>SUM(O4:Q4)</f>
        <v>93</v>
      </c>
      <c r="S4" s="43">
        <f t="shared" si="0"/>
        <v>310</v>
      </c>
      <c r="T4" s="20">
        <v>244</v>
      </c>
      <c r="U4" s="20">
        <v>228.6636</v>
      </c>
      <c r="V4" s="44">
        <f t="shared" si="1"/>
        <v>0.9371459016393443</v>
      </c>
      <c r="W4" s="15">
        <f t="shared" si="2"/>
        <v>0.35570331263917826</v>
      </c>
    </row>
    <row r="5" spans="1:23" ht="16">
      <c r="A5" s="8" t="s">
        <v>40</v>
      </c>
      <c r="B5" s="22"/>
      <c r="C5" s="41">
        <v>21.7728</v>
      </c>
      <c r="D5" s="41">
        <v>12.9551</v>
      </c>
      <c r="E5" s="41">
        <v>27.818100000000001</v>
      </c>
      <c r="F5" s="25">
        <f>SUM(C5:E5)</f>
        <v>62.545999999999999</v>
      </c>
      <c r="G5" s="41">
        <v>23.7</v>
      </c>
      <c r="H5" s="41">
        <v>24.9</v>
      </c>
      <c r="I5" s="41">
        <v>31.5</v>
      </c>
      <c r="J5" s="25">
        <f>SUM(G5:I5)</f>
        <v>80.099999999999994</v>
      </c>
      <c r="K5" s="41">
        <v>22.5</v>
      </c>
      <c r="L5" s="42">
        <v>20.100000000000001</v>
      </c>
      <c r="M5" s="41">
        <v>24.92</v>
      </c>
      <c r="N5" s="25">
        <f>SUM(K5:M5)</f>
        <v>67.52000000000001</v>
      </c>
      <c r="O5" s="41">
        <v>27.52</v>
      </c>
      <c r="P5" s="41">
        <v>28.63</v>
      </c>
      <c r="Q5" s="41">
        <v>33.683999999999997</v>
      </c>
      <c r="R5" s="25">
        <f>SUM(O5:Q5)</f>
        <v>89.834000000000003</v>
      </c>
      <c r="S5" s="43">
        <f t="shared" si="0"/>
        <v>300</v>
      </c>
      <c r="T5" s="20">
        <v>270</v>
      </c>
      <c r="U5" s="20">
        <v>217.3237</v>
      </c>
      <c r="V5" s="44">
        <f t="shared" si="1"/>
        <v>0.80490259259259256</v>
      </c>
      <c r="W5" s="15">
        <f t="shared" si="2"/>
        <v>0.38042928589932895</v>
      </c>
    </row>
    <row r="6" spans="1:23" ht="16">
      <c r="A6" s="8" t="s">
        <v>41</v>
      </c>
      <c r="B6" s="22"/>
      <c r="C6" s="41">
        <f>(3300000*0.074)/10000</f>
        <v>24.42</v>
      </c>
      <c r="D6" s="41">
        <f>(3300000*0.043)/10000</f>
        <v>14.19</v>
      </c>
      <c r="E6" s="41">
        <f>(3300000*0.087)/10000</f>
        <v>28.71</v>
      </c>
      <c r="F6" s="22">
        <f>SUM(C6:E6)</f>
        <v>67.319999999999993</v>
      </c>
      <c r="G6" s="41">
        <f>(3300000*0.082)/10000</f>
        <v>27.06</v>
      </c>
      <c r="H6" s="41">
        <f>(3300000*0.092)/10000</f>
        <v>30.36</v>
      </c>
      <c r="I6" s="41">
        <f>(3300000*0.087)/10000</f>
        <v>28.71</v>
      </c>
      <c r="J6" s="22">
        <f>SUM(G6:I6)</f>
        <v>86.13</v>
      </c>
      <c r="K6" s="41">
        <f>(3300000*0.073)/10000</f>
        <v>24.089999999999996</v>
      </c>
      <c r="L6" s="42">
        <f>(3300000*0.069)/10000</f>
        <v>22.770000000000003</v>
      </c>
      <c r="M6" s="41">
        <f>(3300000*0.093)/10000</f>
        <v>30.69</v>
      </c>
      <c r="N6" s="22">
        <f>SUM(K6:M6)</f>
        <v>77.55</v>
      </c>
      <c r="O6" s="41">
        <f>(3300000*0.098)/10000</f>
        <v>32.340000000000003</v>
      </c>
      <c r="P6" s="41">
        <f>(3300000*0.097)/10000</f>
        <v>32.01</v>
      </c>
      <c r="Q6" s="41">
        <f>(3300000*0.105)/10000</f>
        <v>34.65</v>
      </c>
      <c r="R6" s="22">
        <f>SUM(O6:Q6)</f>
        <v>99</v>
      </c>
      <c r="S6" s="43">
        <f t="shared" si="0"/>
        <v>330</v>
      </c>
      <c r="T6" s="19">
        <v>375</v>
      </c>
      <c r="U6" s="20">
        <v>248.345</v>
      </c>
      <c r="V6" s="44">
        <f t="shared" si="1"/>
        <v>0.66225333333333336</v>
      </c>
      <c r="W6" s="15">
        <f t="shared" si="2"/>
        <v>0.32879663371519458</v>
      </c>
    </row>
    <row r="7" spans="1:23" ht="15">
      <c r="A7" s="8" t="s">
        <v>33</v>
      </c>
      <c r="B7" s="22"/>
      <c r="C7" s="41">
        <f>(600000*0.074)/10000</f>
        <v>4.4400000000000004</v>
      </c>
      <c r="D7" s="41">
        <f>(600000*0.043)/10000</f>
        <v>2.5799999999999996</v>
      </c>
      <c r="E7" s="41">
        <f>(600000*0.087)/10000</f>
        <v>5.22</v>
      </c>
      <c r="F7" s="13">
        <f>SUM(C7:E7)</f>
        <v>12.239999999999998</v>
      </c>
      <c r="G7" s="41">
        <f>(600000*0.082)/10000</f>
        <v>4.92</v>
      </c>
      <c r="H7" s="41">
        <f>(600000*0.0921)/10000</f>
        <v>5.5259999999999998</v>
      </c>
      <c r="I7" s="41">
        <f>(600000*0.087)/10000</f>
        <v>5.22</v>
      </c>
      <c r="J7" s="25">
        <f>SUM(G7:I7)</f>
        <v>15.666</v>
      </c>
      <c r="K7" s="41">
        <f>(600000*0.073)/10000</f>
        <v>4.38</v>
      </c>
      <c r="L7" s="42">
        <f>(600000*0.069)/10000</f>
        <v>4.1399999999999997</v>
      </c>
      <c r="M7" s="41">
        <f>(600000*0.093)/10000</f>
        <v>5.58</v>
      </c>
      <c r="N7" s="25">
        <f>SUM(K7:M7)</f>
        <v>14.1</v>
      </c>
      <c r="O7" s="41">
        <f>(600000*0.098)/10000</f>
        <v>5.88</v>
      </c>
      <c r="P7" s="41">
        <f>(600000*0.097)/10000</f>
        <v>5.82</v>
      </c>
      <c r="Q7" s="41">
        <v>6.2939999999999996</v>
      </c>
      <c r="R7" s="25">
        <f>SUM(O7:Q7)</f>
        <v>17.994</v>
      </c>
      <c r="S7" s="45">
        <f t="shared" si="0"/>
        <v>60</v>
      </c>
      <c r="T7" s="22">
        <v>11</v>
      </c>
      <c r="U7" s="25">
        <v>7.1855000000000002</v>
      </c>
      <c r="V7" s="44">
        <f t="shared" si="1"/>
        <v>0.65322727272727277</v>
      </c>
      <c r="W7" s="15">
        <f t="shared" si="2"/>
        <v>7.3501496068471228</v>
      </c>
    </row>
    <row r="8" spans="1:23" ht="15">
      <c r="A8" s="4" t="s">
        <v>35</v>
      </c>
      <c r="B8" s="46" t="s">
        <v>35</v>
      </c>
      <c r="C8" s="13">
        <f t="shared" ref="C8:R8" si="3">C6+C4+C3+C7+C5</f>
        <v>88.372799999999998</v>
      </c>
      <c r="D8" s="13">
        <f t="shared" si="3"/>
        <v>51.655099999999997</v>
      </c>
      <c r="E8" s="13">
        <f t="shared" si="3"/>
        <v>106.1181</v>
      </c>
      <c r="F8" s="13">
        <f t="shared" si="3"/>
        <v>246.14600000000002</v>
      </c>
      <c r="G8" s="13">
        <f t="shared" si="3"/>
        <v>97.5</v>
      </c>
      <c r="H8" s="13">
        <f t="shared" si="3"/>
        <v>107.70599999999999</v>
      </c>
      <c r="I8" s="13">
        <f t="shared" si="3"/>
        <v>109.8</v>
      </c>
      <c r="J8" s="13">
        <f t="shared" si="3"/>
        <v>315.00599999999997</v>
      </c>
      <c r="K8" s="13">
        <f t="shared" si="3"/>
        <v>88.2</v>
      </c>
      <c r="L8" s="27">
        <f t="shared" si="3"/>
        <v>82.200000000000017</v>
      </c>
      <c r="M8" s="13">
        <f t="shared" si="3"/>
        <v>108.62</v>
      </c>
      <c r="N8" s="13">
        <f t="shared" si="3"/>
        <v>279.02</v>
      </c>
      <c r="O8" s="13">
        <f t="shared" si="3"/>
        <v>115.71999999999998</v>
      </c>
      <c r="P8" s="13">
        <f t="shared" si="3"/>
        <v>115.92999999999998</v>
      </c>
      <c r="Q8" s="13">
        <f t="shared" si="3"/>
        <v>128.178</v>
      </c>
      <c r="R8" s="13">
        <f t="shared" si="3"/>
        <v>359.82800000000003</v>
      </c>
      <c r="S8" s="45">
        <f t="shared" si="0"/>
        <v>1200</v>
      </c>
      <c r="T8" s="13">
        <f>T6+T4+T3+T7+T5</f>
        <v>1100</v>
      </c>
      <c r="U8" s="13">
        <f>U6+U4+U3+U7+U5</f>
        <v>872.82780000000014</v>
      </c>
      <c r="V8" s="44">
        <f t="shared" si="1"/>
        <v>0.79347981818181834</v>
      </c>
      <c r="W8" s="15">
        <f t="shared" si="2"/>
        <v>0.3748416354291188</v>
      </c>
    </row>
    <row r="9" spans="1:23" ht="15">
      <c r="A9" s="4"/>
      <c r="B9" s="22" t="s">
        <v>36</v>
      </c>
      <c r="C9" s="29">
        <f>F8/S8</f>
        <v>0.20512166666666667</v>
      </c>
      <c r="D9" s="29"/>
      <c r="E9" s="29"/>
      <c r="F9" s="29"/>
      <c r="G9" s="29">
        <f>J8/S8</f>
        <v>0.26250499999999999</v>
      </c>
      <c r="H9" s="29"/>
      <c r="I9" s="29"/>
      <c r="J9" s="29"/>
      <c r="K9" s="29">
        <f>N8/S8</f>
        <v>0.23251666666666665</v>
      </c>
      <c r="L9" s="30"/>
      <c r="M9" s="29"/>
      <c r="N9" s="29"/>
      <c r="O9" s="29">
        <f>R8/S8</f>
        <v>0.29985666666666672</v>
      </c>
      <c r="P9" s="29"/>
      <c r="Q9" s="29"/>
      <c r="R9" s="29"/>
      <c r="S9" s="22"/>
      <c r="T9" s="22"/>
      <c r="U9" s="22"/>
      <c r="V9" s="31"/>
      <c r="W9" s="32"/>
    </row>
    <row r="10" spans="1:23" ht="15">
      <c r="A10" s="47"/>
      <c r="B10" s="48" t="s">
        <v>37</v>
      </c>
      <c r="C10" s="49">
        <f>SUM(C9:J9)</f>
        <v>0.46762666666666663</v>
      </c>
      <c r="D10" s="49"/>
      <c r="E10" s="49"/>
      <c r="F10" s="49"/>
      <c r="G10" s="49"/>
      <c r="H10" s="49"/>
      <c r="I10" s="49"/>
      <c r="J10" s="49"/>
      <c r="K10" s="49">
        <f>SUM(K9:R9)</f>
        <v>0.53237333333333337</v>
      </c>
      <c r="L10" s="50"/>
      <c r="M10" s="49"/>
      <c r="N10" s="49"/>
      <c r="O10" s="49"/>
      <c r="P10" s="49"/>
      <c r="Q10" s="49"/>
      <c r="R10" s="49"/>
      <c r="S10" s="48"/>
      <c r="T10" s="48"/>
      <c r="U10" s="48"/>
      <c r="V10" s="51"/>
      <c r="W10" s="52"/>
    </row>
  </sheetData>
  <mergeCells count="12">
    <mergeCell ref="C10:J10"/>
    <mergeCell ref="K10:R10"/>
    <mergeCell ref="A1:A2"/>
    <mergeCell ref="B1:B2"/>
    <mergeCell ref="C1:S1"/>
    <mergeCell ref="T1:V1"/>
    <mergeCell ref="W1:W2"/>
    <mergeCell ref="A8:A10"/>
    <mergeCell ref="C9:F9"/>
    <mergeCell ref="G9:J9"/>
    <mergeCell ref="K9:N9"/>
    <mergeCell ref="O9:R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tabSelected="1" workbookViewId="0">
      <selection activeCell="H17" sqref="H17"/>
    </sheetView>
  </sheetViews>
  <sheetFormatPr baseColWidth="10" defaultColWidth="8.83203125" defaultRowHeight="14"/>
  <sheetData>
    <row r="1" spans="1:23">
      <c r="A1" s="39" t="s">
        <v>0</v>
      </c>
      <c r="B1" s="39" t="s">
        <v>1</v>
      </c>
      <c r="C1" s="39" t="s">
        <v>2</v>
      </c>
      <c r="D1" s="39"/>
      <c r="E1" s="39"/>
      <c r="F1" s="39"/>
      <c r="G1" s="39"/>
      <c r="H1" s="39"/>
      <c r="I1" s="39"/>
      <c r="J1" s="39"/>
      <c r="K1" s="39"/>
      <c r="L1" s="40"/>
      <c r="M1" s="39"/>
      <c r="N1" s="39"/>
      <c r="O1" s="39"/>
      <c r="P1" s="39"/>
      <c r="Q1" s="39"/>
      <c r="R1" s="39"/>
      <c r="S1" s="39"/>
      <c r="T1" s="39" t="s">
        <v>3</v>
      </c>
      <c r="U1" s="39"/>
      <c r="V1" s="39"/>
      <c r="W1" s="53" t="s">
        <v>4</v>
      </c>
    </row>
    <row r="2" spans="1:23" ht="15">
      <c r="A2" s="4"/>
      <c r="B2" s="4"/>
      <c r="C2" s="5" t="s">
        <v>5</v>
      </c>
      <c r="D2" s="5" t="s">
        <v>6</v>
      </c>
      <c r="E2" s="5" t="s">
        <v>7</v>
      </c>
      <c r="F2" s="8" t="s">
        <v>8</v>
      </c>
      <c r="G2" s="5" t="s">
        <v>9</v>
      </c>
      <c r="H2" s="5" t="s">
        <v>10</v>
      </c>
      <c r="I2" s="5" t="s">
        <v>11</v>
      </c>
      <c r="J2" s="8" t="s">
        <v>12</v>
      </c>
      <c r="K2" s="5" t="s">
        <v>13</v>
      </c>
      <c r="L2" s="7" t="s">
        <v>14</v>
      </c>
      <c r="M2" s="5" t="s">
        <v>15</v>
      </c>
      <c r="N2" s="8" t="s">
        <v>16</v>
      </c>
      <c r="O2" s="5" t="s">
        <v>17</v>
      </c>
      <c r="P2" s="5" t="s">
        <v>18</v>
      </c>
      <c r="Q2" s="5" t="s">
        <v>19</v>
      </c>
      <c r="R2" s="8" t="s">
        <v>20</v>
      </c>
      <c r="S2" s="5" t="s">
        <v>21</v>
      </c>
      <c r="T2" s="8" t="s">
        <v>22</v>
      </c>
      <c r="U2" s="8" t="s">
        <v>23</v>
      </c>
      <c r="V2" s="8" t="s">
        <v>24</v>
      </c>
      <c r="W2" s="53"/>
    </row>
    <row r="3" spans="1:23" ht="15">
      <c r="A3" s="8"/>
      <c r="B3" s="8" t="s">
        <v>42</v>
      </c>
      <c r="C3" s="5">
        <v>5</v>
      </c>
      <c r="D3" s="5">
        <v>3</v>
      </c>
      <c r="E3" s="5">
        <v>8</v>
      </c>
      <c r="F3" s="8">
        <f>C3+D3+E3</f>
        <v>16</v>
      </c>
      <c r="G3" s="5">
        <v>6</v>
      </c>
      <c r="H3" s="5">
        <v>9</v>
      </c>
      <c r="I3" s="5">
        <v>7</v>
      </c>
      <c r="J3" s="8">
        <f>G3+H3+I3</f>
        <v>22</v>
      </c>
      <c r="K3" s="5">
        <v>6</v>
      </c>
      <c r="L3" s="7">
        <v>7</v>
      </c>
      <c r="M3" s="5">
        <v>6</v>
      </c>
      <c r="N3" s="8">
        <f>K3+L3+M3</f>
        <v>19</v>
      </c>
      <c r="O3" s="5">
        <v>6</v>
      </c>
      <c r="P3" s="5">
        <v>8</v>
      </c>
      <c r="Q3" s="5">
        <v>9</v>
      </c>
      <c r="R3" s="8">
        <f>O3+P3+Q3</f>
        <v>23</v>
      </c>
      <c r="S3" s="5">
        <f>F3+J3+N3+R3</f>
        <v>80</v>
      </c>
      <c r="T3" s="13"/>
      <c r="U3" s="13"/>
      <c r="V3" s="14"/>
      <c r="W3" s="54"/>
    </row>
    <row r="4" spans="1:23" ht="30">
      <c r="A4" s="8" t="s">
        <v>43</v>
      </c>
      <c r="B4" s="8" t="s">
        <v>44</v>
      </c>
      <c r="C4" s="55">
        <v>40</v>
      </c>
      <c r="D4" s="55">
        <v>33</v>
      </c>
      <c r="E4" s="55">
        <v>22</v>
      </c>
      <c r="F4" s="23">
        <f t="shared" ref="F4:F9" si="0">SUM(C4:E4)</f>
        <v>95</v>
      </c>
      <c r="G4" s="55">
        <v>40</v>
      </c>
      <c r="H4" s="55">
        <v>40</v>
      </c>
      <c r="I4" s="55">
        <v>65</v>
      </c>
      <c r="J4" s="8">
        <f t="shared" ref="J4:J9" si="1">SUM(G4:I4)</f>
        <v>145</v>
      </c>
      <c r="K4" s="55">
        <v>35</v>
      </c>
      <c r="L4" s="56">
        <v>40</v>
      </c>
      <c r="M4" s="55">
        <v>35</v>
      </c>
      <c r="N4" s="8">
        <f t="shared" ref="N4:N9" si="2">SUM(K4:M4)</f>
        <v>110</v>
      </c>
      <c r="O4" s="55">
        <v>40</v>
      </c>
      <c r="P4" s="55">
        <v>60</v>
      </c>
      <c r="Q4" s="55">
        <v>60</v>
      </c>
      <c r="R4" s="8">
        <f t="shared" ref="R4:R9" si="3">SUM(O4:Q4)</f>
        <v>160</v>
      </c>
      <c r="S4" s="8">
        <f t="shared" ref="S4:S9" si="4">R4+N4+J4+F4</f>
        <v>510</v>
      </c>
      <c r="T4" s="13">
        <v>650</v>
      </c>
      <c r="U4" s="13">
        <v>402.93931400000002</v>
      </c>
      <c r="V4" s="14">
        <f>U4/T4</f>
        <v>0.61990663692307701</v>
      </c>
      <c r="W4" s="54">
        <f>(S4-U4)/U4</f>
        <v>0.26569928095921652</v>
      </c>
    </row>
    <row r="5" spans="1:23" ht="15">
      <c r="A5" s="8" t="s">
        <v>45</v>
      </c>
      <c r="B5" s="8" t="s">
        <v>46</v>
      </c>
      <c r="C5" s="55">
        <v>9</v>
      </c>
      <c r="D5" s="55">
        <v>5</v>
      </c>
      <c r="E5" s="55">
        <v>14</v>
      </c>
      <c r="F5" s="23">
        <f t="shared" si="0"/>
        <v>28</v>
      </c>
      <c r="G5" s="55">
        <v>8</v>
      </c>
      <c r="H5" s="55">
        <v>14</v>
      </c>
      <c r="I5" s="55">
        <v>16</v>
      </c>
      <c r="J5" s="8">
        <f t="shared" si="1"/>
        <v>38</v>
      </c>
      <c r="K5" s="55">
        <v>10</v>
      </c>
      <c r="L5" s="56">
        <v>5</v>
      </c>
      <c r="M5" s="55">
        <v>12</v>
      </c>
      <c r="N5" s="8">
        <f t="shared" si="2"/>
        <v>27</v>
      </c>
      <c r="O5" s="55">
        <v>17</v>
      </c>
      <c r="P5" s="55">
        <v>22</v>
      </c>
      <c r="Q5" s="55">
        <v>8</v>
      </c>
      <c r="R5" s="8">
        <f t="shared" si="3"/>
        <v>47</v>
      </c>
      <c r="S5" s="23">
        <f t="shared" si="4"/>
        <v>140</v>
      </c>
      <c r="T5" s="13">
        <v>130</v>
      </c>
      <c r="U5" s="13">
        <v>102.344182</v>
      </c>
      <c r="V5" s="14">
        <f>U5/T5</f>
        <v>0.7872629384615385</v>
      </c>
      <c r="W5" s="54">
        <f>(S5-U5)/U5</f>
        <v>0.36793315715787339</v>
      </c>
    </row>
    <row r="6" spans="1:23" ht="15">
      <c r="A6" s="8"/>
      <c r="B6" s="8" t="s">
        <v>47</v>
      </c>
      <c r="C6" s="55">
        <v>4</v>
      </c>
      <c r="D6" s="55">
        <v>2</v>
      </c>
      <c r="E6" s="55">
        <v>4.5</v>
      </c>
      <c r="F6" s="23">
        <f t="shared" si="0"/>
        <v>10.5</v>
      </c>
      <c r="G6" s="55">
        <v>4</v>
      </c>
      <c r="H6" s="55">
        <v>5</v>
      </c>
      <c r="I6" s="55">
        <v>4</v>
      </c>
      <c r="J6" s="8">
        <f t="shared" si="1"/>
        <v>13</v>
      </c>
      <c r="K6" s="55">
        <v>4</v>
      </c>
      <c r="L6" s="56">
        <v>3</v>
      </c>
      <c r="M6" s="55">
        <v>5</v>
      </c>
      <c r="N6" s="8">
        <f t="shared" si="2"/>
        <v>12</v>
      </c>
      <c r="O6" s="55">
        <v>5</v>
      </c>
      <c r="P6" s="55">
        <v>4.5</v>
      </c>
      <c r="Q6" s="55">
        <v>5</v>
      </c>
      <c r="R6" s="8">
        <f t="shared" si="3"/>
        <v>14.5</v>
      </c>
      <c r="S6" s="8">
        <f t="shared" si="4"/>
        <v>50</v>
      </c>
      <c r="T6" s="13"/>
      <c r="U6" s="13"/>
      <c r="V6" s="14"/>
      <c r="W6" s="54"/>
    </row>
    <row r="7" spans="1:23" ht="15">
      <c r="A7" s="8"/>
      <c r="B7" s="8" t="s">
        <v>48</v>
      </c>
      <c r="C7" s="55">
        <v>7</v>
      </c>
      <c r="D7" s="55">
        <v>4</v>
      </c>
      <c r="E7" s="55">
        <v>9</v>
      </c>
      <c r="F7" s="23">
        <f t="shared" si="0"/>
        <v>20</v>
      </c>
      <c r="G7" s="55">
        <v>8</v>
      </c>
      <c r="H7" s="55">
        <v>9</v>
      </c>
      <c r="I7" s="55">
        <v>10</v>
      </c>
      <c r="J7" s="8">
        <f t="shared" si="1"/>
        <v>27</v>
      </c>
      <c r="K7" s="55">
        <v>7</v>
      </c>
      <c r="L7" s="56">
        <v>7</v>
      </c>
      <c r="M7" s="55">
        <v>9</v>
      </c>
      <c r="N7" s="8">
        <f t="shared" si="2"/>
        <v>23</v>
      </c>
      <c r="O7" s="55">
        <v>10</v>
      </c>
      <c r="P7" s="55">
        <v>10</v>
      </c>
      <c r="Q7" s="55">
        <v>10</v>
      </c>
      <c r="R7" s="8">
        <f t="shared" si="3"/>
        <v>30</v>
      </c>
      <c r="S7" s="8">
        <f t="shared" si="4"/>
        <v>100</v>
      </c>
      <c r="T7" s="13"/>
      <c r="U7" s="13"/>
      <c r="V7" s="14"/>
      <c r="W7" s="54"/>
    </row>
    <row r="8" spans="1:23" ht="15">
      <c r="A8" s="8"/>
      <c r="B8" s="8" t="s">
        <v>49</v>
      </c>
      <c r="C8" s="55">
        <v>5</v>
      </c>
      <c r="D8" s="55">
        <v>3</v>
      </c>
      <c r="E8" s="55">
        <v>7</v>
      </c>
      <c r="F8" s="23">
        <f t="shared" si="0"/>
        <v>15</v>
      </c>
      <c r="G8" s="55">
        <v>6</v>
      </c>
      <c r="H8" s="55">
        <v>6</v>
      </c>
      <c r="I8" s="55">
        <v>6</v>
      </c>
      <c r="J8" s="8">
        <f t="shared" si="1"/>
        <v>18</v>
      </c>
      <c r="K8" s="55">
        <v>5</v>
      </c>
      <c r="L8" s="56">
        <v>5</v>
      </c>
      <c r="M8" s="55">
        <v>7</v>
      </c>
      <c r="N8" s="8">
        <f t="shared" si="2"/>
        <v>17</v>
      </c>
      <c r="O8" s="55">
        <v>7</v>
      </c>
      <c r="P8" s="55">
        <v>7</v>
      </c>
      <c r="Q8" s="55">
        <v>6</v>
      </c>
      <c r="R8" s="8">
        <f t="shared" si="3"/>
        <v>20</v>
      </c>
      <c r="S8" s="8">
        <f t="shared" si="4"/>
        <v>70</v>
      </c>
      <c r="T8" s="13"/>
      <c r="U8" s="13"/>
      <c r="V8" s="14"/>
      <c r="W8" s="54"/>
    </row>
    <row r="9" spans="1:23" ht="15">
      <c r="A9" s="8" t="s">
        <v>33</v>
      </c>
      <c r="B9" s="22"/>
      <c r="C9" s="10">
        <v>4</v>
      </c>
      <c r="D9" s="10">
        <v>2</v>
      </c>
      <c r="E9" s="10">
        <v>4</v>
      </c>
      <c r="F9" s="23">
        <f t="shared" si="0"/>
        <v>10</v>
      </c>
      <c r="G9" s="10">
        <v>4</v>
      </c>
      <c r="H9" s="10">
        <v>5</v>
      </c>
      <c r="I9" s="10">
        <v>4</v>
      </c>
      <c r="J9" s="8">
        <f t="shared" si="1"/>
        <v>13</v>
      </c>
      <c r="K9" s="10">
        <v>4</v>
      </c>
      <c r="L9" s="11">
        <v>3</v>
      </c>
      <c r="M9" s="10">
        <v>5</v>
      </c>
      <c r="N9" s="8">
        <f t="shared" si="2"/>
        <v>12</v>
      </c>
      <c r="O9" s="10">
        <v>5</v>
      </c>
      <c r="P9" s="10">
        <v>5</v>
      </c>
      <c r="Q9" s="10">
        <v>5</v>
      </c>
      <c r="R9" s="8">
        <f t="shared" si="3"/>
        <v>15</v>
      </c>
      <c r="S9" s="8">
        <f t="shared" si="4"/>
        <v>50</v>
      </c>
      <c r="T9" s="22">
        <v>100</v>
      </c>
      <c r="U9" s="13">
        <v>44.695073999999998</v>
      </c>
      <c r="V9" s="14">
        <f>U9/T9</f>
        <v>0.44695073999999996</v>
      </c>
      <c r="W9" s="54">
        <f>(S9-U9)/U9</f>
        <v>0.11869151396863113</v>
      </c>
    </row>
    <row r="10" spans="1:23" ht="15">
      <c r="A10" s="4" t="s">
        <v>35</v>
      </c>
      <c r="B10" s="26" t="s">
        <v>35</v>
      </c>
      <c r="C10" s="13">
        <f>SUM(C3:C9)</f>
        <v>74</v>
      </c>
      <c r="D10" s="13">
        <f t="shared" ref="D10:U10" si="5">SUM(D3:D9)</f>
        <v>52</v>
      </c>
      <c r="E10" s="13">
        <f t="shared" si="5"/>
        <v>68.5</v>
      </c>
      <c r="F10" s="13">
        <f t="shared" si="5"/>
        <v>194.5</v>
      </c>
      <c r="G10" s="13">
        <f t="shared" si="5"/>
        <v>76</v>
      </c>
      <c r="H10" s="13">
        <f t="shared" si="5"/>
        <v>88</v>
      </c>
      <c r="I10" s="13">
        <f t="shared" si="5"/>
        <v>112</v>
      </c>
      <c r="J10" s="13">
        <f t="shared" si="5"/>
        <v>276</v>
      </c>
      <c r="K10" s="13">
        <f t="shared" si="5"/>
        <v>71</v>
      </c>
      <c r="L10" s="27">
        <f t="shared" si="5"/>
        <v>70</v>
      </c>
      <c r="M10" s="13">
        <f t="shared" si="5"/>
        <v>79</v>
      </c>
      <c r="N10" s="13">
        <f t="shared" si="5"/>
        <v>220</v>
      </c>
      <c r="O10" s="13">
        <f t="shared" si="5"/>
        <v>90</v>
      </c>
      <c r="P10" s="13">
        <f t="shared" si="5"/>
        <v>116.5</v>
      </c>
      <c r="Q10" s="13">
        <f t="shared" si="5"/>
        <v>103</v>
      </c>
      <c r="R10" s="13">
        <f t="shared" si="5"/>
        <v>309.5</v>
      </c>
      <c r="S10" s="13">
        <f t="shared" si="5"/>
        <v>1000</v>
      </c>
      <c r="T10" s="13">
        <f t="shared" si="5"/>
        <v>880</v>
      </c>
      <c r="U10" s="13">
        <f t="shared" si="5"/>
        <v>549.97856999999999</v>
      </c>
      <c r="V10" s="57">
        <f>U10/T10</f>
        <v>0.62497564772727277</v>
      </c>
      <c r="W10" s="54">
        <f>(S10-U10)/U10</f>
        <v>0.81825266391743234</v>
      </c>
    </row>
    <row r="11" spans="1:23" ht="15">
      <c r="A11" s="4"/>
      <c r="B11" s="22" t="s">
        <v>36</v>
      </c>
      <c r="C11" s="28">
        <f>F10/S10</f>
        <v>0.19450000000000001</v>
      </c>
      <c r="D11" s="28"/>
      <c r="E11" s="28"/>
      <c r="F11" s="28"/>
      <c r="G11" s="28">
        <f>J10/S10</f>
        <v>0.27600000000000002</v>
      </c>
      <c r="H11" s="28"/>
      <c r="I11" s="28"/>
      <c r="J11" s="28"/>
      <c r="K11" s="28">
        <f>N10/S10</f>
        <v>0.22</v>
      </c>
      <c r="L11" s="58"/>
      <c r="M11" s="28"/>
      <c r="N11" s="28"/>
      <c r="O11" s="28">
        <f>R10/S10</f>
        <v>0.3095</v>
      </c>
      <c r="P11" s="28"/>
      <c r="Q11" s="28"/>
      <c r="R11" s="28"/>
      <c r="S11" s="22"/>
      <c r="T11" s="22"/>
      <c r="U11" s="22"/>
      <c r="V11" s="31"/>
      <c r="W11" s="59"/>
    </row>
    <row r="12" spans="1:23" ht="15">
      <c r="A12" s="47"/>
      <c r="B12" s="48" t="s">
        <v>37</v>
      </c>
      <c r="C12" s="60">
        <f>SUM(C11:J11)</f>
        <v>0.47050000000000003</v>
      </c>
      <c r="D12" s="60"/>
      <c r="E12" s="60"/>
      <c r="F12" s="60"/>
      <c r="G12" s="60"/>
      <c r="H12" s="60"/>
      <c r="I12" s="60"/>
      <c r="J12" s="60"/>
      <c r="K12" s="49">
        <f>SUM(K11:R11)</f>
        <v>0.52949999999999997</v>
      </c>
      <c r="L12" s="50"/>
      <c r="M12" s="49"/>
      <c r="N12" s="49"/>
      <c r="O12" s="49"/>
      <c r="P12" s="49"/>
      <c r="Q12" s="49"/>
      <c r="R12" s="49"/>
      <c r="S12" s="48"/>
      <c r="T12" s="48"/>
      <c r="U12" s="48"/>
      <c r="V12" s="51"/>
      <c r="W12" s="61"/>
    </row>
    <row r="13" spans="1:23">
      <c r="A13" s="62"/>
      <c r="B13" s="63" t="s">
        <v>50</v>
      </c>
      <c r="C13" s="55">
        <v>3</v>
      </c>
      <c r="D13" s="55">
        <v>3</v>
      </c>
      <c r="E13" s="55">
        <v>4</v>
      </c>
      <c r="F13" s="23">
        <f>C13+D13+E13</f>
        <v>10</v>
      </c>
      <c r="G13" s="55">
        <v>4</v>
      </c>
      <c r="H13" s="55">
        <v>5</v>
      </c>
      <c r="I13" s="55">
        <v>4</v>
      </c>
      <c r="J13" s="8">
        <f>G13+H13+I13</f>
        <v>13</v>
      </c>
      <c r="K13" s="55">
        <v>5</v>
      </c>
      <c r="L13" s="56">
        <v>5</v>
      </c>
      <c r="M13" s="55">
        <v>10</v>
      </c>
      <c r="N13" s="8">
        <f>K13+L13+M13</f>
        <v>20</v>
      </c>
      <c r="O13" s="55">
        <v>8</v>
      </c>
      <c r="P13" s="55">
        <v>9</v>
      </c>
      <c r="Q13" s="55">
        <v>10</v>
      </c>
      <c r="R13" s="8">
        <f>O13+P13+Q13</f>
        <v>27</v>
      </c>
      <c r="S13" s="23">
        <f>F13+J13+N13+R13</f>
        <v>70</v>
      </c>
      <c r="T13" s="63"/>
      <c r="U13" s="63"/>
      <c r="V13" s="63"/>
      <c r="W13" s="64"/>
    </row>
  </sheetData>
  <mergeCells count="12">
    <mergeCell ref="C12:J12"/>
    <mergeCell ref="K12:R12"/>
    <mergeCell ref="A1:A2"/>
    <mergeCell ref="B1:B2"/>
    <mergeCell ref="C1:S1"/>
    <mergeCell ref="T1:V1"/>
    <mergeCell ref="W1:W2"/>
    <mergeCell ref="A10:A12"/>
    <mergeCell ref="C11:F11"/>
    <mergeCell ref="G11:J11"/>
    <mergeCell ref="K11:N11"/>
    <mergeCell ref="O11:R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杭州</vt:lpstr>
      <vt:lpstr>金华</vt:lpstr>
      <vt:lpstr>湖州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2025-10-07T10:37:06Z</dcterms:modified>
</cp:coreProperties>
</file>