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gndys/Documents/编程开发/#开发中ind/可行性 MVP/02/9.29 新/00-数据准备/模板数据/9 月/"/>
    </mc:Choice>
  </mc:AlternateContent>
  <xr:revisionPtr revIDLastSave="0" documentId="13_ncr:1_{01BD4485-3F7E-7845-A926-E778E69241CC}" xr6:coauthVersionLast="47" xr6:coauthVersionMax="47" xr10:uidLastSave="{00000000-0000-0000-0000-000000000000}"/>
  <bookViews>
    <workbookView xWindow="8480" yWindow="760" windowWidth="20180" windowHeight="17040" tabRatio="561" activeTab="1" xr2:uid="{00000000-000D-0000-FFFF-FFFF00000000}"/>
  </bookViews>
  <sheets>
    <sheet name="汇总1" sheetId="15" r:id="rId1"/>
    <sheet name="杭州" sheetId="1" r:id="rId2"/>
    <sheet name="湖州" sheetId="2" r:id="rId3"/>
    <sheet name="金衢" sheetId="4" r:id="rId4"/>
    <sheet name="嘉兴" sheetId="67" r:id="rId5"/>
    <sheet name="台州" sheetId="5" r:id="rId6"/>
    <sheet name="绍兴" sheetId="68" r:id="rId7"/>
    <sheet name="温丽 " sheetId="58" r:id="rId8"/>
    <sheet name="电商 以旧换新" sheetId="9" r:id="rId9"/>
    <sheet name="区域数据" sheetId="65" r:id="rId10"/>
    <sheet name="Sheet1" sheetId="66" r:id="rId11"/>
    <sheet name="Sheet2" sheetId="69" r:id="rId12"/>
  </sheets>
  <definedNames>
    <definedName name="_xlnm._FilterDatabase" localSheetId="8" hidden="1">'电商 以旧换新'!#REF!</definedName>
    <definedName name="_xlnm._FilterDatabase" localSheetId="1" hidden="1">杭州!$A$2:$BP$48</definedName>
    <definedName name="_xlnm._FilterDatabase" localSheetId="2" hidden="1">湖州!$A$2:$BN$22</definedName>
    <definedName name="_xlnm._FilterDatabase" localSheetId="3" hidden="1">金衢!$A$2:$BO$31</definedName>
    <definedName name="_xlnm._FilterDatabase" localSheetId="9" hidden="1">区域数据!$A$3:$U$77</definedName>
    <definedName name="_xlnm._FilterDatabase" localSheetId="5" hidden="1">台州!$A$2:$BO$35</definedName>
    <definedName name="_xlnm._FilterDatabase" localSheetId="7" hidden="1">'温丽 '!$A$2:$BM$84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383" i="69" l="1"/>
  <c r="BE383" i="69" s="1"/>
  <c r="BC383" i="69"/>
  <c r="AX383" i="69"/>
  <c r="AW383" i="69"/>
  <c r="AR383" i="69"/>
  <c r="AQ383" i="69"/>
  <c r="AL383" i="69"/>
  <c r="AK383" i="69"/>
  <c r="AF383" i="69"/>
  <c r="AE383" i="69"/>
  <c r="Z383" i="69"/>
  <c r="Y383" i="69"/>
  <c r="T383" i="69"/>
  <c r="S383" i="69"/>
  <c r="N383" i="69"/>
  <c r="M383" i="69"/>
  <c r="K383" i="69"/>
  <c r="J383" i="69"/>
  <c r="I383" i="69"/>
  <c r="BE382" i="69"/>
  <c r="AY382" i="69"/>
  <c r="AU382" i="69"/>
  <c r="AT382" i="69"/>
  <c r="AZ382" i="69" s="1"/>
  <c r="BF382" i="69" s="1"/>
  <c r="AS382" i="69"/>
  <c r="BE381" i="69"/>
  <c r="AY381" i="69"/>
  <c r="AU381" i="69"/>
  <c r="BA381" i="69" s="1"/>
  <c r="BG381" i="69" s="1"/>
  <c r="BM381" i="69" s="1"/>
  <c r="AT381" i="69"/>
  <c r="AZ381" i="69" s="1"/>
  <c r="BF381" i="69" s="1"/>
  <c r="AS381" i="69"/>
  <c r="BE380" i="69"/>
  <c r="BA380" i="69"/>
  <c r="BG380" i="69" s="1"/>
  <c r="AY380" i="69"/>
  <c r="AU380" i="69"/>
  <c r="AT380" i="69"/>
  <c r="AZ380" i="69" s="1"/>
  <c r="BF380" i="69" s="1"/>
  <c r="AS380" i="69"/>
  <c r="BE379" i="69"/>
  <c r="AZ379" i="69"/>
  <c r="BF379" i="69" s="1"/>
  <c r="AY379" i="69"/>
  <c r="AU379" i="69"/>
  <c r="BA379" i="69" s="1"/>
  <c r="BG379" i="69" s="1"/>
  <c r="BM379" i="69" s="1"/>
  <c r="AT379" i="69"/>
  <c r="AS379" i="69"/>
  <c r="BE378" i="69"/>
  <c r="AY378" i="69"/>
  <c r="AU378" i="69"/>
  <c r="AT378" i="69"/>
  <c r="AZ378" i="69" s="1"/>
  <c r="BF378" i="69" s="1"/>
  <c r="AS378" i="69"/>
  <c r="BE377" i="69"/>
  <c r="AY377" i="69"/>
  <c r="AS377" i="69"/>
  <c r="AM377" i="69"/>
  <c r="AI377" i="69"/>
  <c r="AH377" i="69"/>
  <c r="AN377" i="69" s="1"/>
  <c r="AT377" i="69" s="1"/>
  <c r="AZ377" i="69" s="1"/>
  <c r="BF377" i="69" s="1"/>
  <c r="AG377" i="69"/>
  <c r="BE376" i="69"/>
  <c r="AY376" i="69"/>
  <c r="AS376" i="69"/>
  <c r="AO376" i="69"/>
  <c r="AN376" i="69"/>
  <c r="AT376" i="69" s="1"/>
  <c r="AZ376" i="69" s="1"/>
  <c r="BF376" i="69" s="1"/>
  <c r="AM376" i="69"/>
  <c r="BE375" i="69"/>
  <c r="AY375" i="69"/>
  <c r="AS375" i="69"/>
  <c r="AM375" i="69"/>
  <c r="AI375" i="69"/>
  <c r="AO375" i="69" s="1"/>
  <c r="AH375" i="69"/>
  <c r="AN375" i="69" s="1"/>
  <c r="AT375" i="69" s="1"/>
  <c r="AZ375" i="69" s="1"/>
  <c r="BF375" i="69" s="1"/>
  <c r="AG375" i="69"/>
  <c r="BE374" i="69"/>
  <c r="AY374" i="69"/>
  <c r="AS374" i="69"/>
  <c r="AM374" i="69"/>
  <c r="AI374" i="69"/>
  <c r="AH374" i="69"/>
  <c r="AN374" i="69" s="1"/>
  <c r="AT374" i="69" s="1"/>
  <c r="AZ374" i="69" s="1"/>
  <c r="BF374" i="69" s="1"/>
  <c r="AG374" i="69"/>
  <c r="BE373" i="69"/>
  <c r="AY373" i="69"/>
  <c r="AS373" i="69"/>
  <c r="AM373" i="69"/>
  <c r="AG373" i="69"/>
  <c r="AA373" i="69"/>
  <c r="U373" i="69"/>
  <c r="Q373" i="69"/>
  <c r="P373" i="69"/>
  <c r="V373" i="69" s="1"/>
  <c r="AB373" i="69" s="1"/>
  <c r="AH373" i="69" s="1"/>
  <c r="AN373" i="69" s="1"/>
  <c r="AT373" i="69" s="1"/>
  <c r="AZ373" i="69" s="1"/>
  <c r="BF373" i="69" s="1"/>
  <c r="O373" i="69"/>
  <c r="L373" i="69"/>
  <c r="BE372" i="69"/>
  <c r="AY372" i="69"/>
  <c r="AS372" i="69"/>
  <c r="AM372" i="69"/>
  <c r="AI372" i="69"/>
  <c r="AO372" i="69" s="1"/>
  <c r="AH372" i="69"/>
  <c r="AN372" i="69" s="1"/>
  <c r="AT372" i="69" s="1"/>
  <c r="AZ372" i="69" s="1"/>
  <c r="BF372" i="69" s="1"/>
  <c r="AG372" i="69"/>
  <c r="BE371" i="69"/>
  <c r="AY371" i="69"/>
  <c r="AS371" i="69"/>
  <c r="AM371" i="69"/>
  <c r="AI371" i="69"/>
  <c r="AH371" i="69"/>
  <c r="AN371" i="69" s="1"/>
  <c r="AT371" i="69" s="1"/>
  <c r="AZ371" i="69" s="1"/>
  <c r="BF371" i="69" s="1"/>
  <c r="AG371" i="69"/>
  <c r="BE370" i="69"/>
  <c r="AY370" i="69"/>
  <c r="AS370" i="69"/>
  <c r="AM370" i="69"/>
  <c r="AG370" i="69"/>
  <c r="AA370" i="69"/>
  <c r="U370" i="69"/>
  <c r="Q370" i="69"/>
  <c r="W370" i="69" s="1"/>
  <c r="P370" i="69"/>
  <c r="V370" i="69" s="1"/>
  <c r="AB370" i="69" s="1"/>
  <c r="AH370" i="69" s="1"/>
  <c r="AN370" i="69" s="1"/>
  <c r="AT370" i="69" s="1"/>
  <c r="AZ370" i="69" s="1"/>
  <c r="BF370" i="69" s="1"/>
  <c r="O370" i="69"/>
  <c r="L370" i="69"/>
  <c r="BE369" i="69"/>
  <c r="AY369" i="69"/>
  <c r="AS369" i="69"/>
  <c r="AM369" i="69"/>
  <c r="AG369" i="69"/>
  <c r="AA369" i="69"/>
  <c r="U369" i="69"/>
  <c r="Q369" i="69"/>
  <c r="W369" i="69" s="1"/>
  <c r="AC369" i="69" s="1"/>
  <c r="AI369" i="69" s="1"/>
  <c r="P369" i="69"/>
  <c r="O369" i="69"/>
  <c r="L369" i="69"/>
  <c r="BE368" i="69"/>
  <c r="AY368" i="69"/>
  <c r="AS368" i="69"/>
  <c r="AM368" i="69"/>
  <c r="AG368" i="69"/>
  <c r="AA368" i="69"/>
  <c r="U368" i="69"/>
  <c r="Q368" i="69"/>
  <c r="W368" i="69" s="1"/>
  <c r="AC368" i="69" s="1"/>
  <c r="P368" i="69"/>
  <c r="V368" i="69" s="1"/>
  <c r="AB368" i="69" s="1"/>
  <c r="AH368" i="69" s="1"/>
  <c r="AN368" i="69" s="1"/>
  <c r="AT368" i="69" s="1"/>
  <c r="AZ368" i="69" s="1"/>
  <c r="BF368" i="69" s="1"/>
  <c r="O368" i="69"/>
  <c r="L368" i="69"/>
  <c r="BE367" i="69"/>
  <c r="AY367" i="69"/>
  <c r="AS367" i="69"/>
  <c r="AM367" i="69"/>
  <c r="AG367" i="69"/>
  <c r="AA367" i="69"/>
  <c r="U367" i="69"/>
  <c r="Q367" i="69"/>
  <c r="W367" i="69" s="1"/>
  <c r="P367" i="69"/>
  <c r="O367" i="69"/>
  <c r="L367" i="69"/>
  <c r="BE366" i="69"/>
  <c r="AY366" i="69"/>
  <c r="AS366" i="69"/>
  <c r="AM366" i="69"/>
  <c r="AG366" i="69"/>
  <c r="AA366" i="69"/>
  <c r="U366" i="69"/>
  <c r="Q366" i="69"/>
  <c r="W366" i="69" s="1"/>
  <c r="AC366" i="69" s="1"/>
  <c r="AI366" i="69" s="1"/>
  <c r="AO366" i="69" s="1"/>
  <c r="P366" i="69"/>
  <c r="V366" i="69" s="1"/>
  <c r="AB366" i="69" s="1"/>
  <c r="AH366" i="69" s="1"/>
  <c r="AN366" i="69" s="1"/>
  <c r="AT366" i="69" s="1"/>
  <c r="AZ366" i="69" s="1"/>
  <c r="BF366" i="69" s="1"/>
  <c r="O366" i="69"/>
  <c r="L366" i="69"/>
  <c r="BE365" i="69"/>
  <c r="AY365" i="69"/>
  <c r="AS365" i="69"/>
  <c r="AM365" i="69"/>
  <c r="AI365" i="69"/>
  <c r="AO365" i="69" s="1"/>
  <c r="AH365" i="69"/>
  <c r="AN365" i="69" s="1"/>
  <c r="AT365" i="69" s="1"/>
  <c r="AZ365" i="69" s="1"/>
  <c r="BF365" i="69" s="1"/>
  <c r="AG365" i="69"/>
  <c r="BE364" i="69"/>
  <c r="AY364" i="69"/>
  <c r="AS364" i="69"/>
  <c r="AM364" i="69"/>
  <c r="AG364" i="69"/>
  <c r="AA364" i="69"/>
  <c r="U364" i="69"/>
  <c r="Q364" i="69"/>
  <c r="P364" i="69"/>
  <c r="V364" i="69" s="1"/>
  <c r="AB364" i="69" s="1"/>
  <c r="AH364" i="69" s="1"/>
  <c r="AN364" i="69" s="1"/>
  <c r="AT364" i="69" s="1"/>
  <c r="AZ364" i="69" s="1"/>
  <c r="BF364" i="69" s="1"/>
  <c r="O364" i="69"/>
  <c r="L364" i="69"/>
  <c r="BE363" i="69"/>
  <c r="AY363" i="69"/>
  <c r="AS363" i="69"/>
  <c r="AM363" i="69"/>
  <c r="AG363" i="69"/>
  <c r="AA363" i="69"/>
  <c r="U363" i="69"/>
  <c r="Q363" i="69"/>
  <c r="W363" i="69" s="1"/>
  <c r="AC363" i="69" s="1"/>
  <c r="AI363" i="69" s="1"/>
  <c r="AO363" i="69" s="1"/>
  <c r="P363" i="69"/>
  <c r="V363" i="69" s="1"/>
  <c r="AB363" i="69" s="1"/>
  <c r="AH363" i="69" s="1"/>
  <c r="AN363" i="69" s="1"/>
  <c r="AT363" i="69" s="1"/>
  <c r="AZ363" i="69" s="1"/>
  <c r="BF363" i="69" s="1"/>
  <c r="O363" i="69"/>
  <c r="L363" i="69"/>
  <c r="BE362" i="69"/>
  <c r="AY362" i="69"/>
  <c r="AS362" i="69"/>
  <c r="AM362" i="69"/>
  <c r="AG362" i="69"/>
  <c r="AA362" i="69"/>
  <c r="U362" i="69"/>
  <c r="Q362" i="69"/>
  <c r="P362" i="69"/>
  <c r="V362" i="69" s="1"/>
  <c r="AB362" i="69" s="1"/>
  <c r="AH362" i="69" s="1"/>
  <c r="AN362" i="69" s="1"/>
  <c r="AT362" i="69" s="1"/>
  <c r="AZ362" i="69" s="1"/>
  <c r="BF362" i="69" s="1"/>
  <c r="O362" i="69"/>
  <c r="L362" i="69"/>
  <c r="BE361" i="69"/>
  <c r="AY361" i="69"/>
  <c r="AS361" i="69"/>
  <c r="AM361" i="69"/>
  <c r="AG361" i="69"/>
  <c r="AA361" i="69"/>
  <c r="U361" i="69"/>
  <c r="Q361" i="69"/>
  <c r="W361" i="69" s="1"/>
  <c r="AC361" i="69" s="1"/>
  <c r="AI361" i="69" s="1"/>
  <c r="P361" i="69"/>
  <c r="V361" i="69" s="1"/>
  <c r="AB361" i="69" s="1"/>
  <c r="AH361" i="69" s="1"/>
  <c r="AN361" i="69" s="1"/>
  <c r="AT361" i="69" s="1"/>
  <c r="AZ361" i="69" s="1"/>
  <c r="BF361" i="69" s="1"/>
  <c r="O361" i="69"/>
  <c r="L361" i="69"/>
  <c r="BE360" i="69"/>
  <c r="AY360" i="69"/>
  <c r="AS360" i="69"/>
  <c r="AM360" i="69"/>
  <c r="AG360" i="69"/>
  <c r="AA360" i="69"/>
  <c r="U360" i="69"/>
  <c r="Q360" i="69"/>
  <c r="P360" i="69"/>
  <c r="V360" i="69" s="1"/>
  <c r="AB360" i="69" s="1"/>
  <c r="AH360" i="69" s="1"/>
  <c r="AN360" i="69" s="1"/>
  <c r="AT360" i="69" s="1"/>
  <c r="AZ360" i="69" s="1"/>
  <c r="BF360" i="69" s="1"/>
  <c r="O360" i="69"/>
  <c r="L360" i="69"/>
  <c r="BE359" i="69"/>
  <c r="AY359" i="69"/>
  <c r="AS359" i="69"/>
  <c r="AM359" i="69"/>
  <c r="AG359" i="69"/>
  <c r="AA359" i="69"/>
  <c r="U359" i="69"/>
  <c r="Q359" i="69"/>
  <c r="W359" i="69" s="1"/>
  <c r="AC359" i="69" s="1"/>
  <c r="P359" i="69"/>
  <c r="V359" i="69" s="1"/>
  <c r="AB359" i="69" s="1"/>
  <c r="AH359" i="69" s="1"/>
  <c r="AN359" i="69" s="1"/>
  <c r="AT359" i="69" s="1"/>
  <c r="AZ359" i="69" s="1"/>
  <c r="BF359" i="69" s="1"/>
  <c r="O359" i="69"/>
  <c r="L359" i="69"/>
  <c r="BE358" i="69"/>
  <c r="AY358" i="69"/>
  <c r="AS358" i="69"/>
  <c r="AM358" i="69"/>
  <c r="AG358" i="69"/>
  <c r="AA358" i="69"/>
  <c r="U358" i="69"/>
  <c r="Q358" i="69"/>
  <c r="P358" i="69"/>
  <c r="V358" i="69" s="1"/>
  <c r="AB358" i="69" s="1"/>
  <c r="AH358" i="69" s="1"/>
  <c r="AN358" i="69" s="1"/>
  <c r="AT358" i="69" s="1"/>
  <c r="AZ358" i="69" s="1"/>
  <c r="BF358" i="69" s="1"/>
  <c r="O358" i="69"/>
  <c r="L358" i="69"/>
  <c r="BE357" i="69"/>
  <c r="AY357" i="69"/>
  <c r="AS357" i="69"/>
  <c r="AM357" i="69"/>
  <c r="AG357" i="69"/>
  <c r="AA357" i="69"/>
  <c r="U357" i="69"/>
  <c r="Q357" i="69"/>
  <c r="P357" i="69"/>
  <c r="V357" i="69" s="1"/>
  <c r="AB357" i="69" s="1"/>
  <c r="AH357" i="69" s="1"/>
  <c r="AN357" i="69" s="1"/>
  <c r="AT357" i="69" s="1"/>
  <c r="AZ357" i="69" s="1"/>
  <c r="BF357" i="69" s="1"/>
  <c r="O357" i="69"/>
  <c r="L357" i="69"/>
  <c r="BE356" i="69"/>
  <c r="AY356" i="69"/>
  <c r="AS356" i="69"/>
  <c r="AM356" i="69"/>
  <c r="AG356" i="69"/>
  <c r="AA356" i="69"/>
  <c r="U356" i="69"/>
  <c r="Q356" i="69"/>
  <c r="P356" i="69"/>
  <c r="V356" i="69" s="1"/>
  <c r="AB356" i="69" s="1"/>
  <c r="AH356" i="69" s="1"/>
  <c r="AN356" i="69" s="1"/>
  <c r="AT356" i="69" s="1"/>
  <c r="AZ356" i="69" s="1"/>
  <c r="BF356" i="69" s="1"/>
  <c r="O356" i="69"/>
  <c r="L356" i="69"/>
  <c r="BE355" i="69"/>
  <c r="AY355" i="69"/>
  <c r="AS355" i="69"/>
  <c r="AM355" i="69"/>
  <c r="AG355" i="69"/>
  <c r="AA355" i="69"/>
  <c r="U355" i="69"/>
  <c r="Q355" i="69"/>
  <c r="W355" i="69" s="1"/>
  <c r="P355" i="69"/>
  <c r="V355" i="69" s="1"/>
  <c r="AB355" i="69" s="1"/>
  <c r="AH355" i="69" s="1"/>
  <c r="AN355" i="69" s="1"/>
  <c r="AT355" i="69" s="1"/>
  <c r="AZ355" i="69" s="1"/>
  <c r="BF355" i="69" s="1"/>
  <c r="O355" i="69"/>
  <c r="L355" i="69"/>
  <c r="BE354" i="69"/>
  <c r="AY354" i="69"/>
  <c r="AS354" i="69"/>
  <c r="AM354" i="69"/>
  <c r="AG354" i="69"/>
  <c r="AA354" i="69"/>
  <c r="U354" i="69"/>
  <c r="Q354" i="69"/>
  <c r="W354" i="69" s="1"/>
  <c r="AC354" i="69" s="1"/>
  <c r="P354" i="69"/>
  <c r="V354" i="69" s="1"/>
  <c r="AB354" i="69" s="1"/>
  <c r="AH354" i="69" s="1"/>
  <c r="AN354" i="69" s="1"/>
  <c r="AT354" i="69" s="1"/>
  <c r="AZ354" i="69" s="1"/>
  <c r="BF354" i="69" s="1"/>
  <c r="O354" i="69"/>
  <c r="L354" i="69"/>
  <c r="BE353" i="69"/>
  <c r="AY353" i="69"/>
  <c r="AS353" i="69"/>
  <c r="AM353" i="69"/>
  <c r="AG353" i="69"/>
  <c r="AA353" i="69"/>
  <c r="U353" i="69"/>
  <c r="Q353" i="69"/>
  <c r="W353" i="69" s="1"/>
  <c r="P353" i="69"/>
  <c r="V353" i="69" s="1"/>
  <c r="AB353" i="69" s="1"/>
  <c r="AH353" i="69" s="1"/>
  <c r="AN353" i="69" s="1"/>
  <c r="AT353" i="69" s="1"/>
  <c r="AZ353" i="69" s="1"/>
  <c r="BF353" i="69" s="1"/>
  <c r="O353" i="69"/>
  <c r="L353" i="69"/>
  <c r="BE352" i="69"/>
  <c r="AY352" i="69"/>
  <c r="AS352" i="69"/>
  <c r="AM352" i="69"/>
  <c r="AG352" i="69"/>
  <c r="AA352" i="69"/>
  <c r="U352" i="69"/>
  <c r="Q352" i="69"/>
  <c r="W352" i="69" s="1"/>
  <c r="P352" i="69"/>
  <c r="V352" i="69" s="1"/>
  <c r="AB352" i="69" s="1"/>
  <c r="AH352" i="69" s="1"/>
  <c r="AN352" i="69" s="1"/>
  <c r="AT352" i="69" s="1"/>
  <c r="AZ352" i="69" s="1"/>
  <c r="BF352" i="69" s="1"/>
  <c r="O352" i="69"/>
  <c r="L352" i="69"/>
  <c r="BE351" i="69"/>
  <c r="AY351" i="69"/>
  <c r="AS351" i="69"/>
  <c r="AM351" i="69"/>
  <c r="AG351" i="69"/>
  <c r="AA351" i="69"/>
  <c r="U351" i="69"/>
  <c r="Q351" i="69"/>
  <c r="W351" i="69" s="1"/>
  <c r="AC351" i="69" s="1"/>
  <c r="P351" i="69"/>
  <c r="V351" i="69" s="1"/>
  <c r="AB351" i="69" s="1"/>
  <c r="AH351" i="69" s="1"/>
  <c r="AN351" i="69" s="1"/>
  <c r="AT351" i="69" s="1"/>
  <c r="AZ351" i="69" s="1"/>
  <c r="BF351" i="69" s="1"/>
  <c r="O351" i="69"/>
  <c r="L351" i="69"/>
  <c r="BE350" i="69"/>
  <c r="AY350" i="69"/>
  <c r="AS350" i="69"/>
  <c r="AM350" i="69"/>
  <c r="AG350" i="69"/>
  <c r="AA350" i="69"/>
  <c r="U350" i="69"/>
  <c r="Q350" i="69"/>
  <c r="P350" i="69"/>
  <c r="V350" i="69" s="1"/>
  <c r="AB350" i="69" s="1"/>
  <c r="AH350" i="69" s="1"/>
  <c r="AN350" i="69" s="1"/>
  <c r="AT350" i="69" s="1"/>
  <c r="AZ350" i="69" s="1"/>
  <c r="BF350" i="69" s="1"/>
  <c r="O350" i="69"/>
  <c r="L350" i="69"/>
  <c r="BE349" i="69"/>
  <c r="AY349" i="69"/>
  <c r="AS349" i="69"/>
  <c r="AM349" i="69"/>
  <c r="AG349" i="69"/>
  <c r="AA349" i="69"/>
  <c r="U349" i="69"/>
  <c r="Q349" i="69"/>
  <c r="P349" i="69"/>
  <c r="V349" i="69" s="1"/>
  <c r="AB349" i="69" s="1"/>
  <c r="AH349" i="69" s="1"/>
  <c r="AN349" i="69" s="1"/>
  <c r="AT349" i="69" s="1"/>
  <c r="AZ349" i="69" s="1"/>
  <c r="BF349" i="69" s="1"/>
  <c r="O349" i="69"/>
  <c r="L349" i="69"/>
  <c r="BE348" i="69"/>
  <c r="AY348" i="69"/>
  <c r="AS348" i="69"/>
  <c r="AM348" i="69"/>
  <c r="AG348" i="69"/>
  <c r="AA348" i="69"/>
  <c r="U348" i="69"/>
  <c r="Q348" i="69"/>
  <c r="P348" i="69"/>
  <c r="V348" i="69" s="1"/>
  <c r="AB348" i="69" s="1"/>
  <c r="AH348" i="69" s="1"/>
  <c r="AN348" i="69" s="1"/>
  <c r="AT348" i="69" s="1"/>
  <c r="AZ348" i="69" s="1"/>
  <c r="BF348" i="69" s="1"/>
  <c r="O348" i="69"/>
  <c r="L348" i="69"/>
  <c r="BE347" i="69"/>
  <c r="AY347" i="69"/>
  <c r="AS347" i="69"/>
  <c r="AM347" i="69"/>
  <c r="AG347" i="69"/>
  <c r="AA347" i="69"/>
  <c r="U347" i="69"/>
  <c r="Q347" i="69"/>
  <c r="W347" i="69" s="1"/>
  <c r="P347" i="69"/>
  <c r="V347" i="69" s="1"/>
  <c r="AB347" i="69" s="1"/>
  <c r="AH347" i="69" s="1"/>
  <c r="O347" i="69"/>
  <c r="L347" i="69"/>
  <c r="BE346" i="69"/>
  <c r="AY346" i="69"/>
  <c r="AS346" i="69"/>
  <c r="AM346" i="69"/>
  <c r="AG346" i="69"/>
  <c r="AA346" i="69"/>
  <c r="U346" i="69"/>
  <c r="Q346" i="69"/>
  <c r="W346" i="69" s="1"/>
  <c r="AC346" i="69" s="1"/>
  <c r="AI346" i="69" s="1"/>
  <c r="AO346" i="69" s="1"/>
  <c r="AU346" i="69" s="1"/>
  <c r="P346" i="69"/>
  <c r="V346" i="69" s="1"/>
  <c r="AB346" i="69" s="1"/>
  <c r="AH346" i="69" s="1"/>
  <c r="AN346" i="69" s="1"/>
  <c r="AT346" i="69" s="1"/>
  <c r="AZ346" i="69" s="1"/>
  <c r="BF346" i="69" s="1"/>
  <c r="O346" i="69"/>
  <c r="L346" i="69"/>
  <c r="BE345" i="69"/>
  <c r="AY345" i="69"/>
  <c r="AS345" i="69"/>
  <c r="AM345" i="69"/>
  <c r="AG345" i="69"/>
  <c r="AA345" i="69"/>
  <c r="U345" i="69"/>
  <c r="Q345" i="69"/>
  <c r="P345" i="69"/>
  <c r="V345" i="69" s="1"/>
  <c r="AB345" i="69" s="1"/>
  <c r="AH345" i="69" s="1"/>
  <c r="AN345" i="69" s="1"/>
  <c r="AT345" i="69" s="1"/>
  <c r="AZ345" i="69" s="1"/>
  <c r="BF345" i="69" s="1"/>
  <c r="O345" i="69"/>
  <c r="L345" i="69"/>
  <c r="BE344" i="69"/>
  <c r="AY344" i="69"/>
  <c r="AS344" i="69"/>
  <c r="AM344" i="69"/>
  <c r="AG344" i="69"/>
  <c r="AA344" i="69"/>
  <c r="U344" i="69"/>
  <c r="Q344" i="69"/>
  <c r="P344" i="69"/>
  <c r="V344" i="69" s="1"/>
  <c r="AB344" i="69" s="1"/>
  <c r="AH344" i="69" s="1"/>
  <c r="AN344" i="69" s="1"/>
  <c r="AT344" i="69" s="1"/>
  <c r="AZ344" i="69" s="1"/>
  <c r="BF344" i="69" s="1"/>
  <c r="O344" i="69"/>
  <c r="L344" i="69"/>
  <c r="BE343" i="69"/>
  <c r="AY343" i="69"/>
  <c r="AS343" i="69"/>
  <c r="AM343" i="69"/>
  <c r="AG343" i="69"/>
  <c r="AA343" i="69"/>
  <c r="U343" i="69"/>
  <c r="Q343" i="69"/>
  <c r="W343" i="69" s="1"/>
  <c r="AC343" i="69" s="1"/>
  <c r="P343" i="69"/>
  <c r="V343" i="69" s="1"/>
  <c r="AB343" i="69" s="1"/>
  <c r="AH343" i="69" s="1"/>
  <c r="AN343" i="69" s="1"/>
  <c r="AT343" i="69" s="1"/>
  <c r="AZ343" i="69" s="1"/>
  <c r="BF343" i="69" s="1"/>
  <c r="O343" i="69"/>
  <c r="L343" i="69"/>
  <c r="BE342" i="69"/>
  <c r="AY342" i="69"/>
  <c r="AS342" i="69"/>
  <c r="AM342" i="69"/>
  <c r="AG342" i="69"/>
  <c r="AA342" i="69"/>
  <c r="U342" i="69"/>
  <c r="Q342" i="69"/>
  <c r="W342" i="69" s="1"/>
  <c r="AC342" i="69" s="1"/>
  <c r="P342" i="69"/>
  <c r="V342" i="69" s="1"/>
  <c r="AB342" i="69" s="1"/>
  <c r="AH342" i="69" s="1"/>
  <c r="AN342" i="69" s="1"/>
  <c r="AT342" i="69" s="1"/>
  <c r="AZ342" i="69" s="1"/>
  <c r="BF342" i="69" s="1"/>
  <c r="O342" i="69"/>
  <c r="L342" i="69"/>
  <c r="BE341" i="69"/>
  <c r="AY341" i="69"/>
  <c r="AS341" i="69"/>
  <c r="AM341" i="69"/>
  <c r="AG341" i="69"/>
  <c r="AA341" i="69"/>
  <c r="U341" i="69"/>
  <c r="Q341" i="69"/>
  <c r="W341" i="69" s="1"/>
  <c r="AC341" i="69" s="1"/>
  <c r="P341" i="69"/>
  <c r="V341" i="69" s="1"/>
  <c r="AB341" i="69" s="1"/>
  <c r="AH341" i="69" s="1"/>
  <c r="AN341" i="69" s="1"/>
  <c r="AT341" i="69" s="1"/>
  <c r="AZ341" i="69" s="1"/>
  <c r="BF341" i="69" s="1"/>
  <c r="O341" i="69"/>
  <c r="L341" i="69"/>
  <c r="BE340" i="69"/>
  <c r="AY340" i="69"/>
  <c r="AS340" i="69"/>
  <c r="AM340" i="69"/>
  <c r="AG340" i="69"/>
  <c r="AA340" i="69"/>
  <c r="U340" i="69"/>
  <c r="Q340" i="69"/>
  <c r="P340" i="69"/>
  <c r="V340" i="69" s="1"/>
  <c r="AB340" i="69" s="1"/>
  <c r="AH340" i="69" s="1"/>
  <c r="AN340" i="69" s="1"/>
  <c r="AT340" i="69" s="1"/>
  <c r="AZ340" i="69" s="1"/>
  <c r="BF340" i="69" s="1"/>
  <c r="O340" i="69"/>
  <c r="L340" i="69"/>
  <c r="BE339" i="69"/>
  <c r="AY339" i="69"/>
  <c r="AS339" i="69"/>
  <c r="AM339" i="69"/>
  <c r="AG339" i="69"/>
  <c r="AA339" i="69"/>
  <c r="U339" i="69"/>
  <c r="Q339" i="69"/>
  <c r="P339" i="69"/>
  <c r="V339" i="69" s="1"/>
  <c r="AB339" i="69" s="1"/>
  <c r="AH339" i="69" s="1"/>
  <c r="AN339" i="69" s="1"/>
  <c r="AT339" i="69" s="1"/>
  <c r="AZ339" i="69" s="1"/>
  <c r="BF339" i="69" s="1"/>
  <c r="O339" i="69"/>
  <c r="L339" i="69"/>
  <c r="BE338" i="69"/>
  <c r="AY338" i="69"/>
  <c r="AS338" i="69"/>
  <c r="AM338" i="69"/>
  <c r="AG338" i="69"/>
  <c r="AA338" i="69"/>
  <c r="U338" i="69"/>
  <c r="Q338" i="69"/>
  <c r="P338" i="69"/>
  <c r="V338" i="69" s="1"/>
  <c r="AB338" i="69" s="1"/>
  <c r="AH338" i="69" s="1"/>
  <c r="AN338" i="69" s="1"/>
  <c r="AT338" i="69" s="1"/>
  <c r="AZ338" i="69" s="1"/>
  <c r="BF338" i="69" s="1"/>
  <c r="O338" i="69"/>
  <c r="L338" i="69"/>
  <c r="BE337" i="69"/>
  <c r="AY337" i="69"/>
  <c r="AS337" i="69"/>
  <c r="AM337" i="69"/>
  <c r="AG337" i="69"/>
  <c r="AA337" i="69"/>
  <c r="U337" i="69"/>
  <c r="Q337" i="69"/>
  <c r="P337" i="69"/>
  <c r="V337" i="69" s="1"/>
  <c r="AB337" i="69" s="1"/>
  <c r="AH337" i="69" s="1"/>
  <c r="AN337" i="69" s="1"/>
  <c r="AT337" i="69" s="1"/>
  <c r="AZ337" i="69" s="1"/>
  <c r="BF337" i="69" s="1"/>
  <c r="O337" i="69"/>
  <c r="L337" i="69"/>
  <c r="BE336" i="69"/>
  <c r="AY336" i="69"/>
  <c r="AS336" i="69"/>
  <c r="AM336" i="69"/>
  <c r="AG336" i="69"/>
  <c r="AA336" i="69"/>
  <c r="U336" i="69"/>
  <c r="Q336" i="69"/>
  <c r="P336" i="69"/>
  <c r="V336" i="69" s="1"/>
  <c r="AB336" i="69" s="1"/>
  <c r="AH336" i="69" s="1"/>
  <c r="AN336" i="69" s="1"/>
  <c r="AT336" i="69" s="1"/>
  <c r="AZ336" i="69" s="1"/>
  <c r="BF336" i="69" s="1"/>
  <c r="O336" i="69"/>
  <c r="L336" i="69"/>
  <c r="BE335" i="69"/>
  <c r="AY335" i="69"/>
  <c r="AS335" i="69"/>
  <c r="AM335" i="69"/>
  <c r="AG335" i="69"/>
  <c r="AA335" i="69"/>
  <c r="U335" i="69"/>
  <c r="Q335" i="69"/>
  <c r="P335" i="69"/>
  <c r="V335" i="69" s="1"/>
  <c r="AB335" i="69" s="1"/>
  <c r="AH335" i="69" s="1"/>
  <c r="AN335" i="69" s="1"/>
  <c r="AT335" i="69" s="1"/>
  <c r="AZ335" i="69" s="1"/>
  <c r="BF335" i="69" s="1"/>
  <c r="O335" i="69"/>
  <c r="L335" i="69"/>
  <c r="BE334" i="69"/>
  <c r="AY334" i="69"/>
  <c r="AS334" i="69"/>
  <c r="AM334" i="69"/>
  <c r="AG334" i="69"/>
  <c r="AA334" i="69"/>
  <c r="U334" i="69"/>
  <c r="Q334" i="69"/>
  <c r="P334" i="69"/>
  <c r="V334" i="69" s="1"/>
  <c r="AB334" i="69" s="1"/>
  <c r="AH334" i="69" s="1"/>
  <c r="AN334" i="69" s="1"/>
  <c r="AT334" i="69" s="1"/>
  <c r="AZ334" i="69" s="1"/>
  <c r="BF334" i="69" s="1"/>
  <c r="O334" i="69"/>
  <c r="L334" i="69"/>
  <c r="BE333" i="69"/>
  <c r="AY333" i="69"/>
  <c r="AS333" i="69"/>
  <c r="AM333" i="69"/>
  <c r="AG333" i="69"/>
  <c r="AA333" i="69"/>
  <c r="U333" i="69"/>
  <c r="Q333" i="69"/>
  <c r="P333" i="69"/>
  <c r="V333" i="69" s="1"/>
  <c r="AB333" i="69" s="1"/>
  <c r="AH333" i="69" s="1"/>
  <c r="AN333" i="69" s="1"/>
  <c r="AT333" i="69" s="1"/>
  <c r="AZ333" i="69" s="1"/>
  <c r="BF333" i="69" s="1"/>
  <c r="O333" i="69"/>
  <c r="L333" i="69"/>
  <c r="BE332" i="69"/>
  <c r="AY332" i="69"/>
  <c r="AS332" i="69"/>
  <c r="AM332" i="69"/>
  <c r="AG332" i="69"/>
  <c r="AA332" i="69"/>
  <c r="U332" i="69"/>
  <c r="Q332" i="69"/>
  <c r="P332" i="69"/>
  <c r="V332" i="69" s="1"/>
  <c r="AB332" i="69" s="1"/>
  <c r="AH332" i="69" s="1"/>
  <c r="AN332" i="69" s="1"/>
  <c r="AT332" i="69" s="1"/>
  <c r="AZ332" i="69" s="1"/>
  <c r="BF332" i="69" s="1"/>
  <c r="O332" i="69"/>
  <c r="L332" i="69"/>
  <c r="BE331" i="69"/>
  <c r="AY331" i="69"/>
  <c r="AS331" i="69"/>
  <c r="AM331" i="69"/>
  <c r="AG331" i="69"/>
  <c r="AA331" i="69"/>
  <c r="U331" i="69"/>
  <c r="Q331" i="69"/>
  <c r="W331" i="69" s="1"/>
  <c r="AC331" i="69" s="1"/>
  <c r="AI331" i="69" s="1"/>
  <c r="P331" i="69"/>
  <c r="V331" i="69" s="1"/>
  <c r="AB331" i="69" s="1"/>
  <c r="AH331" i="69" s="1"/>
  <c r="AN331" i="69" s="1"/>
  <c r="AT331" i="69" s="1"/>
  <c r="AZ331" i="69" s="1"/>
  <c r="BF331" i="69" s="1"/>
  <c r="O331" i="69"/>
  <c r="L331" i="69"/>
  <c r="BE330" i="69"/>
  <c r="AY330" i="69"/>
  <c r="AS330" i="69"/>
  <c r="AM330" i="69"/>
  <c r="AG330" i="69"/>
  <c r="AB330" i="69"/>
  <c r="AH330" i="69" s="1"/>
  <c r="AN330" i="69" s="1"/>
  <c r="AT330" i="69" s="1"/>
  <c r="AZ330" i="69" s="1"/>
  <c r="BF330" i="69" s="1"/>
  <c r="AA330" i="69"/>
  <c r="W330" i="69"/>
  <c r="X330" i="69" s="1"/>
  <c r="U330" i="69"/>
  <c r="Q330" i="69"/>
  <c r="P330" i="69"/>
  <c r="V330" i="69" s="1"/>
  <c r="O330" i="69"/>
  <c r="L330" i="69"/>
  <c r="BE329" i="69"/>
  <c r="AY329" i="69"/>
  <c r="AS329" i="69"/>
  <c r="AM329" i="69"/>
  <c r="AG329" i="69"/>
  <c r="AA329" i="69"/>
  <c r="U329" i="69"/>
  <c r="Q329" i="69"/>
  <c r="P329" i="69"/>
  <c r="V329" i="69" s="1"/>
  <c r="AB329" i="69" s="1"/>
  <c r="AH329" i="69" s="1"/>
  <c r="AN329" i="69" s="1"/>
  <c r="AT329" i="69" s="1"/>
  <c r="AZ329" i="69" s="1"/>
  <c r="BF329" i="69" s="1"/>
  <c r="O329" i="69"/>
  <c r="L329" i="69"/>
  <c r="BE328" i="69"/>
  <c r="AY328" i="69"/>
  <c r="AS328" i="69"/>
  <c r="AM328" i="69"/>
  <c r="AG328" i="69"/>
  <c r="AA328" i="69"/>
  <c r="V328" i="69"/>
  <c r="AB328" i="69" s="1"/>
  <c r="AH328" i="69" s="1"/>
  <c r="AN328" i="69" s="1"/>
  <c r="AT328" i="69" s="1"/>
  <c r="AZ328" i="69" s="1"/>
  <c r="BF328" i="69" s="1"/>
  <c r="U328" i="69"/>
  <c r="Q328" i="69"/>
  <c r="W328" i="69" s="1"/>
  <c r="P328" i="69"/>
  <c r="O328" i="69"/>
  <c r="L328" i="69"/>
  <c r="BE327" i="69"/>
  <c r="AY327" i="69"/>
  <c r="AS327" i="69"/>
  <c r="AM327" i="69"/>
  <c r="AG327" i="69"/>
  <c r="AA327" i="69"/>
  <c r="U327" i="69"/>
  <c r="Q327" i="69"/>
  <c r="P327" i="69"/>
  <c r="V327" i="69" s="1"/>
  <c r="AB327" i="69" s="1"/>
  <c r="AH327" i="69" s="1"/>
  <c r="AN327" i="69" s="1"/>
  <c r="AT327" i="69" s="1"/>
  <c r="AZ327" i="69" s="1"/>
  <c r="BF327" i="69" s="1"/>
  <c r="O327" i="69"/>
  <c r="L327" i="69"/>
  <c r="BE326" i="69"/>
  <c r="AY326" i="69"/>
  <c r="AS326" i="69"/>
  <c r="AM326" i="69"/>
  <c r="AG326" i="69"/>
  <c r="AA326" i="69"/>
  <c r="U326" i="69"/>
  <c r="Q326" i="69"/>
  <c r="W326" i="69" s="1"/>
  <c r="P326" i="69"/>
  <c r="V326" i="69" s="1"/>
  <c r="AB326" i="69" s="1"/>
  <c r="AH326" i="69" s="1"/>
  <c r="AN326" i="69" s="1"/>
  <c r="AT326" i="69" s="1"/>
  <c r="AZ326" i="69" s="1"/>
  <c r="BF326" i="69" s="1"/>
  <c r="O326" i="69"/>
  <c r="L326" i="69"/>
  <c r="BE325" i="69"/>
  <c r="AY325" i="69"/>
  <c r="AS325" i="69"/>
  <c r="AM325" i="69"/>
  <c r="AG325" i="69"/>
  <c r="AA325" i="69"/>
  <c r="U325" i="69"/>
  <c r="Q325" i="69"/>
  <c r="W325" i="69" s="1"/>
  <c r="P325" i="69"/>
  <c r="V325" i="69" s="1"/>
  <c r="AB325" i="69" s="1"/>
  <c r="AH325" i="69" s="1"/>
  <c r="AN325" i="69" s="1"/>
  <c r="AT325" i="69" s="1"/>
  <c r="AZ325" i="69" s="1"/>
  <c r="BF325" i="69" s="1"/>
  <c r="O325" i="69"/>
  <c r="L325" i="69"/>
  <c r="BE324" i="69"/>
  <c r="AY324" i="69"/>
  <c r="AS324" i="69"/>
  <c r="AM324" i="69"/>
  <c r="AG324" i="69"/>
  <c r="AA324" i="69"/>
  <c r="U324" i="69"/>
  <c r="Q324" i="69"/>
  <c r="P324" i="69"/>
  <c r="V324" i="69" s="1"/>
  <c r="AB324" i="69" s="1"/>
  <c r="AH324" i="69" s="1"/>
  <c r="AN324" i="69" s="1"/>
  <c r="AT324" i="69" s="1"/>
  <c r="AZ324" i="69" s="1"/>
  <c r="BF324" i="69" s="1"/>
  <c r="O324" i="69"/>
  <c r="L324" i="69"/>
  <c r="BE323" i="69"/>
  <c r="AY323" i="69"/>
  <c r="AS323" i="69"/>
  <c r="AM323" i="69"/>
  <c r="AG323" i="69"/>
  <c r="AA323" i="69"/>
  <c r="U323" i="69"/>
  <c r="Q323" i="69"/>
  <c r="P323" i="69"/>
  <c r="V323" i="69" s="1"/>
  <c r="AB323" i="69" s="1"/>
  <c r="AH323" i="69" s="1"/>
  <c r="AN323" i="69" s="1"/>
  <c r="AT323" i="69" s="1"/>
  <c r="AZ323" i="69" s="1"/>
  <c r="BF323" i="69" s="1"/>
  <c r="O323" i="69"/>
  <c r="L323" i="69"/>
  <c r="BE322" i="69"/>
  <c r="AY322" i="69"/>
  <c r="AS322" i="69"/>
  <c r="AM322" i="69"/>
  <c r="AG322" i="69"/>
  <c r="AA322" i="69"/>
  <c r="U322" i="69"/>
  <c r="Q322" i="69"/>
  <c r="P322" i="69"/>
  <c r="V322" i="69" s="1"/>
  <c r="AB322" i="69" s="1"/>
  <c r="AH322" i="69" s="1"/>
  <c r="AN322" i="69" s="1"/>
  <c r="AT322" i="69" s="1"/>
  <c r="AZ322" i="69" s="1"/>
  <c r="BF322" i="69" s="1"/>
  <c r="O322" i="69"/>
  <c r="L322" i="69"/>
  <c r="BE321" i="69"/>
  <c r="AY321" i="69"/>
  <c r="AS321" i="69"/>
  <c r="AM321" i="69"/>
  <c r="AG321" i="69"/>
  <c r="AA321" i="69"/>
  <c r="U321" i="69"/>
  <c r="Q321" i="69"/>
  <c r="P321" i="69"/>
  <c r="V321" i="69" s="1"/>
  <c r="AB321" i="69" s="1"/>
  <c r="AH321" i="69" s="1"/>
  <c r="AN321" i="69" s="1"/>
  <c r="AT321" i="69" s="1"/>
  <c r="AZ321" i="69" s="1"/>
  <c r="BF321" i="69" s="1"/>
  <c r="O321" i="69"/>
  <c r="L321" i="69"/>
  <c r="BE320" i="69"/>
  <c r="AY320" i="69"/>
  <c r="AS320" i="69"/>
  <c r="AM320" i="69"/>
  <c r="AG320" i="69"/>
  <c r="AA320" i="69"/>
  <c r="U320" i="69"/>
  <c r="Q320" i="69"/>
  <c r="W320" i="69" s="1"/>
  <c r="P320" i="69"/>
  <c r="V320" i="69" s="1"/>
  <c r="AB320" i="69" s="1"/>
  <c r="AH320" i="69" s="1"/>
  <c r="AN320" i="69" s="1"/>
  <c r="AT320" i="69" s="1"/>
  <c r="AZ320" i="69" s="1"/>
  <c r="BF320" i="69" s="1"/>
  <c r="O320" i="69"/>
  <c r="L320" i="69"/>
  <c r="BE319" i="69"/>
  <c r="AY319" i="69"/>
  <c r="AS319" i="69"/>
  <c r="AM319" i="69"/>
  <c r="AG319" i="69"/>
  <c r="AA319" i="69"/>
  <c r="U319" i="69"/>
  <c r="Q319" i="69"/>
  <c r="W319" i="69" s="1"/>
  <c r="AC319" i="69" s="1"/>
  <c r="AI319" i="69" s="1"/>
  <c r="P319" i="69"/>
  <c r="V319" i="69" s="1"/>
  <c r="AB319" i="69" s="1"/>
  <c r="AH319" i="69" s="1"/>
  <c r="AN319" i="69" s="1"/>
  <c r="AT319" i="69" s="1"/>
  <c r="AZ319" i="69" s="1"/>
  <c r="BF319" i="69" s="1"/>
  <c r="O319" i="69"/>
  <c r="L319" i="69"/>
  <c r="BE318" i="69"/>
  <c r="AY318" i="69"/>
  <c r="AS318" i="69"/>
  <c r="AM318" i="69"/>
  <c r="AG318" i="69"/>
  <c r="AA318" i="69"/>
  <c r="U318" i="69"/>
  <c r="Q318" i="69"/>
  <c r="W318" i="69" s="1"/>
  <c r="P318" i="69"/>
  <c r="V318" i="69" s="1"/>
  <c r="AB318" i="69" s="1"/>
  <c r="AH318" i="69" s="1"/>
  <c r="AN318" i="69" s="1"/>
  <c r="AT318" i="69" s="1"/>
  <c r="AZ318" i="69" s="1"/>
  <c r="BF318" i="69" s="1"/>
  <c r="O318" i="69"/>
  <c r="L318" i="69"/>
  <c r="BE317" i="69"/>
  <c r="AY317" i="69"/>
  <c r="AS317" i="69"/>
  <c r="AM317" i="69"/>
  <c r="AG317" i="69"/>
  <c r="AA317" i="69"/>
  <c r="U317" i="69"/>
  <c r="Q317" i="69"/>
  <c r="W317" i="69" s="1"/>
  <c r="AC317" i="69" s="1"/>
  <c r="P317" i="69"/>
  <c r="V317" i="69" s="1"/>
  <c r="AB317" i="69" s="1"/>
  <c r="AH317" i="69" s="1"/>
  <c r="AN317" i="69" s="1"/>
  <c r="AT317" i="69" s="1"/>
  <c r="AZ317" i="69" s="1"/>
  <c r="BF317" i="69" s="1"/>
  <c r="O317" i="69"/>
  <c r="L317" i="69"/>
  <c r="BE316" i="69"/>
  <c r="AY316" i="69"/>
  <c r="AS316" i="69"/>
  <c r="AM316" i="69"/>
  <c r="AG316" i="69"/>
  <c r="AA316" i="69"/>
  <c r="U316" i="69"/>
  <c r="Q316" i="69"/>
  <c r="W316" i="69" s="1"/>
  <c r="AC316" i="69" s="1"/>
  <c r="P316" i="69"/>
  <c r="V316" i="69" s="1"/>
  <c r="AB316" i="69" s="1"/>
  <c r="AH316" i="69" s="1"/>
  <c r="AN316" i="69" s="1"/>
  <c r="AT316" i="69" s="1"/>
  <c r="AZ316" i="69" s="1"/>
  <c r="BF316" i="69" s="1"/>
  <c r="O316" i="69"/>
  <c r="L316" i="69"/>
  <c r="BE315" i="69"/>
  <c r="AY315" i="69"/>
  <c r="AS315" i="69"/>
  <c r="AM315" i="69"/>
  <c r="AG315" i="69"/>
  <c r="AA315" i="69"/>
  <c r="U315" i="69"/>
  <c r="Q315" i="69"/>
  <c r="P315" i="69"/>
  <c r="V315" i="69" s="1"/>
  <c r="AB315" i="69" s="1"/>
  <c r="AH315" i="69" s="1"/>
  <c r="AN315" i="69" s="1"/>
  <c r="AT315" i="69" s="1"/>
  <c r="AZ315" i="69" s="1"/>
  <c r="BF315" i="69" s="1"/>
  <c r="O315" i="69"/>
  <c r="L315" i="69"/>
  <c r="BE314" i="69"/>
  <c r="AY314" i="69"/>
  <c r="AS314" i="69"/>
  <c r="AM314" i="69"/>
  <c r="AG314" i="69"/>
  <c r="AA314" i="69"/>
  <c r="U314" i="69"/>
  <c r="Q314" i="69"/>
  <c r="W314" i="69" s="1"/>
  <c r="P314" i="69"/>
  <c r="V314" i="69" s="1"/>
  <c r="AB314" i="69" s="1"/>
  <c r="AH314" i="69" s="1"/>
  <c r="AN314" i="69" s="1"/>
  <c r="AT314" i="69" s="1"/>
  <c r="AZ314" i="69" s="1"/>
  <c r="BF314" i="69" s="1"/>
  <c r="O314" i="69"/>
  <c r="L314" i="69"/>
  <c r="BE313" i="69"/>
  <c r="AY313" i="69"/>
  <c r="AS313" i="69"/>
  <c r="AM313" i="69"/>
  <c r="AG313" i="69"/>
  <c r="AA313" i="69"/>
  <c r="U313" i="69"/>
  <c r="Q313" i="69"/>
  <c r="W313" i="69" s="1"/>
  <c r="P313" i="69"/>
  <c r="V313" i="69" s="1"/>
  <c r="AB313" i="69" s="1"/>
  <c r="AH313" i="69" s="1"/>
  <c r="AN313" i="69" s="1"/>
  <c r="AT313" i="69" s="1"/>
  <c r="AZ313" i="69" s="1"/>
  <c r="BF313" i="69" s="1"/>
  <c r="O313" i="69"/>
  <c r="L313" i="69"/>
  <c r="BE312" i="69"/>
  <c r="AY312" i="69"/>
  <c r="AS312" i="69"/>
  <c r="AM312" i="69"/>
  <c r="AG312" i="69"/>
  <c r="AA312" i="69"/>
  <c r="U312" i="69"/>
  <c r="Q312" i="69"/>
  <c r="W312" i="69" s="1"/>
  <c r="AC312" i="69" s="1"/>
  <c r="AI312" i="69" s="1"/>
  <c r="P312" i="69"/>
  <c r="V312" i="69" s="1"/>
  <c r="AB312" i="69" s="1"/>
  <c r="AH312" i="69" s="1"/>
  <c r="AN312" i="69" s="1"/>
  <c r="AT312" i="69" s="1"/>
  <c r="AZ312" i="69" s="1"/>
  <c r="BF312" i="69" s="1"/>
  <c r="O312" i="69"/>
  <c r="L312" i="69"/>
  <c r="BE311" i="69"/>
  <c r="AY311" i="69"/>
  <c r="AS311" i="69"/>
  <c r="AM311" i="69"/>
  <c r="AG311" i="69"/>
  <c r="AA311" i="69"/>
  <c r="U311" i="69"/>
  <c r="Q311" i="69"/>
  <c r="W311" i="69" s="1"/>
  <c r="P311" i="69"/>
  <c r="V311" i="69" s="1"/>
  <c r="AB311" i="69" s="1"/>
  <c r="AH311" i="69" s="1"/>
  <c r="AN311" i="69" s="1"/>
  <c r="AT311" i="69" s="1"/>
  <c r="AZ311" i="69" s="1"/>
  <c r="BF311" i="69" s="1"/>
  <c r="O311" i="69"/>
  <c r="L311" i="69"/>
  <c r="BE310" i="69"/>
  <c r="AY310" i="69"/>
  <c r="AS310" i="69"/>
  <c r="AM310" i="69"/>
  <c r="AG310" i="69"/>
  <c r="AA310" i="69"/>
  <c r="U310" i="69"/>
  <c r="Q310" i="69"/>
  <c r="R310" i="69" s="1"/>
  <c r="P310" i="69"/>
  <c r="V310" i="69" s="1"/>
  <c r="AB310" i="69" s="1"/>
  <c r="AH310" i="69" s="1"/>
  <c r="AN310" i="69" s="1"/>
  <c r="AT310" i="69" s="1"/>
  <c r="AZ310" i="69" s="1"/>
  <c r="BF310" i="69" s="1"/>
  <c r="O310" i="69"/>
  <c r="L310" i="69"/>
  <c r="BE309" i="69"/>
  <c r="AY309" i="69"/>
  <c r="AS309" i="69"/>
  <c r="AM309" i="69"/>
  <c r="AG309" i="69"/>
  <c r="AA309" i="69"/>
  <c r="U309" i="69"/>
  <c r="Q309" i="69"/>
  <c r="W309" i="69" s="1"/>
  <c r="P309" i="69"/>
  <c r="V309" i="69" s="1"/>
  <c r="AB309" i="69" s="1"/>
  <c r="AH309" i="69" s="1"/>
  <c r="AN309" i="69" s="1"/>
  <c r="AT309" i="69" s="1"/>
  <c r="AZ309" i="69" s="1"/>
  <c r="BF309" i="69" s="1"/>
  <c r="O309" i="69"/>
  <c r="L309" i="69"/>
  <c r="BE308" i="69"/>
  <c r="AY308" i="69"/>
  <c r="AS308" i="69"/>
  <c r="AM308" i="69"/>
  <c r="AG308" i="69"/>
  <c r="AA308" i="69"/>
  <c r="W308" i="69"/>
  <c r="AC308" i="69" s="1"/>
  <c r="AI308" i="69" s="1"/>
  <c r="V308" i="69"/>
  <c r="AB308" i="69" s="1"/>
  <c r="AH308" i="69" s="1"/>
  <c r="AN308" i="69" s="1"/>
  <c r="AT308" i="69" s="1"/>
  <c r="AZ308" i="69" s="1"/>
  <c r="BF308" i="69" s="1"/>
  <c r="U308" i="69"/>
  <c r="Q308" i="69"/>
  <c r="R308" i="69" s="1"/>
  <c r="P308" i="69"/>
  <c r="O308" i="69"/>
  <c r="L308" i="69"/>
  <c r="BE307" i="69"/>
  <c r="AY307" i="69"/>
  <c r="AS307" i="69"/>
  <c r="AM307" i="69"/>
  <c r="AG307" i="69"/>
  <c r="AA307" i="69"/>
  <c r="U307" i="69"/>
  <c r="Q307" i="69"/>
  <c r="W307" i="69" s="1"/>
  <c r="P307" i="69"/>
  <c r="V307" i="69" s="1"/>
  <c r="AB307" i="69" s="1"/>
  <c r="AH307" i="69" s="1"/>
  <c r="AN307" i="69" s="1"/>
  <c r="AT307" i="69" s="1"/>
  <c r="AZ307" i="69" s="1"/>
  <c r="BF307" i="69" s="1"/>
  <c r="O307" i="69"/>
  <c r="L307" i="69"/>
  <c r="BE306" i="69"/>
  <c r="AY306" i="69"/>
  <c r="AS306" i="69"/>
  <c r="AM306" i="69"/>
  <c r="AG306" i="69"/>
  <c r="AA306" i="69"/>
  <c r="U306" i="69"/>
  <c r="Q306" i="69"/>
  <c r="W306" i="69" s="1"/>
  <c r="P306" i="69"/>
  <c r="V306" i="69" s="1"/>
  <c r="AB306" i="69" s="1"/>
  <c r="AH306" i="69" s="1"/>
  <c r="AN306" i="69" s="1"/>
  <c r="AT306" i="69" s="1"/>
  <c r="AZ306" i="69" s="1"/>
  <c r="BF306" i="69" s="1"/>
  <c r="O306" i="69"/>
  <c r="L306" i="69"/>
  <c r="BE305" i="69"/>
  <c r="AY305" i="69"/>
  <c r="AS305" i="69"/>
  <c r="AM305" i="69"/>
  <c r="AG305" i="69"/>
  <c r="AA305" i="69"/>
  <c r="U305" i="69"/>
  <c r="Q305" i="69"/>
  <c r="P305" i="69"/>
  <c r="V305" i="69" s="1"/>
  <c r="AB305" i="69" s="1"/>
  <c r="AH305" i="69" s="1"/>
  <c r="AN305" i="69" s="1"/>
  <c r="AT305" i="69" s="1"/>
  <c r="AZ305" i="69" s="1"/>
  <c r="BF305" i="69" s="1"/>
  <c r="O305" i="69"/>
  <c r="L305" i="69"/>
  <c r="BE304" i="69"/>
  <c r="AY304" i="69"/>
  <c r="AS304" i="69"/>
  <c r="AM304" i="69"/>
  <c r="AG304" i="69"/>
  <c r="AA304" i="69"/>
  <c r="U304" i="69"/>
  <c r="Q304" i="69"/>
  <c r="W304" i="69" s="1"/>
  <c r="AC304" i="69" s="1"/>
  <c r="P304" i="69"/>
  <c r="V304" i="69" s="1"/>
  <c r="AB304" i="69" s="1"/>
  <c r="AH304" i="69" s="1"/>
  <c r="AN304" i="69" s="1"/>
  <c r="AT304" i="69" s="1"/>
  <c r="AZ304" i="69" s="1"/>
  <c r="BF304" i="69" s="1"/>
  <c r="O304" i="69"/>
  <c r="L304" i="69"/>
  <c r="BE303" i="69"/>
  <c r="AY303" i="69"/>
  <c r="AS303" i="69"/>
  <c r="AM303" i="69"/>
  <c r="AG303" i="69"/>
  <c r="AA303" i="69"/>
  <c r="U303" i="69"/>
  <c r="Q303" i="69"/>
  <c r="P303" i="69"/>
  <c r="V303" i="69" s="1"/>
  <c r="AB303" i="69" s="1"/>
  <c r="AH303" i="69" s="1"/>
  <c r="AN303" i="69" s="1"/>
  <c r="AT303" i="69" s="1"/>
  <c r="AZ303" i="69" s="1"/>
  <c r="BF303" i="69" s="1"/>
  <c r="O303" i="69"/>
  <c r="L303" i="69"/>
  <c r="BE302" i="69"/>
  <c r="AY302" i="69"/>
  <c r="AS302" i="69"/>
  <c r="AM302" i="69"/>
  <c r="AG302" i="69"/>
  <c r="AA302" i="69"/>
  <c r="U302" i="69"/>
  <c r="Q302" i="69"/>
  <c r="P302" i="69"/>
  <c r="O302" i="69"/>
  <c r="L302" i="69"/>
  <c r="BD295" i="69"/>
  <c r="BC295" i="69"/>
  <c r="AX295" i="69"/>
  <c r="AY295" i="69" s="1"/>
  <c r="AW295" i="69"/>
  <c r="AR295" i="69"/>
  <c r="AQ295" i="69"/>
  <c r="AK295" i="69"/>
  <c r="AF295" i="69"/>
  <c r="AE295" i="69"/>
  <c r="Z295" i="69"/>
  <c r="Y295" i="69"/>
  <c r="T295" i="69"/>
  <c r="S295" i="69"/>
  <c r="N295" i="69"/>
  <c r="M295" i="69"/>
  <c r="K295" i="69"/>
  <c r="J295" i="69"/>
  <c r="I295" i="69"/>
  <c r="BE294" i="69"/>
  <c r="BA294" i="69"/>
  <c r="AZ294" i="69"/>
  <c r="BF294" i="69" s="1"/>
  <c r="AY294" i="69"/>
  <c r="BE293" i="69"/>
  <c r="AY293" i="69"/>
  <c r="AU293" i="69"/>
  <c r="BA293" i="69" s="1"/>
  <c r="BG293" i="69" s="1"/>
  <c r="BM293" i="69" s="1"/>
  <c r="AT293" i="69"/>
  <c r="AZ293" i="69" s="1"/>
  <c r="BF293" i="69" s="1"/>
  <c r="AS293" i="69"/>
  <c r="BE292" i="69"/>
  <c r="AY292" i="69"/>
  <c r="AU292" i="69"/>
  <c r="AT292" i="69"/>
  <c r="AZ292" i="69" s="1"/>
  <c r="BF292" i="69" s="1"/>
  <c r="AS292" i="69"/>
  <c r="BE291" i="69"/>
  <c r="AY291" i="69"/>
  <c r="AU291" i="69"/>
  <c r="BA291" i="69" s="1"/>
  <c r="BG291" i="69" s="1"/>
  <c r="AT291" i="69"/>
  <c r="AZ291" i="69" s="1"/>
  <c r="BF291" i="69" s="1"/>
  <c r="AS291" i="69"/>
  <c r="BE290" i="69"/>
  <c r="AY290" i="69"/>
  <c r="AU290" i="69"/>
  <c r="BA290" i="69" s="1"/>
  <c r="AT290" i="69"/>
  <c r="AZ290" i="69" s="1"/>
  <c r="BF290" i="69" s="1"/>
  <c r="AS290" i="69"/>
  <c r="BE289" i="69"/>
  <c r="AY289" i="69"/>
  <c r="AU289" i="69"/>
  <c r="BA289" i="69" s="1"/>
  <c r="BG289" i="69" s="1"/>
  <c r="AT289" i="69"/>
  <c r="AZ289" i="69" s="1"/>
  <c r="BF289" i="69" s="1"/>
  <c r="AS289" i="69"/>
  <c r="BE288" i="69"/>
  <c r="AY288" i="69"/>
  <c r="AS288" i="69"/>
  <c r="AM288" i="69"/>
  <c r="AG288" i="69"/>
  <c r="AA288" i="69"/>
  <c r="W288" i="69"/>
  <c r="V288" i="69"/>
  <c r="AB288" i="69" s="1"/>
  <c r="AH288" i="69" s="1"/>
  <c r="AN288" i="69" s="1"/>
  <c r="AT288" i="69" s="1"/>
  <c r="AZ288" i="69" s="1"/>
  <c r="BF288" i="69" s="1"/>
  <c r="U288" i="69"/>
  <c r="BE287" i="69"/>
  <c r="AY287" i="69"/>
  <c r="AS287" i="69"/>
  <c r="AM287" i="69"/>
  <c r="AI287" i="69"/>
  <c r="AH287" i="69"/>
  <c r="AN287" i="69" s="1"/>
  <c r="AT287" i="69" s="1"/>
  <c r="AZ287" i="69" s="1"/>
  <c r="BF287" i="69" s="1"/>
  <c r="AG287" i="69"/>
  <c r="BE286" i="69"/>
  <c r="AY286" i="69"/>
  <c r="AS286" i="69"/>
  <c r="AM286" i="69"/>
  <c r="AI286" i="69"/>
  <c r="AH286" i="69"/>
  <c r="AN286" i="69" s="1"/>
  <c r="AT286" i="69" s="1"/>
  <c r="AZ286" i="69" s="1"/>
  <c r="BF286" i="69" s="1"/>
  <c r="AG286" i="69"/>
  <c r="BE285" i="69"/>
  <c r="AY285" i="69"/>
  <c r="AS285" i="69"/>
  <c r="AM285" i="69"/>
  <c r="AG285" i="69"/>
  <c r="AC285" i="69"/>
  <c r="AI285" i="69" s="1"/>
  <c r="AB285" i="69"/>
  <c r="AH285" i="69" s="1"/>
  <c r="AN285" i="69" s="1"/>
  <c r="AT285" i="69" s="1"/>
  <c r="AZ285" i="69" s="1"/>
  <c r="BF285" i="69" s="1"/>
  <c r="AA285" i="69"/>
  <c r="BE284" i="69"/>
  <c r="AY284" i="69"/>
  <c r="AS284" i="69"/>
  <c r="AM284" i="69"/>
  <c r="AG284" i="69"/>
  <c r="AA284" i="69"/>
  <c r="W284" i="69"/>
  <c r="AC284" i="69" s="1"/>
  <c r="V284" i="69"/>
  <c r="AB284" i="69" s="1"/>
  <c r="AH284" i="69" s="1"/>
  <c r="AN284" i="69" s="1"/>
  <c r="AT284" i="69" s="1"/>
  <c r="AZ284" i="69" s="1"/>
  <c r="BF284" i="69" s="1"/>
  <c r="U284" i="69"/>
  <c r="BE283" i="69"/>
  <c r="AY283" i="69"/>
  <c r="AS283" i="69"/>
  <c r="AM283" i="69"/>
  <c r="AG283" i="69"/>
  <c r="AA283" i="69"/>
  <c r="U283" i="69"/>
  <c r="Q283" i="69"/>
  <c r="W283" i="69" s="1"/>
  <c r="P283" i="69"/>
  <c r="V283" i="69" s="1"/>
  <c r="AB283" i="69" s="1"/>
  <c r="AH283" i="69" s="1"/>
  <c r="AN283" i="69" s="1"/>
  <c r="AT283" i="69" s="1"/>
  <c r="AZ283" i="69" s="1"/>
  <c r="BF283" i="69" s="1"/>
  <c r="O283" i="69"/>
  <c r="L283" i="69"/>
  <c r="BE282" i="69"/>
  <c r="AY282" i="69"/>
  <c r="AS282" i="69"/>
  <c r="AM282" i="69"/>
  <c r="AG282" i="69"/>
  <c r="AA282" i="69"/>
  <c r="U282" i="69"/>
  <c r="Q282" i="69"/>
  <c r="W282" i="69" s="1"/>
  <c r="P282" i="69"/>
  <c r="V282" i="69" s="1"/>
  <c r="AB282" i="69" s="1"/>
  <c r="AH282" i="69" s="1"/>
  <c r="AN282" i="69" s="1"/>
  <c r="AT282" i="69" s="1"/>
  <c r="AZ282" i="69" s="1"/>
  <c r="BF282" i="69" s="1"/>
  <c r="O282" i="69"/>
  <c r="L282" i="69"/>
  <c r="BE281" i="69"/>
  <c r="AY281" i="69"/>
  <c r="AS281" i="69"/>
  <c r="AM281" i="69"/>
  <c r="AG281" i="69"/>
  <c r="AA281" i="69"/>
  <c r="U281" i="69"/>
  <c r="Q281" i="69"/>
  <c r="W281" i="69" s="1"/>
  <c r="P281" i="69"/>
  <c r="V281" i="69" s="1"/>
  <c r="AB281" i="69" s="1"/>
  <c r="AH281" i="69" s="1"/>
  <c r="AN281" i="69" s="1"/>
  <c r="AT281" i="69" s="1"/>
  <c r="AZ281" i="69" s="1"/>
  <c r="BF281" i="69" s="1"/>
  <c r="O281" i="69"/>
  <c r="L281" i="69"/>
  <c r="BE280" i="69"/>
  <c r="AY280" i="69"/>
  <c r="AS280" i="69"/>
  <c r="AM280" i="69"/>
  <c r="AG280" i="69"/>
  <c r="AA280" i="69"/>
  <c r="U280" i="69"/>
  <c r="Q280" i="69"/>
  <c r="P280" i="69"/>
  <c r="V280" i="69" s="1"/>
  <c r="O280" i="69"/>
  <c r="L280" i="69"/>
  <c r="BE279" i="69"/>
  <c r="AY279" i="69"/>
  <c r="AS279" i="69"/>
  <c r="AM279" i="69"/>
  <c r="AI279" i="69"/>
  <c r="AG279" i="69"/>
  <c r="AA279" i="69"/>
  <c r="U279" i="69"/>
  <c r="Q279" i="69"/>
  <c r="W279" i="69" s="1"/>
  <c r="AC279" i="69" s="1"/>
  <c r="P279" i="69"/>
  <c r="V279" i="69" s="1"/>
  <c r="AB279" i="69" s="1"/>
  <c r="AH279" i="69" s="1"/>
  <c r="AN279" i="69" s="1"/>
  <c r="AT279" i="69" s="1"/>
  <c r="AZ279" i="69" s="1"/>
  <c r="BF279" i="69" s="1"/>
  <c r="O279" i="69"/>
  <c r="L279" i="69"/>
  <c r="BE278" i="69"/>
  <c r="AY278" i="69"/>
  <c r="AS278" i="69"/>
  <c r="AM278" i="69"/>
  <c r="AG278" i="69"/>
  <c r="AA278" i="69"/>
  <c r="U278" i="69"/>
  <c r="Q278" i="69"/>
  <c r="W278" i="69" s="1"/>
  <c r="P278" i="69"/>
  <c r="V278" i="69" s="1"/>
  <c r="AB278" i="69" s="1"/>
  <c r="AH278" i="69" s="1"/>
  <c r="AN278" i="69" s="1"/>
  <c r="AT278" i="69" s="1"/>
  <c r="AZ278" i="69" s="1"/>
  <c r="BF278" i="69" s="1"/>
  <c r="O278" i="69"/>
  <c r="L278" i="69"/>
  <c r="BE277" i="69"/>
  <c r="AY277" i="69"/>
  <c r="AS277" i="69"/>
  <c r="AM277" i="69"/>
  <c r="AG277" i="69"/>
  <c r="AC277" i="69"/>
  <c r="AI277" i="69" s="1"/>
  <c r="AO277" i="69" s="1"/>
  <c r="AU277" i="69" s="1"/>
  <c r="AA277" i="69"/>
  <c r="U277" i="69"/>
  <c r="Q277" i="69"/>
  <c r="W277" i="69" s="1"/>
  <c r="P277" i="69"/>
  <c r="V277" i="69" s="1"/>
  <c r="AB277" i="69" s="1"/>
  <c r="O277" i="69"/>
  <c r="L277" i="69"/>
  <c r="BE276" i="69"/>
  <c r="AY276" i="69"/>
  <c r="AS276" i="69"/>
  <c r="AM276" i="69"/>
  <c r="AG276" i="69"/>
  <c r="AA276" i="69"/>
  <c r="U276" i="69"/>
  <c r="Q276" i="69"/>
  <c r="W276" i="69" s="1"/>
  <c r="AC276" i="69" s="1"/>
  <c r="P276" i="69"/>
  <c r="V276" i="69" s="1"/>
  <c r="O276" i="69"/>
  <c r="L276" i="69"/>
  <c r="BE275" i="69"/>
  <c r="AY275" i="69"/>
  <c r="AS275" i="69"/>
  <c r="AM275" i="69"/>
  <c r="AG275" i="69"/>
  <c r="AA275" i="69"/>
  <c r="U275" i="69"/>
  <c r="Q275" i="69"/>
  <c r="W275" i="69" s="1"/>
  <c r="P275" i="69"/>
  <c r="V275" i="69" s="1"/>
  <c r="AB275" i="69" s="1"/>
  <c r="AH275" i="69" s="1"/>
  <c r="AN275" i="69" s="1"/>
  <c r="AT275" i="69" s="1"/>
  <c r="AZ275" i="69" s="1"/>
  <c r="BF275" i="69" s="1"/>
  <c r="O275" i="69"/>
  <c r="L275" i="69"/>
  <c r="BE274" i="69"/>
  <c r="AY274" i="69"/>
  <c r="AS274" i="69"/>
  <c r="AM274" i="69"/>
  <c r="AG274" i="69"/>
  <c r="AA274" i="69"/>
  <c r="U274" i="69"/>
  <c r="Q274" i="69"/>
  <c r="W274" i="69" s="1"/>
  <c r="AC274" i="69" s="1"/>
  <c r="AI274" i="69" s="1"/>
  <c r="AO274" i="69" s="1"/>
  <c r="AU274" i="69" s="1"/>
  <c r="BA274" i="69" s="1"/>
  <c r="BG274" i="69" s="1"/>
  <c r="BM274" i="69" s="1"/>
  <c r="P274" i="69"/>
  <c r="V274" i="69" s="1"/>
  <c r="X274" i="69" s="1"/>
  <c r="O274" i="69"/>
  <c r="L274" i="69"/>
  <c r="BE273" i="69"/>
  <c r="AY273" i="69"/>
  <c r="AS273" i="69"/>
  <c r="AM273" i="69"/>
  <c r="AG273" i="69"/>
  <c r="AA273" i="69"/>
  <c r="U273" i="69"/>
  <c r="Q273" i="69"/>
  <c r="W273" i="69" s="1"/>
  <c r="AC273" i="69" s="1"/>
  <c r="P273" i="69"/>
  <c r="O273" i="69"/>
  <c r="L273" i="69"/>
  <c r="BE272" i="69"/>
  <c r="AY272" i="69"/>
  <c r="AS272" i="69"/>
  <c r="AM272" i="69"/>
  <c r="AG272" i="69"/>
  <c r="AA272" i="69"/>
  <c r="U272" i="69"/>
  <c r="Q272" i="69"/>
  <c r="W272" i="69" s="1"/>
  <c r="P272" i="69"/>
  <c r="V272" i="69" s="1"/>
  <c r="AB272" i="69" s="1"/>
  <c r="AH272" i="69" s="1"/>
  <c r="AN272" i="69" s="1"/>
  <c r="AT272" i="69" s="1"/>
  <c r="AZ272" i="69" s="1"/>
  <c r="BF272" i="69" s="1"/>
  <c r="O272" i="69"/>
  <c r="L272" i="69"/>
  <c r="BE271" i="69"/>
  <c r="AY271" i="69"/>
  <c r="AS271" i="69"/>
  <c r="AM271" i="69"/>
  <c r="AG271" i="69"/>
  <c r="AA271" i="69"/>
  <c r="U271" i="69"/>
  <c r="Q271" i="69"/>
  <c r="W271" i="69" s="1"/>
  <c r="AC271" i="69" s="1"/>
  <c r="AI271" i="69" s="1"/>
  <c r="P271" i="69"/>
  <c r="V271" i="69" s="1"/>
  <c r="AB271" i="69" s="1"/>
  <c r="AH271" i="69" s="1"/>
  <c r="AN271" i="69" s="1"/>
  <c r="AT271" i="69" s="1"/>
  <c r="AZ271" i="69" s="1"/>
  <c r="BF271" i="69" s="1"/>
  <c r="O271" i="69"/>
  <c r="L271" i="69"/>
  <c r="BE270" i="69"/>
  <c r="AY270" i="69"/>
  <c r="AS270" i="69"/>
  <c r="AM270" i="69"/>
  <c r="AG270" i="69"/>
  <c r="AA270" i="69"/>
  <c r="U270" i="69"/>
  <c r="Q270" i="69"/>
  <c r="W270" i="69" s="1"/>
  <c r="P270" i="69"/>
  <c r="O270" i="69"/>
  <c r="L270" i="69"/>
  <c r="BE269" i="69"/>
  <c r="AY269" i="69"/>
  <c r="AS269" i="69"/>
  <c r="AM269" i="69"/>
  <c r="AG269" i="69"/>
  <c r="AA269" i="69"/>
  <c r="U269" i="69"/>
  <c r="Q269" i="69"/>
  <c r="W269" i="69" s="1"/>
  <c r="P269" i="69"/>
  <c r="V269" i="69" s="1"/>
  <c r="AB269" i="69" s="1"/>
  <c r="AH269" i="69" s="1"/>
  <c r="AN269" i="69" s="1"/>
  <c r="AT269" i="69" s="1"/>
  <c r="AZ269" i="69" s="1"/>
  <c r="BF269" i="69" s="1"/>
  <c r="O269" i="69"/>
  <c r="L269" i="69"/>
  <c r="BE268" i="69"/>
  <c r="AY268" i="69"/>
  <c r="AS268" i="69"/>
  <c r="AM268" i="69"/>
  <c r="AG268" i="69"/>
  <c r="AA268" i="69"/>
  <c r="U268" i="69"/>
  <c r="Q268" i="69"/>
  <c r="W268" i="69" s="1"/>
  <c r="P268" i="69"/>
  <c r="V268" i="69" s="1"/>
  <c r="AB268" i="69" s="1"/>
  <c r="AH268" i="69" s="1"/>
  <c r="O268" i="69"/>
  <c r="L268" i="69"/>
  <c r="BE267" i="69"/>
  <c r="AY267" i="69"/>
  <c r="AS267" i="69"/>
  <c r="AM267" i="69"/>
  <c r="AG267" i="69"/>
  <c r="AA267" i="69"/>
  <c r="U267" i="69"/>
  <c r="Q267" i="69"/>
  <c r="P267" i="69"/>
  <c r="V267" i="69" s="1"/>
  <c r="AB267" i="69" s="1"/>
  <c r="AH267" i="69" s="1"/>
  <c r="AN267" i="69" s="1"/>
  <c r="AT267" i="69" s="1"/>
  <c r="AZ267" i="69" s="1"/>
  <c r="BF267" i="69" s="1"/>
  <c r="O267" i="69"/>
  <c r="L267" i="69"/>
  <c r="BE266" i="69"/>
  <c r="AY266" i="69"/>
  <c r="AS266" i="69"/>
  <c r="AM266" i="69"/>
  <c r="AG266" i="69"/>
  <c r="AA266" i="69"/>
  <c r="U266" i="69"/>
  <c r="Q266" i="69"/>
  <c r="W266" i="69" s="1"/>
  <c r="P266" i="69"/>
  <c r="V266" i="69" s="1"/>
  <c r="AB266" i="69" s="1"/>
  <c r="AH266" i="69" s="1"/>
  <c r="AN266" i="69" s="1"/>
  <c r="AT266" i="69" s="1"/>
  <c r="AZ266" i="69" s="1"/>
  <c r="BF266" i="69" s="1"/>
  <c r="O266" i="69"/>
  <c r="L266" i="69"/>
  <c r="BE265" i="69"/>
  <c r="AY265" i="69"/>
  <c r="AS265" i="69"/>
  <c r="AM265" i="69"/>
  <c r="AG265" i="69"/>
  <c r="AA265" i="69"/>
  <c r="U265" i="69"/>
  <c r="Q265" i="69"/>
  <c r="W265" i="69" s="1"/>
  <c r="AC265" i="69" s="1"/>
  <c r="AI265" i="69" s="1"/>
  <c r="AO265" i="69" s="1"/>
  <c r="AU265" i="69" s="1"/>
  <c r="BA265" i="69" s="1"/>
  <c r="BG265" i="69" s="1"/>
  <c r="P265" i="69"/>
  <c r="V265" i="69" s="1"/>
  <c r="AB265" i="69" s="1"/>
  <c r="AH265" i="69" s="1"/>
  <c r="AN265" i="69" s="1"/>
  <c r="O265" i="69"/>
  <c r="L265" i="69"/>
  <c r="BE264" i="69"/>
  <c r="AY264" i="69"/>
  <c r="AS264" i="69"/>
  <c r="AM264" i="69"/>
  <c r="AG264" i="69"/>
  <c r="AA264" i="69"/>
  <c r="U264" i="69"/>
  <c r="Q264" i="69"/>
  <c r="W264" i="69" s="1"/>
  <c r="AC264" i="69" s="1"/>
  <c r="AI264" i="69" s="1"/>
  <c r="P264" i="69"/>
  <c r="V264" i="69" s="1"/>
  <c r="AB264" i="69" s="1"/>
  <c r="O264" i="69"/>
  <c r="L264" i="69"/>
  <c r="BE263" i="69"/>
  <c r="AY263" i="69"/>
  <c r="AS263" i="69"/>
  <c r="AM263" i="69"/>
  <c r="AG263" i="69"/>
  <c r="AA263" i="69"/>
  <c r="U263" i="69"/>
  <c r="Q263" i="69"/>
  <c r="P263" i="69"/>
  <c r="V263" i="69" s="1"/>
  <c r="AB263" i="69" s="1"/>
  <c r="AH263" i="69" s="1"/>
  <c r="AN263" i="69" s="1"/>
  <c r="AT263" i="69" s="1"/>
  <c r="AZ263" i="69" s="1"/>
  <c r="BF263" i="69" s="1"/>
  <c r="O263" i="69"/>
  <c r="L263" i="69"/>
  <c r="BE262" i="69"/>
  <c r="AY262" i="69"/>
  <c r="AS262" i="69"/>
  <c r="AM262" i="69"/>
  <c r="AG262" i="69"/>
  <c r="AA262" i="69"/>
  <c r="U262" i="69"/>
  <c r="Q262" i="69"/>
  <c r="W262" i="69" s="1"/>
  <c r="AC262" i="69" s="1"/>
  <c r="P262" i="69"/>
  <c r="V262" i="69" s="1"/>
  <c r="AB262" i="69" s="1"/>
  <c r="AH262" i="69" s="1"/>
  <c r="AN262" i="69" s="1"/>
  <c r="AT262" i="69" s="1"/>
  <c r="AZ262" i="69" s="1"/>
  <c r="BF262" i="69" s="1"/>
  <c r="O262" i="69"/>
  <c r="L262" i="69"/>
  <c r="BE261" i="69"/>
  <c r="AY261" i="69"/>
  <c r="AS261" i="69"/>
  <c r="AM261" i="69"/>
  <c r="AG261" i="69"/>
  <c r="AA261" i="69"/>
  <c r="U261" i="69"/>
  <c r="Q261" i="69"/>
  <c r="P261" i="69"/>
  <c r="V261" i="69" s="1"/>
  <c r="AB261" i="69" s="1"/>
  <c r="AH261" i="69" s="1"/>
  <c r="AN261" i="69" s="1"/>
  <c r="AT261" i="69" s="1"/>
  <c r="AZ261" i="69" s="1"/>
  <c r="BF261" i="69" s="1"/>
  <c r="O261" i="69"/>
  <c r="L261" i="69"/>
  <c r="BE260" i="69"/>
  <c r="AY260" i="69"/>
  <c r="AS260" i="69"/>
  <c r="AM260" i="69"/>
  <c r="AG260" i="69"/>
  <c r="AA260" i="69"/>
  <c r="U260" i="69"/>
  <c r="Q260" i="69"/>
  <c r="W260" i="69" s="1"/>
  <c r="AC260" i="69" s="1"/>
  <c r="AI260" i="69" s="1"/>
  <c r="P260" i="69"/>
  <c r="V260" i="69" s="1"/>
  <c r="AB260" i="69" s="1"/>
  <c r="AH260" i="69" s="1"/>
  <c r="AN260" i="69" s="1"/>
  <c r="AT260" i="69" s="1"/>
  <c r="AZ260" i="69" s="1"/>
  <c r="BF260" i="69" s="1"/>
  <c r="O260" i="69"/>
  <c r="L260" i="69"/>
  <c r="BE259" i="69"/>
  <c r="AY259" i="69"/>
  <c r="AS259" i="69"/>
  <c r="AM259" i="69"/>
  <c r="AG259" i="69"/>
  <c r="AA259" i="69"/>
  <c r="U259" i="69"/>
  <c r="Q259" i="69"/>
  <c r="P259" i="69"/>
  <c r="V259" i="69" s="1"/>
  <c r="AB259" i="69" s="1"/>
  <c r="AH259" i="69" s="1"/>
  <c r="AN259" i="69" s="1"/>
  <c r="AT259" i="69" s="1"/>
  <c r="AZ259" i="69" s="1"/>
  <c r="BF259" i="69" s="1"/>
  <c r="O259" i="69"/>
  <c r="L259" i="69"/>
  <c r="BE258" i="69"/>
  <c r="AY258" i="69"/>
  <c r="AS258" i="69"/>
  <c r="AM258" i="69"/>
  <c r="AG258" i="69"/>
  <c r="AA258" i="69"/>
  <c r="U258" i="69"/>
  <c r="Q258" i="69"/>
  <c r="W258" i="69" s="1"/>
  <c r="P258" i="69"/>
  <c r="V258" i="69" s="1"/>
  <c r="AB258" i="69" s="1"/>
  <c r="AH258" i="69" s="1"/>
  <c r="AN258" i="69" s="1"/>
  <c r="AT258" i="69" s="1"/>
  <c r="AZ258" i="69" s="1"/>
  <c r="BF258" i="69" s="1"/>
  <c r="O258" i="69"/>
  <c r="L258" i="69"/>
  <c r="BE257" i="69"/>
  <c r="AY257" i="69"/>
  <c r="AS257" i="69"/>
  <c r="AM257" i="69"/>
  <c r="AG257" i="69"/>
  <c r="AA257" i="69"/>
  <c r="U257" i="69"/>
  <c r="Q257" i="69"/>
  <c r="W257" i="69" s="1"/>
  <c r="AC257" i="69" s="1"/>
  <c r="P257" i="69"/>
  <c r="V257" i="69" s="1"/>
  <c r="AB257" i="69" s="1"/>
  <c r="AH257" i="69" s="1"/>
  <c r="AN257" i="69" s="1"/>
  <c r="AT257" i="69" s="1"/>
  <c r="AZ257" i="69" s="1"/>
  <c r="BF257" i="69" s="1"/>
  <c r="O257" i="69"/>
  <c r="L257" i="69"/>
  <c r="BE256" i="69"/>
  <c r="AY256" i="69"/>
  <c r="AS256" i="69"/>
  <c r="AM256" i="69"/>
  <c r="AG256" i="69"/>
  <c r="AA256" i="69"/>
  <c r="U256" i="69"/>
  <c r="Q256" i="69"/>
  <c r="W256" i="69" s="1"/>
  <c r="P256" i="69"/>
  <c r="O256" i="69"/>
  <c r="L256" i="69"/>
  <c r="BE255" i="69"/>
  <c r="AY255" i="69"/>
  <c r="AS255" i="69"/>
  <c r="AM255" i="69"/>
  <c r="AG255" i="69"/>
  <c r="AA255" i="69"/>
  <c r="U255" i="69"/>
  <c r="Q255" i="69"/>
  <c r="W255" i="69" s="1"/>
  <c r="P255" i="69"/>
  <c r="V255" i="69" s="1"/>
  <c r="AB255" i="69" s="1"/>
  <c r="AH255" i="69" s="1"/>
  <c r="AN255" i="69" s="1"/>
  <c r="AT255" i="69" s="1"/>
  <c r="AZ255" i="69" s="1"/>
  <c r="BF255" i="69" s="1"/>
  <c r="O255" i="69"/>
  <c r="L255" i="69"/>
  <c r="BE254" i="69"/>
  <c r="AY254" i="69"/>
  <c r="AS254" i="69"/>
  <c r="AM254" i="69"/>
  <c r="AG254" i="69"/>
  <c r="AA254" i="69"/>
  <c r="U254" i="69"/>
  <c r="Q254" i="69"/>
  <c r="P254" i="69"/>
  <c r="V254" i="69" s="1"/>
  <c r="AB254" i="69" s="1"/>
  <c r="AH254" i="69" s="1"/>
  <c r="AN254" i="69" s="1"/>
  <c r="AT254" i="69" s="1"/>
  <c r="AZ254" i="69" s="1"/>
  <c r="BF254" i="69" s="1"/>
  <c r="O254" i="69"/>
  <c r="L254" i="69"/>
  <c r="BE253" i="69"/>
  <c r="AY253" i="69"/>
  <c r="AS253" i="69"/>
  <c r="AM253" i="69"/>
  <c r="AG253" i="69"/>
  <c r="AA253" i="69"/>
  <c r="U253" i="69"/>
  <c r="Q253" i="69"/>
  <c r="W253" i="69" s="1"/>
  <c r="AC253" i="69" s="1"/>
  <c r="P253" i="69"/>
  <c r="V253" i="69" s="1"/>
  <c r="AB253" i="69" s="1"/>
  <c r="AH253" i="69" s="1"/>
  <c r="AN253" i="69" s="1"/>
  <c r="AT253" i="69" s="1"/>
  <c r="AZ253" i="69" s="1"/>
  <c r="BF253" i="69" s="1"/>
  <c r="O253" i="69"/>
  <c r="L253" i="69"/>
  <c r="BE252" i="69"/>
  <c r="AY252" i="69"/>
  <c r="AS252" i="69"/>
  <c r="AM252" i="69"/>
  <c r="AG252" i="69"/>
  <c r="AA252" i="69"/>
  <c r="U252" i="69"/>
  <c r="Q252" i="69"/>
  <c r="W252" i="69" s="1"/>
  <c r="P252" i="69"/>
  <c r="V252" i="69" s="1"/>
  <c r="AB252" i="69" s="1"/>
  <c r="AH252" i="69" s="1"/>
  <c r="AN252" i="69" s="1"/>
  <c r="AT252" i="69" s="1"/>
  <c r="AZ252" i="69" s="1"/>
  <c r="BF252" i="69" s="1"/>
  <c r="O252" i="69"/>
  <c r="L252" i="69"/>
  <c r="BE251" i="69"/>
  <c r="AY251" i="69"/>
  <c r="AS251" i="69"/>
  <c r="AM251" i="69"/>
  <c r="AG251" i="69"/>
  <c r="AA251" i="69"/>
  <c r="U251" i="69"/>
  <c r="Q251" i="69"/>
  <c r="W251" i="69" s="1"/>
  <c r="P251" i="69"/>
  <c r="V251" i="69" s="1"/>
  <c r="AB251" i="69" s="1"/>
  <c r="AH251" i="69" s="1"/>
  <c r="AN251" i="69" s="1"/>
  <c r="AT251" i="69" s="1"/>
  <c r="AZ251" i="69" s="1"/>
  <c r="BF251" i="69" s="1"/>
  <c r="O251" i="69"/>
  <c r="L251" i="69"/>
  <c r="BE250" i="69"/>
  <c r="AY250" i="69"/>
  <c r="AS250" i="69"/>
  <c r="AM250" i="69"/>
  <c r="AG250" i="69"/>
  <c r="AA250" i="69"/>
  <c r="U250" i="69"/>
  <c r="Q250" i="69"/>
  <c r="W250" i="69" s="1"/>
  <c r="AC250" i="69" s="1"/>
  <c r="P250" i="69"/>
  <c r="O250" i="69"/>
  <c r="L250" i="69"/>
  <c r="BE249" i="69"/>
  <c r="AY249" i="69"/>
  <c r="AS249" i="69"/>
  <c r="AM249" i="69"/>
  <c r="AG249" i="69"/>
  <c r="AA249" i="69"/>
  <c r="U249" i="69"/>
  <c r="Q249" i="69"/>
  <c r="W249" i="69" s="1"/>
  <c r="AC249" i="69" s="1"/>
  <c r="AI249" i="69" s="1"/>
  <c r="AO249" i="69" s="1"/>
  <c r="AU249" i="69" s="1"/>
  <c r="BA249" i="69" s="1"/>
  <c r="BG249" i="69" s="1"/>
  <c r="P249" i="69"/>
  <c r="V249" i="69" s="1"/>
  <c r="AB249" i="69" s="1"/>
  <c r="AH249" i="69" s="1"/>
  <c r="AN249" i="69" s="1"/>
  <c r="AT249" i="69" s="1"/>
  <c r="AZ249" i="69" s="1"/>
  <c r="BF249" i="69" s="1"/>
  <c r="O249" i="69"/>
  <c r="L249" i="69"/>
  <c r="BE248" i="69"/>
  <c r="AY248" i="69"/>
  <c r="AS248" i="69"/>
  <c r="AM248" i="69"/>
  <c r="AG248" i="69"/>
  <c r="AA248" i="69"/>
  <c r="U248" i="69"/>
  <c r="Q248" i="69"/>
  <c r="W248" i="69" s="1"/>
  <c r="AC248" i="69" s="1"/>
  <c r="P248" i="69"/>
  <c r="V248" i="69" s="1"/>
  <c r="AB248" i="69" s="1"/>
  <c r="AH248" i="69" s="1"/>
  <c r="AN248" i="69" s="1"/>
  <c r="AT248" i="69" s="1"/>
  <c r="AZ248" i="69" s="1"/>
  <c r="BF248" i="69" s="1"/>
  <c r="O248" i="69"/>
  <c r="L248" i="69"/>
  <c r="BE247" i="69"/>
  <c r="AY247" i="69"/>
  <c r="AS247" i="69"/>
  <c r="AM247" i="69"/>
  <c r="AG247" i="69"/>
  <c r="AA247" i="69"/>
  <c r="U247" i="69"/>
  <c r="Q247" i="69"/>
  <c r="W247" i="69" s="1"/>
  <c r="P247" i="69"/>
  <c r="V247" i="69" s="1"/>
  <c r="AB247" i="69" s="1"/>
  <c r="AH247" i="69" s="1"/>
  <c r="AN247" i="69" s="1"/>
  <c r="AT247" i="69" s="1"/>
  <c r="AZ247" i="69" s="1"/>
  <c r="BF247" i="69" s="1"/>
  <c r="O247" i="69"/>
  <c r="L247" i="69"/>
  <c r="BE246" i="69"/>
  <c r="AY246" i="69"/>
  <c r="AS246" i="69"/>
  <c r="AL246" i="69"/>
  <c r="AG246" i="69"/>
  <c r="AA246" i="69"/>
  <c r="U246" i="69"/>
  <c r="Q246" i="69"/>
  <c r="P246" i="69"/>
  <c r="V246" i="69" s="1"/>
  <c r="AB246" i="69" s="1"/>
  <c r="AH246" i="69" s="1"/>
  <c r="AN246" i="69" s="1"/>
  <c r="AT246" i="69" s="1"/>
  <c r="AZ246" i="69" s="1"/>
  <c r="BF246" i="69" s="1"/>
  <c r="O246" i="69"/>
  <c r="L246" i="69"/>
  <c r="BE245" i="69"/>
  <c r="AY245" i="69"/>
  <c r="AS245" i="69"/>
  <c r="AM245" i="69"/>
  <c r="AG245" i="69"/>
  <c r="AA245" i="69"/>
  <c r="U245" i="69"/>
  <c r="Q245" i="69"/>
  <c r="P245" i="69"/>
  <c r="V245" i="69" s="1"/>
  <c r="AB245" i="69" s="1"/>
  <c r="AH245" i="69" s="1"/>
  <c r="AN245" i="69" s="1"/>
  <c r="AT245" i="69" s="1"/>
  <c r="AZ245" i="69" s="1"/>
  <c r="BF245" i="69" s="1"/>
  <c r="O245" i="69"/>
  <c r="L245" i="69"/>
  <c r="BE244" i="69"/>
  <c r="AY244" i="69"/>
  <c r="AS244" i="69"/>
  <c r="AM244" i="69"/>
  <c r="AG244" i="69"/>
  <c r="AA244" i="69"/>
  <c r="U244" i="69"/>
  <c r="Q244" i="69"/>
  <c r="W244" i="69" s="1"/>
  <c r="AC244" i="69" s="1"/>
  <c r="AI244" i="69" s="1"/>
  <c r="AO244" i="69" s="1"/>
  <c r="AU244" i="69" s="1"/>
  <c r="P244" i="69"/>
  <c r="V244" i="69" s="1"/>
  <c r="AB244" i="69" s="1"/>
  <c r="AH244" i="69" s="1"/>
  <c r="AN244" i="69" s="1"/>
  <c r="AT244" i="69" s="1"/>
  <c r="AZ244" i="69" s="1"/>
  <c r="BF244" i="69" s="1"/>
  <c r="O244" i="69"/>
  <c r="L244" i="69"/>
  <c r="BE243" i="69"/>
  <c r="AY243" i="69"/>
  <c r="AS243" i="69"/>
  <c r="AM243" i="69"/>
  <c r="AG243" i="69"/>
  <c r="AA243" i="69"/>
  <c r="U243" i="69"/>
  <c r="Q243" i="69"/>
  <c r="P243" i="69"/>
  <c r="V243" i="69" s="1"/>
  <c r="AB243" i="69" s="1"/>
  <c r="AH243" i="69" s="1"/>
  <c r="AN243" i="69" s="1"/>
  <c r="AT243" i="69" s="1"/>
  <c r="AZ243" i="69" s="1"/>
  <c r="BF243" i="69" s="1"/>
  <c r="O243" i="69"/>
  <c r="L243" i="69"/>
  <c r="BE242" i="69"/>
  <c r="AY242" i="69"/>
  <c r="AS242" i="69"/>
  <c r="AM242" i="69"/>
  <c r="AG242" i="69"/>
  <c r="AA242" i="69"/>
  <c r="U242" i="69"/>
  <c r="Q242" i="69"/>
  <c r="W242" i="69" s="1"/>
  <c r="P242" i="69"/>
  <c r="V242" i="69" s="1"/>
  <c r="AB242" i="69" s="1"/>
  <c r="AH242" i="69" s="1"/>
  <c r="AN242" i="69" s="1"/>
  <c r="AT242" i="69" s="1"/>
  <c r="AZ242" i="69" s="1"/>
  <c r="BF242" i="69" s="1"/>
  <c r="O242" i="69"/>
  <c r="L242" i="69"/>
  <c r="BE241" i="69"/>
  <c r="AY241" i="69"/>
  <c r="AS241" i="69"/>
  <c r="AM241" i="69"/>
  <c r="AG241" i="69"/>
  <c r="AA241" i="69"/>
  <c r="U241" i="69"/>
  <c r="Q241" i="69"/>
  <c r="W241" i="69" s="1"/>
  <c r="P241" i="69"/>
  <c r="V241" i="69" s="1"/>
  <c r="AB241" i="69" s="1"/>
  <c r="AH241" i="69" s="1"/>
  <c r="AN241" i="69" s="1"/>
  <c r="AT241" i="69" s="1"/>
  <c r="AZ241" i="69" s="1"/>
  <c r="BF241" i="69" s="1"/>
  <c r="O241" i="69"/>
  <c r="L241" i="69"/>
  <c r="BE240" i="69"/>
  <c r="AY240" i="69"/>
  <c r="AS240" i="69"/>
  <c r="AM240" i="69"/>
  <c r="AG240" i="69"/>
  <c r="AA240" i="69"/>
  <c r="U240" i="69"/>
  <c r="Q240" i="69"/>
  <c r="W240" i="69" s="1"/>
  <c r="P240" i="69"/>
  <c r="V240" i="69" s="1"/>
  <c r="AB240" i="69" s="1"/>
  <c r="AH240" i="69" s="1"/>
  <c r="AN240" i="69" s="1"/>
  <c r="AT240" i="69" s="1"/>
  <c r="AZ240" i="69" s="1"/>
  <c r="BF240" i="69" s="1"/>
  <c r="O240" i="69"/>
  <c r="L240" i="69"/>
  <c r="BE239" i="69"/>
  <c r="AY239" i="69"/>
  <c r="AS239" i="69"/>
  <c r="AM239" i="69"/>
  <c r="AG239" i="69"/>
  <c r="AA239" i="69"/>
  <c r="U239" i="69"/>
  <c r="Q239" i="69"/>
  <c r="R239" i="69" s="1"/>
  <c r="P239" i="69"/>
  <c r="V239" i="69" s="1"/>
  <c r="AB239" i="69" s="1"/>
  <c r="AH239" i="69" s="1"/>
  <c r="AN239" i="69" s="1"/>
  <c r="AT239" i="69" s="1"/>
  <c r="AZ239" i="69" s="1"/>
  <c r="BF239" i="69" s="1"/>
  <c r="O239" i="69"/>
  <c r="L239" i="69"/>
  <c r="BE238" i="69"/>
  <c r="AY238" i="69"/>
  <c r="AS238" i="69"/>
  <c r="AM238" i="69"/>
  <c r="AG238" i="69"/>
  <c r="AA238" i="69"/>
  <c r="U238" i="69"/>
  <c r="Q238" i="69"/>
  <c r="W238" i="69" s="1"/>
  <c r="P238" i="69"/>
  <c r="V238" i="69" s="1"/>
  <c r="AB238" i="69" s="1"/>
  <c r="AH238" i="69" s="1"/>
  <c r="AN238" i="69" s="1"/>
  <c r="AT238" i="69" s="1"/>
  <c r="AZ238" i="69" s="1"/>
  <c r="BF238" i="69" s="1"/>
  <c r="O238" i="69"/>
  <c r="L238" i="69"/>
  <c r="BE237" i="69"/>
  <c r="AY237" i="69"/>
  <c r="AS237" i="69"/>
  <c r="AM237" i="69"/>
  <c r="AG237" i="69"/>
  <c r="AA237" i="69"/>
  <c r="U237" i="69"/>
  <c r="Q237" i="69"/>
  <c r="W237" i="69" s="1"/>
  <c r="P237" i="69"/>
  <c r="V237" i="69" s="1"/>
  <c r="AB237" i="69" s="1"/>
  <c r="AH237" i="69" s="1"/>
  <c r="AN237" i="69" s="1"/>
  <c r="AT237" i="69" s="1"/>
  <c r="AZ237" i="69" s="1"/>
  <c r="BF237" i="69" s="1"/>
  <c r="O237" i="69"/>
  <c r="L237" i="69"/>
  <c r="BE236" i="69"/>
  <c r="AY236" i="69"/>
  <c r="AS236" i="69"/>
  <c r="AM236" i="69"/>
  <c r="AG236" i="69"/>
  <c r="AA236" i="69"/>
  <c r="U236" i="69"/>
  <c r="Q236" i="69"/>
  <c r="W236" i="69" s="1"/>
  <c r="P236" i="69"/>
  <c r="V236" i="69" s="1"/>
  <c r="O236" i="69"/>
  <c r="L236" i="69"/>
  <c r="BC230" i="69"/>
  <c r="AW230" i="69"/>
  <c r="AQ230" i="69"/>
  <c r="AK230" i="69"/>
  <c r="AE230" i="69"/>
  <c r="Z230" i="69"/>
  <c r="Y230" i="69"/>
  <c r="S230" i="69"/>
  <c r="M230" i="69"/>
  <c r="J230" i="69"/>
  <c r="I230" i="69"/>
  <c r="BG229" i="69"/>
  <c r="BM229" i="69" s="1"/>
  <c r="BF229" i="69"/>
  <c r="BE229" i="69"/>
  <c r="BE228" i="69"/>
  <c r="AY228" i="69"/>
  <c r="AS228" i="69"/>
  <c r="AM228" i="69"/>
  <c r="AG228" i="69"/>
  <c r="AA228" i="69"/>
  <c r="U228" i="69"/>
  <c r="Q228" i="69"/>
  <c r="W228" i="69" s="1"/>
  <c r="P228" i="69"/>
  <c r="V228" i="69" s="1"/>
  <c r="AB228" i="69" s="1"/>
  <c r="AH228" i="69" s="1"/>
  <c r="AN228" i="69" s="1"/>
  <c r="AT228" i="69" s="1"/>
  <c r="AZ228" i="69" s="1"/>
  <c r="BF228" i="69" s="1"/>
  <c r="O228" i="69"/>
  <c r="L228" i="69"/>
  <c r="BE227" i="69"/>
  <c r="AY227" i="69"/>
  <c r="AS227" i="69"/>
  <c r="AM227" i="69"/>
  <c r="AG227" i="69"/>
  <c r="AA227" i="69"/>
  <c r="U227" i="69"/>
  <c r="Q227" i="69"/>
  <c r="P227" i="69"/>
  <c r="V227" i="69" s="1"/>
  <c r="AB227" i="69" s="1"/>
  <c r="AH227" i="69" s="1"/>
  <c r="AN227" i="69" s="1"/>
  <c r="AT227" i="69" s="1"/>
  <c r="AZ227" i="69" s="1"/>
  <c r="BF227" i="69" s="1"/>
  <c r="O227" i="69"/>
  <c r="L227" i="69"/>
  <c r="BE226" i="69"/>
  <c r="AY226" i="69"/>
  <c r="AS226" i="69"/>
  <c r="AM226" i="69"/>
  <c r="AG226" i="69"/>
  <c r="AA226" i="69"/>
  <c r="U226" i="69"/>
  <c r="Q226" i="69"/>
  <c r="W226" i="69" s="1"/>
  <c r="AC226" i="69" s="1"/>
  <c r="AI226" i="69" s="1"/>
  <c r="P226" i="69"/>
  <c r="V226" i="69" s="1"/>
  <c r="O226" i="69"/>
  <c r="L226" i="69"/>
  <c r="BE225" i="69"/>
  <c r="AY225" i="69"/>
  <c r="AS225" i="69"/>
  <c r="AM225" i="69"/>
  <c r="AG225" i="69"/>
  <c r="AA225" i="69"/>
  <c r="U225" i="69"/>
  <c r="Q225" i="69"/>
  <c r="W225" i="69" s="1"/>
  <c r="P225" i="69"/>
  <c r="V225" i="69" s="1"/>
  <c r="AB225" i="69" s="1"/>
  <c r="AH225" i="69" s="1"/>
  <c r="AN225" i="69" s="1"/>
  <c r="AT225" i="69" s="1"/>
  <c r="AZ225" i="69" s="1"/>
  <c r="BF225" i="69" s="1"/>
  <c r="O225" i="69"/>
  <c r="L225" i="69"/>
  <c r="BE224" i="69"/>
  <c r="AY224" i="69"/>
  <c r="AS224" i="69"/>
  <c r="AM224" i="69"/>
  <c r="AG224" i="69"/>
  <c r="AA224" i="69"/>
  <c r="U224" i="69"/>
  <c r="Q224" i="69"/>
  <c r="W224" i="69" s="1"/>
  <c r="AC224" i="69" s="1"/>
  <c r="AI224" i="69" s="1"/>
  <c r="P224" i="69"/>
  <c r="V224" i="69" s="1"/>
  <c r="AB224" i="69" s="1"/>
  <c r="AH224" i="69" s="1"/>
  <c r="AN224" i="69" s="1"/>
  <c r="AT224" i="69" s="1"/>
  <c r="AZ224" i="69" s="1"/>
  <c r="BF224" i="69" s="1"/>
  <c r="O224" i="69"/>
  <c r="L224" i="69"/>
  <c r="BE223" i="69"/>
  <c r="AY223" i="69"/>
  <c r="AS223" i="69"/>
  <c r="AM223" i="69"/>
  <c r="AG223" i="69"/>
  <c r="AA223" i="69"/>
  <c r="U223" i="69"/>
  <c r="Q223" i="69"/>
  <c r="W223" i="69" s="1"/>
  <c r="P223" i="69"/>
  <c r="V223" i="69" s="1"/>
  <c r="AB223" i="69" s="1"/>
  <c r="AH223" i="69" s="1"/>
  <c r="AN223" i="69" s="1"/>
  <c r="AT223" i="69" s="1"/>
  <c r="AZ223" i="69" s="1"/>
  <c r="BF223" i="69" s="1"/>
  <c r="O223" i="69"/>
  <c r="L223" i="69"/>
  <c r="BE222" i="69"/>
  <c r="AY222" i="69"/>
  <c r="AS222" i="69"/>
  <c r="AM222" i="69"/>
  <c r="AG222" i="69"/>
  <c r="AA222" i="69"/>
  <c r="U222" i="69"/>
  <c r="Q222" i="69"/>
  <c r="W222" i="69" s="1"/>
  <c r="AC222" i="69" s="1"/>
  <c r="AI222" i="69" s="1"/>
  <c r="P222" i="69"/>
  <c r="V222" i="69" s="1"/>
  <c r="AB222" i="69" s="1"/>
  <c r="AH222" i="69" s="1"/>
  <c r="AN222" i="69" s="1"/>
  <c r="AT222" i="69" s="1"/>
  <c r="AZ222" i="69" s="1"/>
  <c r="BF222" i="69" s="1"/>
  <c r="O222" i="69"/>
  <c r="L222" i="69"/>
  <c r="BE221" i="69"/>
  <c r="AY221" i="69"/>
  <c r="AS221" i="69"/>
  <c r="AM221" i="69"/>
  <c r="AG221" i="69"/>
  <c r="AA221" i="69"/>
  <c r="U221" i="69"/>
  <c r="Q221" i="69"/>
  <c r="W221" i="69" s="1"/>
  <c r="P221" i="69"/>
  <c r="V221" i="69" s="1"/>
  <c r="AB221" i="69" s="1"/>
  <c r="AH221" i="69" s="1"/>
  <c r="AN221" i="69" s="1"/>
  <c r="AT221" i="69" s="1"/>
  <c r="AZ221" i="69" s="1"/>
  <c r="BF221" i="69" s="1"/>
  <c r="O221" i="69"/>
  <c r="L221" i="69"/>
  <c r="BE220" i="69"/>
  <c r="AY220" i="69"/>
  <c r="AS220" i="69"/>
  <c r="AM220" i="69"/>
  <c r="AF220" i="69"/>
  <c r="AA220" i="69"/>
  <c r="U220" i="69"/>
  <c r="Q220" i="69"/>
  <c r="W220" i="69" s="1"/>
  <c r="AC220" i="69" s="1"/>
  <c r="P220" i="69"/>
  <c r="O220" i="69"/>
  <c r="L220" i="69"/>
  <c r="BE219" i="69"/>
  <c r="AY219" i="69"/>
  <c r="AS219" i="69"/>
  <c r="AM219" i="69"/>
  <c r="AG219" i="69"/>
  <c r="AA219" i="69"/>
  <c r="U219" i="69"/>
  <c r="Q219" i="69"/>
  <c r="P219" i="69"/>
  <c r="V219" i="69" s="1"/>
  <c r="AB219" i="69" s="1"/>
  <c r="AH219" i="69" s="1"/>
  <c r="AN219" i="69" s="1"/>
  <c r="AT219" i="69" s="1"/>
  <c r="AZ219" i="69" s="1"/>
  <c r="BF219" i="69" s="1"/>
  <c r="O219" i="69"/>
  <c r="L219" i="69"/>
  <c r="BE218" i="69"/>
  <c r="AY218" i="69"/>
  <c r="AS218" i="69"/>
  <c r="AM218" i="69"/>
  <c r="AG218" i="69"/>
  <c r="AA218" i="69"/>
  <c r="U218" i="69"/>
  <c r="Q218" i="69"/>
  <c r="W218" i="69" s="1"/>
  <c r="AC218" i="69" s="1"/>
  <c r="AI218" i="69" s="1"/>
  <c r="AO218" i="69" s="1"/>
  <c r="P218" i="69"/>
  <c r="O218" i="69"/>
  <c r="L218" i="69"/>
  <c r="BE217" i="69"/>
  <c r="AX217" i="69"/>
  <c r="AY217" i="69" s="1"/>
  <c r="AS217" i="69"/>
  <c r="AL217" i="69"/>
  <c r="AF217" i="69"/>
  <c r="AG217" i="69" s="1"/>
  <c r="AA217" i="69"/>
  <c r="U217" i="69"/>
  <c r="Q217" i="69"/>
  <c r="W217" i="69" s="1"/>
  <c r="AC217" i="69" s="1"/>
  <c r="P217" i="69"/>
  <c r="V217" i="69" s="1"/>
  <c r="AB217" i="69" s="1"/>
  <c r="AH217" i="69" s="1"/>
  <c r="AN217" i="69" s="1"/>
  <c r="AT217" i="69" s="1"/>
  <c r="AZ217" i="69" s="1"/>
  <c r="BF217" i="69" s="1"/>
  <c r="O217" i="69"/>
  <c r="L217" i="69"/>
  <c r="BE216" i="69"/>
  <c r="AY216" i="69"/>
  <c r="AS216" i="69"/>
  <c r="AM216" i="69"/>
  <c r="AG216" i="69"/>
  <c r="AA216" i="69"/>
  <c r="U216" i="69"/>
  <c r="Q216" i="69"/>
  <c r="W216" i="69" s="1"/>
  <c r="AC216" i="69" s="1"/>
  <c r="AI216" i="69" s="1"/>
  <c r="AO216" i="69" s="1"/>
  <c r="P216" i="69"/>
  <c r="O216" i="69"/>
  <c r="L216" i="69"/>
  <c r="BE215" i="69"/>
  <c r="AY215" i="69"/>
  <c r="AS215" i="69"/>
  <c r="AM215" i="69"/>
  <c r="AF215" i="69"/>
  <c r="AG215" i="69" s="1"/>
  <c r="AA215" i="69"/>
  <c r="U215" i="69"/>
  <c r="Q215" i="69"/>
  <c r="P215" i="69"/>
  <c r="V215" i="69" s="1"/>
  <c r="AB215" i="69" s="1"/>
  <c r="AH215" i="69" s="1"/>
  <c r="AN215" i="69" s="1"/>
  <c r="AT215" i="69" s="1"/>
  <c r="AZ215" i="69" s="1"/>
  <c r="BF215" i="69" s="1"/>
  <c r="O215" i="69"/>
  <c r="L215" i="69"/>
  <c r="BE214" i="69"/>
  <c r="AY214" i="69"/>
  <c r="AS214" i="69"/>
  <c r="AM214" i="69"/>
  <c r="AI214" i="69"/>
  <c r="AO214" i="69" s="1"/>
  <c r="AU214" i="69" s="1"/>
  <c r="BA214" i="69" s="1"/>
  <c r="BG214" i="69" s="1"/>
  <c r="AG214" i="69"/>
  <c r="AA214" i="69"/>
  <c r="U214" i="69"/>
  <c r="Q214" i="69"/>
  <c r="W214" i="69" s="1"/>
  <c r="AC214" i="69" s="1"/>
  <c r="P214" i="69"/>
  <c r="O214" i="69"/>
  <c r="L214" i="69"/>
  <c r="BE213" i="69"/>
  <c r="AY213" i="69"/>
  <c r="AS213" i="69"/>
  <c r="AM213" i="69"/>
  <c r="AG213" i="69"/>
  <c r="AA213" i="69"/>
  <c r="U213" i="69"/>
  <c r="Q213" i="69"/>
  <c r="P213" i="69"/>
  <c r="V213" i="69" s="1"/>
  <c r="AB213" i="69" s="1"/>
  <c r="AH213" i="69" s="1"/>
  <c r="AN213" i="69" s="1"/>
  <c r="AT213" i="69" s="1"/>
  <c r="AZ213" i="69" s="1"/>
  <c r="BF213" i="69" s="1"/>
  <c r="O213" i="69"/>
  <c r="L213" i="69"/>
  <c r="BE212" i="69"/>
  <c r="AY212" i="69"/>
  <c r="AS212" i="69"/>
  <c r="AM212" i="69"/>
  <c r="AG212" i="69"/>
  <c r="AA212" i="69"/>
  <c r="U212" i="69"/>
  <c r="Q212" i="69"/>
  <c r="P212" i="69"/>
  <c r="V212" i="69" s="1"/>
  <c r="AB212" i="69" s="1"/>
  <c r="AH212" i="69" s="1"/>
  <c r="AN212" i="69" s="1"/>
  <c r="AT212" i="69" s="1"/>
  <c r="AZ212" i="69" s="1"/>
  <c r="BF212" i="69" s="1"/>
  <c r="O212" i="69"/>
  <c r="L212" i="69"/>
  <c r="BE211" i="69"/>
  <c r="AY211" i="69"/>
  <c r="AS211" i="69"/>
  <c r="AM211" i="69"/>
  <c r="AF211" i="69"/>
  <c r="AG211" i="69" s="1"/>
  <c r="AA211" i="69"/>
  <c r="U211" i="69"/>
  <c r="Q211" i="69"/>
  <c r="P211" i="69"/>
  <c r="V211" i="69" s="1"/>
  <c r="AB211" i="69" s="1"/>
  <c r="AH211" i="69" s="1"/>
  <c r="AN211" i="69" s="1"/>
  <c r="AT211" i="69" s="1"/>
  <c r="AZ211" i="69" s="1"/>
  <c r="BF211" i="69" s="1"/>
  <c r="O211" i="69"/>
  <c r="L211" i="69"/>
  <c r="BE210" i="69"/>
  <c r="AY210" i="69"/>
  <c r="AS210" i="69"/>
  <c r="AM210" i="69"/>
  <c r="AG210" i="69"/>
  <c r="AA210" i="69"/>
  <c r="T210" i="69"/>
  <c r="Q210" i="69"/>
  <c r="P210" i="69"/>
  <c r="V210" i="69" s="1"/>
  <c r="AB210" i="69" s="1"/>
  <c r="AH210" i="69" s="1"/>
  <c r="AN210" i="69" s="1"/>
  <c r="AT210" i="69" s="1"/>
  <c r="AZ210" i="69" s="1"/>
  <c r="BF210" i="69" s="1"/>
  <c r="O210" i="69"/>
  <c r="L210" i="69"/>
  <c r="BE209" i="69"/>
  <c r="AY209" i="69"/>
  <c r="AS209" i="69"/>
  <c r="AM209" i="69"/>
  <c r="AG209" i="69"/>
  <c r="AA209" i="69"/>
  <c r="U209" i="69"/>
  <c r="Q209" i="69"/>
  <c r="W209" i="69" s="1"/>
  <c r="AC209" i="69" s="1"/>
  <c r="AI209" i="69" s="1"/>
  <c r="AO209" i="69" s="1"/>
  <c r="P209" i="69"/>
  <c r="O209" i="69"/>
  <c r="L209" i="69"/>
  <c r="BE208" i="69"/>
  <c r="AY208" i="69"/>
  <c r="AS208" i="69"/>
  <c r="AM208" i="69"/>
  <c r="AG208" i="69"/>
  <c r="AA208" i="69"/>
  <c r="U208" i="69"/>
  <c r="Q208" i="69"/>
  <c r="W208" i="69" s="1"/>
  <c r="AC208" i="69" s="1"/>
  <c r="P208" i="69"/>
  <c r="V208" i="69" s="1"/>
  <c r="AB208" i="69" s="1"/>
  <c r="AH208" i="69" s="1"/>
  <c r="AN208" i="69" s="1"/>
  <c r="AT208" i="69" s="1"/>
  <c r="AZ208" i="69" s="1"/>
  <c r="BF208" i="69" s="1"/>
  <c r="O208" i="69"/>
  <c r="L208" i="69"/>
  <c r="BE207" i="69"/>
  <c r="AY207" i="69"/>
  <c r="AS207" i="69"/>
  <c r="AM207" i="69"/>
  <c r="AG207" i="69"/>
  <c r="AA207" i="69"/>
  <c r="U207" i="69"/>
  <c r="Q207" i="69"/>
  <c r="P207" i="69"/>
  <c r="V207" i="69" s="1"/>
  <c r="AB207" i="69" s="1"/>
  <c r="AH207" i="69" s="1"/>
  <c r="O207" i="69"/>
  <c r="L207" i="69"/>
  <c r="BE206" i="69"/>
  <c r="AX206" i="69"/>
  <c r="AX230" i="69" s="1"/>
  <c r="AY230" i="69" s="1"/>
  <c r="AR206" i="69"/>
  <c r="AS206" i="69" s="1"/>
  <c r="AL206" i="69"/>
  <c r="AM206" i="69" s="1"/>
  <c r="AG206" i="69"/>
  <c r="AA206" i="69"/>
  <c r="U206" i="69"/>
  <c r="P206" i="69"/>
  <c r="V206" i="69" s="1"/>
  <c r="AB206" i="69" s="1"/>
  <c r="AH206" i="69" s="1"/>
  <c r="AN206" i="69" s="1"/>
  <c r="AT206" i="69" s="1"/>
  <c r="AZ206" i="69" s="1"/>
  <c r="BF206" i="69" s="1"/>
  <c r="N206" i="69"/>
  <c r="K206" i="69"/>
  <c r="L206" i="69" s="1"/>
  <c r="BE205" i="69"/>
  <c r="AY205" i="69"/>
  <c r="AS205" i="69"/>
  <c r="AL205" i="69"/>
  <c r="AM205" i="69" s="1"/>
  <c r="AG205" i="69"/>
  <c r="AA205" i="69"/>
  <c r="U205" i="69"/>
  <c r="Q205" i="69"/>
  <c r="P205" i="69"/>
  <c r="V205" i="69" s="1"/>
  <c r="AB205" i="69" s="1"/>
  <c r="AH205" i="69" s="1"/>
  <c r="AN205" i="69" s="1"/>
  <c r="AT205" i="69" s="1"/>
  <c r="AZ205" i="69" s="1"/>
  <c r="BF205" i="69" s="1"/>
  <c r="O205" i="69"/>
  <c r="L205" i="69"/>
  <c r="BE204" i="69"/>
  <c r="AY204" i="69"/>
  <c r="AS204" i="69"/>
  <c r="AM204" i="69"/>
  <c r="AG204" i="69"/>
  <c r="AA204" i="69"/>
  <c r="U204" i="69"/>
  <c r="Q204" i="69"/>
  <c r="W204" i="69" s="1"/>
  <c r="P204" i="69"/>
  <c r="V204" i="69" s="1"/>
  <c r="AB204" i="69" s="1"/>
  <c r="AH204" i="69" s="1"/>
  <c r="AN204" i="69" s="1"/>
  <c r="AT204" i="69" s="1"/>
  <c r="AZ204" i="69" s="1"/>
  <c r="BF204" i="69" s="1"/>
  <c r="O204" i="69"/>
  <c r="L204" i="69"/>
  <c r="BD203" i="69"/>
  <c r="AY203" i="69"/>
  <c r="AS203" i="69"/>
  <c r="AM203" i="69"/>
  <c r="AG203" i="69"/>
  <c r="AA203" i="69"/>
  <c r="T203" i="69"/>
  <c r="P203" i="69"/>
  <c r="V203" i="69" s="1"/>
  <c r="AB203" i="69" s="1"/>
  <c r="AH203" i="69" s="1"/>
  <c r="AN203" i="69" s="1"/>
  <c r="AT203" i="69" s="1"/>
  <c r="AZ203" i="69" s="1"/>
  <c r="BF203" i="69" s="1"/>
  <c r="O203" i="69"/>
  <c r="K203" i="69"/>
  <c r="Q203" i="69" s="1"/>
  <c r="R203" i="69" s="1"/>
  <c r="BE202" i="69"/>
  <c r="AY202" i="69"/>
  <c r="AS202" i="69"/>
  <c r="AM202" i="69"/>
  <c r="AG202" i="69"/>
  <c r="AA202" i="69"/>
  <c r="U202" i="69"/>
  <c r="Q202" i="69"/>
  <c r="W202" i="69" s="1"/>
  <c r="AC202" i="69" s="1"/>
  <c r="P202" i="69"/>
  <c r="V202" i="69" s="1"/>
  <c r="O202" i="69"/>
  <c r="L202" i="69"/>
  <c r="BE201" i="69"/>
  <c r="AY201" i="69"/>
  <c r="AS201" i="69"/>
  <c r="AM201" i="69"/>
  <c r="AG201" i="69"/>
  <c r="AA201" i="69"/>
  <c r="V201" i="69"/>
  <c r="AB201" i="69" s="1"/>
  <c r="AH201" i="69" s="1"/>
  <c r="AN201" i="69" s="1"/>
  <c r="AT201" i="69" s="1"/>
  <c r="AZ201" i="69" s="1"/>
  <c r="BF201" i="69" s="1"/>
  <c r="U201" i="69"/>
  <c r="Q201" i="69"/>
  <c r="P201" i="69"/>
  <c r="O201" i="69"/>
  <c r="L201" i="69"/>
  <c r="BE200" i="69"/>
  <c r="AY200" i="69"/>
  <c r="AS200" i="69"/>
  <c r="AL200" i="69"/>
  <c r="AG200" i="69"/>
  <c r="AA200" i="69"/>
  <c r="T200" i="69"/>
  <c r="U200" i="69" s="1"/>
  <c r="Q200" i="69"/>
  <c r="P200" i="69"/>
  <c r="V200" i="69" s="1"/>
  <c r="AB200" i="69" s="1"/>
  <c r="AH200" i="69" s="1"/>
  <c r="AN200" i="69" s="1"/>
  <c r="AT200" i="69" s="1"/>
  <c r="AZ200" i="69" s="1"/>
  <c r="BF200" i="69" s="1"/>
  <c r="O200" i="69"/>
  <c r="L200" i="69"/>
  <c r="BE199" i="69"/>
  <c r="AY199" i="69"/>
  <c r="AS199" i="69"/>
  <c r="AM199" i="69"/>
  <c r="AG199" i="69"/>
  <c r="AA199" i="69"/>
  <c r="U199" i="69"/>
  <c r="Q199" i="69"/>
  <c r="W199" i="69" s="1"/>
  <c r="AC199" i="69" s="1"/>
  <c r="P199" i="69"/>
  <c r="V199" i="69" s="1"/>
  <c r="O199" i="69"/>
  <c r="L199" i="69"/>
  <c r="BE198" i="69"/>
  <c r="AY198" i="69"/>
  <c r="AS198" i="69"/>
  <c r="AM198" i="69"/>
  <c r="AG198" i="69"/>
  <c r="AA198" i="69"/>
  <c r="U198" i="69"/>
  <c r="Q198" i="69"/>
  <c r="P198" i="69"/>
  <c r="O198" i="69"/>
  <c r="L198" i="69"/>
  <c r="BC190" i="69"/>
  <c r="AW190" i="69"/>
  <c r="AR190" i="69"/>
  <c r="AQ190" i="69"/>
  <c r="AK190" i="69"/>
  <c r="AF190" i="69"/>
  <c r="AE190" i="69"/>
  <c r="Z190" i="69"/>
  <c r="Y190" i="69"/>
  <c r="S190" i="69"/>
  <c r="M190" i="69"/>
  <c r="J190" i="69"/>
  <c r="I190" i="69"/>
  <c r="BE189" i="69"/>
  <c r="BA189" i="69"/>
  <c r="BG189" i="69" s="1"/>
  <c r="AZ189" i="69"/>
  <c r="BF189" i="69" s="1"/>
  <c r="AY189" i="69"/>
  <c r="BG188" i="69"/>
  <c r="BM188" i="69" s="1"/>
  <c r="BF188" i="69"/>
  <c r="BE188" i="69"/>
  <c r="BG187" i="69"/>
  <c r="BM187" i="69" s="1"/>
  <c r="BF187" i="69"/>
  <c r="BE187" i="69"/>
  <c r="BE186" i="69"/>
  <c r="AY186" i="69"/>
  <c r="AU186" i="69"/>
  <c r="BA186" i="69" s="1"/>
  <c r="AT186" i="69"/>
  <c r="AZ186" i="69" s="1"/>
  <c r="BF186" i="69" s="1"/>
  <c r="AS186" i="69"/>
  <c r="BE185" i="69"/>
  <c r="AY185" i="69"/>
  <c r="AS185" i="69"/>
  <c r="AM185" i="69"/>
  <c r="AG185" i="69"/>
  <c r="AC185" i="69"/>
  <c r="AB185" i="69"/>
  <c r="AH185" i="69" s="1"/>
  <c r="AN185" i="69" s="1"/>
  <c r="AT185" i="69" s="1"/>
  <c r="AZ185" i="69" s="1"/>
  <c r="BF185" i="69" s="1"/>
  <c r="AA185" i="69"/>
  <c r="BE184" i="69"/>
  <c r="AY184" i="69"/>
  <c r="AS184" i="69"/>
  <c r="AM184" i="69"/>
  <c r="AI184" i="69"/>
  <c r="AH184" i="69"/>
  <c r="AN184" i="69" s="1"/>
  <c r="AT184" i="69" s="1"/>
  <c r="AZ184" i="69" s="1"/>
  <c r="BF184" i="69" s="1"/>
  <c r="AG184" i="69"/>
  <c r="BE183" i="69"/>
  <c r="AY183" i="69"/>
  <c r="AS183" i="69"/>
  <c r="AM183" i="69"/>
  <c r="AI183" i="69"/>
  <c r="AO183" i="69" s="1"/>
  <c r="AH183" i="69"/>
  <c r="AN183" i="69" s="1"/>
  <c r="AT183" i="69" s="1"/>
  <c r="AZ183" i="69" s="1"/>
  <c r="BF183" i="69" s="1"/>
  <c r="AG183" i="69"/>
  <c r="BE182" i="69"/>
  <c r="AY182" i="69"/>
  <c r="AS182" i="69"/>
  <c r="AM182" i="69"/>
  <c r="AI182" i="69"/>
  <c r="AO182" i="69" s="1"/>
  <c r="AH182" i="69"/>
  <c r="AN182" i="69" s="1"/>
  <c r="AT182" i="69" s="1"/>
  <c r="AZ182" i="69" s="1"/>
  <c r="BF182" i="69" s="1"/>
  <c r="AG182" i="69"/>
  <c r="BE181" i="69"/>
  <c r="AY181" i="69"/>
  <c r="AS181" i="69"/>
  <c r="AM181" i="69"/>
  <c r="AG181" i="69"/>
  <c r="AA181" i="69"/>
  <c r="W181" i="69"/>
  <c r="AC181" i="69" s="1"/>
  <c r="V181" i="69"/>
  <c r="AB181" i="69" s="1"/>
  <c r="AH181" i="69" s="1"/>
  <c r="AN181" i="69" s="1"/>
  <c r="AT181" i="69" s="1"/>
  <c r="AZ181" i="69" s="1"/>
  <c r="BF181" i="69" s="1"/>
  <c r="U181" i="69"/>
  <c r="BE180" i="69"/>
  <c r="AY180" i="69"/>
  <c r="AS180" i="69"/>
  <c r="AM180" i="69"/>
  <c r="AG180" i="69"/>
  <c r="AA180" i="69"/>
  <c r="W180" i="69"/>
  <c r="AC180" i="69" s="1"/>
  <c r="V180" i="69"/>
  <c r="AB180" i="69" s="1"/>
  <c r="AH180" i="69" s="1"/>
  <c r="AN180" i="69" s="1"/>
  <c r="AT180" i="69" s="1"/>
  <c r="AZ180" i="69" s="1"/>
  <c r="BF180" i="69" s="1"/>
  <c r="U180" i="69"/>
  <c r="BE179" i="69"/>
  <c r="AY179" i="69"/>
  <c r="AS179" i="69"/>
  <c r="AM179" i="69"/>
  <c r="AG179" i="69"/>
  <c r="AA179" i="69"/>
  <c r="U179" i="69"/>
  <c r="Q179" i="69"/>
  <c r="W179" i="69" s="1"/>
  <c r="P179" i="69"/>
  <c r="V179" i="69" s="1"/>
  <c r="AB179" i="69" s="1"/>
  <c r="AH179" i="69" s="1"/>
  <c r="AN179" i="69" s="1"/>
  <c r="AT179" i="69" s="1"/>
  <c r="AZ179" i="69" s="1"/>
  <c r="BF179" i="69" s="1"/>
  <c r="O179" i="69"/>
  <c r="L179" i="69"/>
  <c r="BE178" i="69"/>
  <c r="AY178" i="69"/>
  <c r="AS178" i="69"/>
  <c r="AM178" i="69"/>
  <c r="AG178" i="69"/>
  <c r="AA178" i="69"/>
  <c r="W178" i="69"/>
  <c r="AC178" i="69" s="1"/>
  <c r="V178" i="69"/>
  <c r="AB178" i="69" s="1"/>
  <c r="AH178" i="69" s="1"/>
  <c r="AN178" i="69" s="1"/>
  <c r="AT178" i="69" s="1"/>
  <c r="AZ178" i="69" s="1"/>
  <c r="BF178" i="69" s="1"/>
  <c r="U178" i="69"/>
  <c r="BE177" i="69"/>
  <c r="AY177" i="69"/>
  <c r="AS177" i="69"/>
  <c r="AM177" i="69"/>
  <c r="AG177" i="69"/>
  <c r="AA177" i="69"/>
  <c r="U177" i="69"/>
  <c r="Q177" i="69"/>
  <c r="P177" i="69"/>
  <c r="V177" i="69" s="1"/>
  <c r="O177" i="69"/>
  <c r="L177" i="69"/>
  <c r="BE176" i="69"/>
  <c r="AY176" i="69"/>
  <c r="AS176" i="69"/>
  <c r="AM176" i="69"/>
  <c r="AG176" i="69"/>
  <c r="AA176" i="69"/>
  <c r="U176" i="69"/>
  <c r="Q176" i="69"/>
  <c r="P176" i="69"/>
  <c r="V176" i="69" s="1"/>
  <c r="AB176" i="69" s="1"/>
  <c r="AH176" i="69" s="1"/>
  <c r="AN176" i="69" s="1"/>
  <c r="AT176" i="69" s="1"/>
  <c r="AZ176" i="69" s="1"/>
  <c r="BF176" i="69" s="1"/>
  <c r="O176" i="69"/>
  <c r="L176" i="69"/>
  <c r="BE175" i="69"/>
  <c r="AY175" i="69"/>
  <c r="AS175" i="69"/>
  <c r="AM175" i="69"/>
  <c r="AG175" i="69"/>
  <c r="AA175" i="69"/>
  <c r="U175" i="69"/>
  <c r="Q175" i="69"/>
  <c r="P175" i="69"/>
  <c r="V175" i="69" s="1"/>
  <c r="AB175" i="69" s="1"/>
  <c r="AH175" i="69" s="1"/>
  <c r="AN175" i="69" s="1"/>
  <c r="AT175" i="69" s="1"/>
  <c r="AZ175" i="69" s="1"/>
  <c r="BF175" i="69" s="1"/>
  <c r="O175" i="69"/>
  <c r="L175" i="69"/>
  <c r="BE174" i="69"/>
  <c r="AY174" i="69"/>
  <c r="AS174" i="69"/>
  <c r="AM174" i="69"/>
  <c r="AG174" i="69"/>
  <c r="AA174" i="69"/>
  <c r="U174" i="69"/>
  <c r="Q174" i="69"/>
  <c r="W174" i="69" s="1"/>
  <c r="P174" i="69"/>
  <c r="V174" i="69" s="1"/>
  <c r="AB174" i="69" s="1"/>
  <c r="AH174" i="69" s="1"/>
  <c r="AN174" i="69" s="1"/>
  <c r="AT174" i="69" s="1"/>
  <c r="AZ174" i="69" s="1"/>
  <c r="BF174" i="69" s="1"/>
  <c r="O174" i="69"/>
  <c r="L174" i="69"/>
  <c r="BE173" i="69"/>
  <c r="AY173" i="69"/>
  <c r="AS173" i="69"/>
  <c r="AM173" i="69"/>
  <c r="AG173" i="69"/>
  <c r="AA173" i="69"/>
  <c r="U173" i="69"/>
  <c r="Q173" i="69"/>
  <c r="W173" i="69" s="1"/>
  <c r="P173" i="69"/>
  <c r="V173" i="69" s="1"/>
  <c r="AB173" i="69" s="1"/>
  <c r="AH173" i="69" s="1"/>
  <c r="AN173" i="69" s="1"/>
  <c r="AT173" i="69" s="1"/>
  <c r="AZ173" i="69" s="1"/>
  <c r="BF173" i="69" s="1"/>
  <c r="O173" i="69"/>
  <c r="L173" i="69"/>
  <c r="BE172" i="69"/>
  <c r="AY172" i="69"/>
  <c r="AS172" i="69"/>
  <c r="AM172" i="69"/>
  <c r="AG172" i="69"/>
  <c r="AA172" i="69"/>
  <c r="U172" i="69"/>
  <c r="Q172" i="69"/>
  <c r="P172" i="69"/>
  <c r="V172" i="69" s="1"/>
  <c r="AB172" i="69" s="1"/>
  <c r="AH172" i="69" s="1"/>
  <c r="AN172" i="69" s="1"/>
  <c r="AT172" i="69" s="1"/>
  <c r="AZ172" i="69" s="1"/>
  <c r="BF172" i="69" s="1"/>
  <c r="O172" i="69"/>
  <c r="L172" i="69"/>
  <c r="BE171" i="69"/>
  <c r="AY171" i="69"/>
  <c r="AS171" i="69"/>
  <c r="AM171" i="69"/>
  <c r="AG171" i="69"/>
  <c r="AA171" i="69"/>
  <c r="U171" i="69"/>
  <c r="Q171" i="69"/>
  <c r="W171" i="69" s="1"/>
  <c r="AC171" i="69" s="1"/>
  <c r="AI171" i="69" s="1"/>
  <c r="AO171" i="69" s="1"/>
  <c r="P171" i="69"/>
  <c r="V171" i="69" s="1"/>
  <c r="AB171" i="69" s="1"/>
  <c r="O171" i="69"/>
  <c r="L171" i="69"/>
  <c r="BE170" i="69"/>
  <c r="AY170" i="69"/>
  <c r="AS170" i="69"/>
  <c r="AM170" i="69"/>
  <c r="AG170" i="69"/>
  <c r="AA170" i="69"/>
  <c r="U170" i="69"/>
  <c r="Q170" i="69"/>
  <c r="W170" i="69" s="1"/>
  <c r="P170" i="69"/>
  <c r="V170" i="69" s="1"/>
  <c r="AB170" i="69" s="1"/>
  <c r="AH170" i="69" s="1"/>
  <c r="AN170" i="69" s="1"/>
  <c r="AT170" i="69" s="1"/>
  <c r="AZ170" i="69" s="1"/>
  <c r="BF170" i="69" s="1"/>
  <c r="O170" i="69"/>
  <c r="L170" i="69"/>
  <c r="BE169" i="69"/>
  <c r="AY169" i="69"/>
  <c r="AS169" i="69"/>
  <c r="AM169" i="69"/>
  <c r="AG169" i="69"/>
  <c r="AA169" i="69"/>
  <c r="U169" i="69"/>
  <c r="Q169" i="69"/>
  <c r="P169" i="69"/>
  <c r="V169" i="69" s="1"/>
  <c r="AB169" i="69" s="1"/>
  <c r="AH169" i="69" s="1"/>
  <c r="AN169" i="69" s="1"/>
  <c r="AT169" i="69" s="1"/>
  <c r="AZ169" i="69" s="1"/>
  <c r="BF169" i="69" s="1"/>
  <c r="O169" i="69"/>
  <c r="L169" i="69"/>
  <c r="BE168" i="69"/>
  <c r="AY168" i="69"/>
  <c r="AS168" i="69"/>
  <c r="AM168" i="69"/>
  <c r="AG168" i="69"/>
  <c r="AA168" i="69"/>
  <c r="U168" i="69"/>
  <c r="Q168" i="69"/>
  <c r="P168" i="69"/>
  <c r="V168" i="69" s="1"/>
  <c r="AB168" i="69" s="1"/>
  <c r="AH168" i="69" s="1"/>
  <c r="AN168" i="69" s="1"/>
  <c r="AT168" i="69" s="1"/>
  <c r="AZ168" i="69" s="1"/>
  <c r="BF168" i="69" s="1"/>
  <c r="O168" i="69"/>
  <c r="L168" i="69"/>
  <c r="BE167" i="69"/>
  <c r="AY167" i="69"/>
  <c r="AS167" i="69"/>
  <c r="AM167" i="69"/>
  <c r="AG167" i="69"/>
  <c r="AA167" i="69"/>
  <c r="U167" i="69"/>
  <c r="Q167" i="69"/>
  <c r="W167" i="69" s="1"/>
  <c r="P167" i="69"/>
  <c r="V167" i="69" s="1"/>
  <c r="AB167" i="69" s="1"/>
  <c r="AH167" i="69" s="1"/>
  <c r="AN167" i="69" s="1"/>
  <c r="AT167" i="69" s="1"/>
  <c r="AZ167" i="69" s="1"/>
  <c r="BF167" i="69" s="1"/>
  <c r="O167" i="69"/>
  <c r="L167" i="69"/>
  <c r="BE166" i="69"/>
  <c r="AY166" i="69"/>
  <c r="AS166" i="69"/>
  <c r="AM166" i="69"/>
  <c r="AG166" i="69"/>
  <c r="AA166" i="69"/>
  <c r="U166" i="69"/>
  <c r="Q166" i="69"/>
  <c r="W166" i="69" s="1"/>
  <c r="P166" i="69"/>
  <c r="O166" i="69"/>
  <c r="L166" i="69"/>
  <c r="BE165" i="69"/>
  <c r="AY165" i="69"/>
  <c r="AS165" i="69"/>
  <c r="AM165" i="69"/>
  <c r="AG165" i="69"/>
  <c r="AA165" i="69"/>
  <c r="U165" i="69"/>
  <c r="Q165" i="69"/>
  <c r="W165" i="69" s="1"/>
  <c r="P165" i="69"/>
  <c r="V165" i="69" s="1"/>
  <c r="AB165" i="69" s="1"/>
  <c r="AH165" i="69" s="1"/>
  <c r="AN165" i="69" s="1"/>
  <c r="AT165" i="69" s="1"/>
  <c r="AZ165" i="69" s="1"/>
  <c r="BF165" i="69" s="1"/>
  <c r="O165" i="69"/>
  <c r="L165" i="69"/>
  <c r="BE164" i="69"/>
  <c r="AY164" i="69"/>
  <c r="AS164" i="69"/>
  <c r="AM164" i="69"/>
  <c r="AG164" i="69"/>
  <c r="AA164" i="69"/>
  <c r="U164" i="69"/>
  <c r="Q164" i="69"/>
  <c r="P164" i="69"/>
  <c r="V164" i="69" s="1"/>
  <c r="AB164" i="69" s="1"/>
  <c r="AH164" i="69" s="1"/>
  <c r="AN164" i="69" s="1"/>
  <c r="AT164" i="69" s="1"/>
  <c r="AZ164" i="69" s="1"/>
  <c r="BF164" i="69" s="1"/>
  <c r="O164" i="69"/>
  <c r="L164" i="69"/>
  <c r="BE163" i="69"/>
  <c r="AY163" i="69"/>
  <c r="AS163" i="69"/>
  <c r="AM163" i="69"/>
  <c r="AG163" i="69"/>
  <c r="AA163" i="69"/>
  <c r="U163" i="69"/>
  <c r="Q163" i="69"/>
  <c r="P163" i="69"/>
  <c r="V163" i="69" s="1"/>
  <c r="AB163" i="69" s="1"/>
  <c r="AH163" i="69" s="1"/>
  <c r="AN163" i="69" s="1"/>
  <c r="AT163" i="69" s="1"/>
  <c r="AZ163" i="69" s="1"/>
  <c r="BF163" i="69" s="1"/>
  <c r="O163" i="69"/>
  <c r="L163" i="69"/>
  <c r="BE162" i="69"/>
  <c r="AY162" i="69"/>
  <c r="AS162" i="69"/>
  <c r="AM162" i="69"/>
  <c r="AG162" i="69"/>
  <c r="AA162" i="69"/>
  <c r="U162" i="69"/>
  <c r="Q162" i="69"/>
  <c r="P162" i="69"/>
  <c r="V162" i="69" s="1"/>
  <c r="AB162" i="69" s="1"/>
  <c r="AH162" i="69" s="1"/>
  <c r="AN162" i="69" s="1"/>
  <c r="AT162" i="69" s="1"/>
  <c r="AZ162" i="69" s="1"/>
  <c r="BF162" i="69" s="1"/>
  <c r="O162" i="69"/>
  <c r="L162" i="69"/>
  <c r="BE161" i="69"/>
  <c r="AY161" i="69"/>
  <c r="AS161" i="69"/>
  <c r="AM161" i="69"/>
  <c r="AG161" i="69"/>
  <c r="AA161" i="69"/>
  <c r="U161" i="69"/>
  <c r="Q161" i="69"/>
  <c r="W161" i="69" s="1"/>
  <c r="AC161" i="69" s="1"/>
  <c r="P161" i="69"/>
  <c r="V161" i="69" s="1"/>
  <c r="AB161" i="69" s="1"/>
  <c r="AH161" i="69" s="1"/>
  <c r="AN161" i="69" s="1"/>
  <c r="AT161" i="69" s="1"/>
  <c r="AZ161" i="69" s="1"/>
  <c r="BF161" i="69" s="1"/>
  <c r="O161" i="69"/>
  <c r="L161" i="69"/>
  <c r="BE160" i="69"/>
  <c r="AY160" i="69"/>
  <c r="AS160" i="69"/>
  <c r="AM160" i="69"/>
  <c r="AG160" i="69"/>
  <c r="AA160" i="69"/>
  <c r="U160" i="69"/>
  <c r="Q160" i="69"/>
  <c r="W160" i="69" s="1"/>
  <c r="AC160" i="69" s="1"/>
  <c r="P160" i="69"/>
  <c r="O160" i="69"/>
  <c r="L160" i="69"/>
  <c r="BE159" i="69"/>
  <c r="AY159" i="69"/>
  <c r="AS159" i="69"/>
  <c r="AM159" i="69"/>
  <c r="AG159" i="69"/>
  <c r="AA159" i="69"/>
  <c r="U159" i="69"/>
  <c r="Q159" i="69"/>
  <c r="W159" i="69" s="1"/>
  <c r="AC159" i="69" s="1"/>
  <c r="P159" i="69"/>
  <c r="V159" i="69" s="1"/>
  <c r="AB159" i="69" s="1"/>
  <c r="AH159" i="69" s="1"/>
  <c r="AN159" i="69" s="1"/>
  <c r="AT159" i="69" s="1"/>
  <c r="AZ159" i="69" s="1"/>
  <c r="BF159" i="69" s="1"/>
  <c r="O159" i="69"/>
  <c r="L159" i="69"/>
  <c r="BE158" i="69"/>
  <c r="AY158" i="69"/>
  <c r="AS158" i="69"/>
  <c r="AM158" i="69"/>
  <c r="AG158" i="69"/>
  <c r="AA158" i="69"/>
  <c r="U158" i="69"/>
  <c r="Q158" i="69"/>
  <c r="P158" i="69"/>
  <c r="V158" i="69" s="1"/>
  <c r="AB158" i="69" s="1"/>
  <c r="AH158" i="69" s="1"/>
  <c r="AN158" i="69" s="1"/>
  <c r="AT158" i="69" s="1"/>
  <c r="AZ158" i="69" s="1"/>
  <c r="BF158" i="69" s="1"/>
  <c r="O158" i="69"/>
  <c r="L158" i="69"/>
  <c r="BE157" i="69"/>
  <c r="AY157" i="69"/>
  <c r="AS157" i="69"/>
  <c r="AM157" i="69"/>
  <c r="AG157" i="69"/>
  <c r="AA157" i="69"/>
  <c r="U157" i="69"/>
  <c r="Q157" i="69"/>
  <c r="W157" i="69" s="1"/>
  <c r="AC157" i="69" s="1"/>
  <c r="P157" i="69"/>
  <c r="V157" i="69" s="1"/>
  <c r="AB157" i="69" s="1"/>
  <c r="AH157" i="69" s="1"/>
  <c r="AN157" i="69" s="1"/>
  <c r="AT157" i="69" s="1"/>
  <c r="AZ157" i="69" s="1"/>
  <c r="BF157" i="69" s="1"/>
  <c r="O157" i="69"/>
  <c r="L157" i="69"/>
  <c r="BE156" i="69"/>
  <c r="AY156" i="69"/>
  <c r="AS156" i="69"/>
  <c r="AM156" i="69"/>
  <c r="AG156" i="69"/>
  <c r="AA156" i="69"/>
  <c r="U156" i="69"/>
  <c r="Q156" i="69"/>
  <c r="W156" i="69" s="1"/>
  <c r="P156" i="69"/>
  <c r="O156" i="69"/>
  <c r="L156" i="69"/>
  <c r="BE155" i="69"/>
  <c r="AY155" i="69"/>
  <c r="AS155" i="69"/>
  <c r="AM155" i="69"/>
  <c r="AG155" i="69"/>
  <c r="AA155" i="69"/>
  <c r="U155" i="69"/>
  <c r="Q155" i="69"/>
  <c r="W155" i="69" s="1"/>
  <c r="P155" i="69"/>
  <c r="V155" i="69" s="1"/>
  <c r="AB155" i="69" s="1"/>
  <c r="AH155" i="69" s="1"/>
  <c r="AN155" i="69" s="1"/>
  <c r="AT155" i="69" s="1"/>
  <c r="AZ155" i="69" s="1"/>
  <c r="BF155" i="69" s="1"/>
  <c r="O155" i="69"/>
  <c r="L155" i="69"/>
  <c r="BE154" i="69"/>
  <c r="AY154" i="69"/>
  <c r="AS154" i="69"/>
  <c r="AM154" i="69"/>
  <c r="AG154" i="69"/>
  <c r="AA154" i="69"/>
  <c r="U154" i="69"/>
  <c r="Q154" i="69"/>
  <c r="P154" i="69"/>
  <c r="V154" i="69" s="1"/>
  <c r="AB154" i="69" s="1"/>
  <c r="AH154" i="69" s="1"/>
  <c r="AN154" i="69" s="1"/>
  <c r="AT154" i="69" s="1"/>
  <c r="AZ154" i="69" s="1"/>
  <c r="BF154" i="69" s="1"/>
  <c r="O154" i="69"/>
  <c r="L154" i="69"/>
  <c r="BE153" i="69"/>
  <c r="AY153" i="69"/>
  <c r="AS153" i="69"/>
  <c r="AM153" i="69"/>
  <c r="AG153" i="69"/>
  <c r="AA153" i="69"/>
  <c r="V153" i="69"/>
  <c r="AB153" i="69" s="1"/>
  <c r="AH153" i="69" s="1"/>
  <c r="AN153" i="69" s="1"/>
  <c r="AT153" i="69" s="1"/>
  <c r="AZ153" i="69" s="1"/>
  <c r="BF153" i="69" s="1"/>
  <c r="U153" i="69"/>
  <c r="Q153" i="69"/>
  <c r="W153" i="69" s="1"/>
  <c r="AC153" i="69" s="1"/>
  <c r="P153" i="69"/>
  <c r="O153" i="69"/>
  <c r="L153" i="69"/>
  <c r="BE152" i="69"/>
  <c r="AY152" i="69"/>
  <c r="AS152" i="69"/>
  <c r="AM152" i="69"/>
  <c r="AG152" i="69"/>
  <c r="AA152" i="69"/>
  <c r="U152" i="69"/>
  <c r="Q152" i="69"/>
  <c r="W152" i="69" s="1"/>
  <c r="AC152" i="69" s="1"/>
  <c r="P152" i="69"/>
  <c r="O152" i="69"/>
  <c r="L152" i="69"/>
  <c r="BE151" i="69"/>
  <c r="AY151" i="69"/>
  <c r="AS151" i="69"/>
  <c r="AM151" i="69"/>
  <c r="AG151" i="69"/>
  <c r="AA151" i="69"/>
  <c r="U151" i="69"/>
  <c r="Q151" i="69"/>
  <c r="W151" i="69" s="1"/>
  <c r="AC151" i="69" s="1"/>
  <c r="P151" i="69"/>
  <c r="V151" i="69" s="1"/>
  <c r="AB151" i="69" s="1"/>
  <c r="AH151" i="69" s="1"/>
  <c r="AN151" i="69" s="1"/>
  <c r="AT151" i="69" s="1"/>
  <c r="AZ151" i="69" s="1"/>
  <c r="BF151" i="69" s="1"/>
  <c r="O151" i="69"/>
  <c r="L151" i="69"/>
  <c r="BE150" i="69"/>
  <c r="AY150" i="69"/>
  <c r="AS150" i="69"/>
  <c r="AM150" i="69"/>
  <c r="AG150" i="69"/>
  <c r="AA150" i="69"/>
  <c r="U150" i="69"/>
  <c r="Q150" i="69"/>
  <c r="W150" i="69" s="1"/>
  <c r="P150" i="69"/>
  <c r="V150" i="69" s="1"/>
  <c r="AB150" i="69" s="1"/>
  <c r="AH150" i="69" s="1"/>
  <c r="AN150" i="69" s="1"/>
  <c r="AT150" i="69" s="1"/>
  <c r="AZ150" i="69" s="1"/>
  <c r="BF150" i="69" s="1"/>
  <c r="O150" i="69"/>
  <c r="L150" i="69"/>
  <c r="BE149" i="69"/>
  <c r="AY149" i="69"/>
  <c r="AS149" i="69"/>
  <c r="AM149" i="69"/>
  <c r="AG149" i="69"/>
  <c r="AA149" i="69"/>
  <c r="U149" i="69"/>
  <c r="Q149" i="69"/>
  <c r="P149" i="69"/>
  <c r="V149" i="69" s="1"/>
  <c r="AB149" i="69" s="1"/>
  <c r="AH149" i="69" s="1"/>
  <c r="AN149" i="69" s="1"/>
  <c r="AT149" i="69" s="1"/>
  <c r="AZ149" i="69" s="1"/>
  <c r="BF149" i="69" s="1"/>
  <c r="O149" i="69"/>
  <c r="L149" i="69"/>
  <c r="BE148" i="69"/>
  <c r="AY148" i="69"/>
  <c r="AS148" i="69"/>
  <c r="AM148" i="69"/>
  <c r="AG148" i="69"/>
  <c r="AA148" i="69"/>
  <c r="U148" i="69"/>
  <c r="Q148" i="69"/>
  <c r="W148" i="69" s="1"/>
  <c r="AC148" i="69" s="1"/>
  <c r="AI148" i="69" s="1"/>
  <c r="P148" i="69"/>
  <c r="O148" i="69"/>
  <c r="L148" i="69"/>
  <c r="BE147" i="69"/>
  <c r="AY147" i="69"/>
  <c r="AS147" i="69"/>
  <c r="AM147" i="69"/>
  <c r="AG147" i="69"/>
  <c r="AA147" i="69"/>
  <c r="U147" i="69"/>
  <c r="Q147" i="69"/>
  <c r="W147" i="69" s="1"/>
  <c r="AC147" i="69" s="1"/>
  <c r="AI147" i="69" s="1"/>
  <c r="AO147" i="69" s="1"/>
  <c r="P147" i="69"/>
  <c r="V147" i="69" s="1"/>
  <c r="AB147" i="69" s="1"/>
  <c r="AH147" i="69" s="1"/>
  <c r="AN147" i="69" s="1"/>
  <c r="AT147" i="69" s="1"/>
  <c r="AZ147" i="69" s="1"/>
  <c r="BF147" i="69" s="1"/>
  <c r="O147" i="69"/>
  <c r="L147" i="69"/>
  <c r="BE146" i="69"/>
  <c r="AY146" i="69"/>
  <c r="AS146" i="69"/>
  <c r="AM146" i="69"/>
  <c r="AG146" i="69"/>
  <c r="AA146" i="69"/>
  <c r="U146" i="69"/>
  <c r="Q146" i="69"/>
  <c r="P146" i="69"/>
  <c r="V146" i="69" s="1"/>
  <c r="AB146" i="69" s="1"/>
  <c r="AH146" i="69" s="1"/>
  <c r="AN146" i="69" s="1"/>
  <c r="AT146" i="69" s="1"/>
  <c r="AZ146" i="69" s="1"/>
  <c r="BF146" i="69" s="1"/>
  <c r="O146" i="69"/>
  <c r="L146" i="69"/>
  <c r="BE145" i="69"/>
  <c r="AY145" i="69"/>
  <c r="AS145" i="69"/>
  <c r="AM145" i="69"/>
  <c r="AG145" i="69"/>
  <c r="AA145" i="69"/>
  <c r="U145" i="69"/>
  <c r="Q145" i="69"/>
  <c r="P145" i="69"/>
  <c r="V145" i="69" s="1"/>
  <c r="AB145" i="69" s="1"/>
  <c r="AH145" i="69" s="1"/>
  <c r="AN145" i="69" s="1"/>
  <c r="AT145" i="69" s="1"/>
  <c r="AZ145" i="69" s="1"/>
  <c r="BF145" i="69" s="1"/>
  <c r="O145" i="69"/>
  <c r="L145" i="69"/>
  <c r="BE144" i="69"/>
  <c r="AY144" i="69"/>
  <c r="AS144" i="69"/>
  <c r="AM144" i="69"/>
  <c r="AG144" i="69"/>
  <c r="AA144" i="69"/>
  <c r="U144" i="69"/>
  <c r="Q144" i="69"/>
  <c r="W144" i="69" s="1"/>
  <c r="AC144" i="69" s="1"/>
  <c r="P144" i="69"/>
  <c r="O144" i="69"/>
  <c r="L144" i="69"/>
  <c r="BE143" i="69"/>
  <c r="AY143" i="69"/>
  <c r="AS143" i="69"/>
  <c r="AM143" i="69"/>
  <c r="AG143" i="69"/>
  <c r="AA143" i="69"/>
  <c r="U143" i="69"/>
  <c r="Q143" i="69"/>
  <c r="P143" i="69"/>
  <c r="V143" i="69" s="1"/>
  <c r="AB143" i="69" s="1"/>
  <c r="AH143" i="69" s="1"/>
  <c r="AN143" i="69" s="1"/>
  <c r="AT143" i="69" s="1"/>
  <c r="AZ143" i="69" s="1"/>
  <c r="BF143" i="69" s="1"/>
  <c r="O143" i="69"/>
  <c r="L143" i="69"/>
  <c r="BE142" i="69"/>
  <c r="AY142" i="69"/>
  <c r="AS142" i="69"/>
  <c r="AM142" i="69"/>
  <c r="AG142" i="69"/>
  <c r="AA142" i="69"/>
  <c r="U142" i="69"/>
  <c r="Q142" i="69"/>
  <c r="P142" i="69"/>
  <c r="V142" i="69" s="1"/>
  <c r="AB142" i="69" s="1"/>
  <c r="AH142" i="69" s="1"/>
  <c r="AN142" i="69" s="1"/>
  <c r="AT142" i="69" s="1"/>
  <c r="AZ142" i="69" s="1"/>
  <c r="BF142" i="69" s="1"/>
  <c r="O142" i="69"/>
  <c r="L142" i="69"/>
  <c r="BE141" i="69"/>
  <c r="AY141" i="69"/>
  <c r="AS141" i="69"/>
  <c r="AM141" i="69"/>
  <c r="AG141" i="69"/>
  <c r="AA141" i="69"/>
  <c r="U141" i="69"/>
  <c r="Q141" i="69"/>
  <c r="P141" i="69"/>
  <c r="V141" i="69" s="1"/>
  <c r="AB141" i="69" s="1"/>
  <c r="AH141" i="69" s="1"/>
  <c r="AN141" i="69" s="1"/>
  <c r="AT141" i="69" s="1"/>
  <c r="AZ141" i="69" s="1"/>
  <c r="BF141" i="69" s="1"/>
  <c r="O141" i="69"/>
  <c r="L141" i="69"/>
  <c r="BE140" i="69"/>
  <c r="AY140" i="69"/>
  <c r="AS140" i="69"/>
  <c r="AM140" i="69"/>
  <c r="AG140" i="69"/>
  <c r="AA140" i="69"/>
  <c r="U140" i="69"/>
  <c r="Q140" i="69"/>
  <c r="W140" i="69" s="1"/>
  <c r="AC140" i="69" s="1"/>
  <c r="AI140" i="69" s="1"/>
  <c r="P140" i="69"/>
  <c r="R140" i="69" s="1"/>
  <c r="O140" i="69"/>
  <c r="L140" i="69"/>
  <c r="BE139" i="69"/>
  <c r="AY139" i="69"/>
  <c r="AS139" i="69"/>
  <c r="AM139" i="69"/>
  <c r="AG139" i="69"/>
  <c r="AA139" i="69"/>
  <c r="U139" i="69"/>
  <c r="Q139" i="69"/>
  <c r="P139" i="69"/>
  <c r="V139" i="69" s="1"/>
  <c r="AB139" i="69" s="1"/>
  <c r="AH139" i="69" s="1"/>
  <c r="AN139" i="69" s="1"/>
  <c r="AT139" i="69" s="1"/>
  <c r="AZ139" i="69" s="1"/>
  <c r="BF139" i="69" s="1"/>
  <c r="O139" i="69"/>
  <c r="L139" i="69"/>
  <c r="BE138" i="69"/>
  <c r="AY138" i="69"/>
  <c r="AS138" i="69"/>
  <c r="AM138" i="69"/>
  <c r="AG138" i="69"/>
  <c r="AA138" i="69"/>
  <c r="U138" i="69"/>
  <c r="Q138" i="69"/>
  <c r="P138" i="69"/>
  <c r="V138" i="69" s="1"/>
  <c r="AB138" i="69" s="1"/>
  <c r="AH138" i="69" s="1"/>
  <c r="AN138" i="69" s="1"/>
  <c r="O138" i="69"/>
  <c r="L138" i="69"/>
  <c r="BE137" i="69"/>
  <c r="AY137" i="69"/>
  <c r="AS137" i="69"/>
  <c r="AM137" i="69"/>
  <c r="AG137" i="69"/>
  <c r="AA137" i="69"/>
  <c r="U137" i="69"/>
  <c r="Q137" i="69"/>
  <c r="W137" i="69" s="1"/>
  <c r="AC137" i="69" s="1"/>
  <c r="P137" i="69"/>
  <c r="V137" i="69" s="1"/>
  <c r="O137" i="69"/>
  <c r="L137" i="69"/>
  <c r="BE136" i="69"/>
  <c r="AY136" i="69"/>
  <c r="AS136" i="69"/>
  <c r="AM136" i="69"/>
  <c r="AG136" i="69"/>
  <c r="AA136" i="69"/>
  <c r="U136" i="69"/>
  <c r="P136" i="69"/>
  <c r="V136" i="69" s="1"/>
  <c r="AB136" i="69" s="1"/>
  <c r="AH136" i="69" s="1"/>
  <c r="AN136" i="69" s="1"/>
  <c r="AT136" i="69" s="1"/>
  <c r="AZ136" i="69" s="1"/>
  <c r="BF136" i="69" s="1"/>
  <c r="O136" i="69"/>
  <c r="K136" i="69"/>
  <c r="BE135" i="69"/>
  <c r="AY135" i="69"/>
  <c r="AS135" i="69"/>
  <c r="AM135" i="69"/>
  <c r="AG135" i="69"/>
  <c r="AA135" i="69"/>
  <c r="U135" i="69"/>
  <c r="Q135" i="69"/>
  <c r="W135" i="69" s="1"/>
  <c r="P135" i="69"/>
  <c r="V135" i="69" s="1"/>
  <c r="AB135" i="69" s="1"/>
  <c r="AH135" i="69" s="1"/>
  <c r="AN135" i="69" s="1"/>
  <c r="AT135" i="69" s="1"/>
  <c r="AZ135" i="69" s="1"/>
  <c r="BF135" i="69" s="1"/>
  <c r="O135" i="69"/>
  <c r="L135" i="69"/>
  <c r="BE134" i="69"/>
  <c r="AY134" i="69"/>
  <c r="AS134" i="69"/>
  <c r="AM134" i="69"/>
  <c r="AG134" i="69"/>
  <c r="AA134" i="69"/>
  <c r="U134" i="69"/>
  <c r="Q134" i="69"/>
  <c r="W134" i="69" s="1"/>
  <c r="AC134" i="69" s="1"/>
  <c r="P134" i="69"/>
  <c r="V134" i="69" s="1"/>
  <c r="AB134" i="69" s="1"/>
  <c r="AH134" i="69" s="1"/>
  <c r="AN134" i="69" s="1"/>
  <c r="AT134" i="69" s="1"/>
  <c r="AZ134" i="69" s="1"/>
  <c r="BF134" i="69" s="1"/>
  <c r="O134" i="69"/>
  <c r="L134" i="69"/>
  <c r="BE133" i="69"/>
  <c r="AY133" i="69"/>
  <c r="AS133" i="69"/>
  <c r="AM133" i="69"/>
  <c r="AG133" i="69"/>
  <c r="AA133" i="69"/>
  <c r="U133" i="69"/>
  <c r="Q133" i="69"/>
  <c r="P133" i="69"/>
  <c r="V133" i="69" s="1"/>
  <c r="AB133" i="69" s="1"/>
  <c r="AH133" i="69" s="1"/>
  <c r="AN133" i="69" s="1"/>
  <c r="AT133" i="69" s="1"/>
  <c r="AZ133" i="69" s="1"/>
  <c r="BF133" i="69" s="1"/>
  <c r="O133" i="69"/>
  <c r="L133" i="69"/>
  <c r="BE132" i="69"/>
  <c r="AY132" i="69"/>
  <c r="AS132" i="69"/>
  <c r="AM132" i="69"/>
  <c r="AG132" i="69"/>
  <c r="AA132" i="69"/>
  <c r="U132" i="69"/>
  <c r="Q132" i="69"/>
  <c r="W132" i="69" s="1"/>
  <c r="AC132" i="69" s="1"/>
  <c r="AI132" i="69" s="1"/>
  <c r="AO132" i="69" s="1"/>
  <c r="P132" i="69"/>
  <c r="V132" i="69" s="1"/>
  <c r="AB132" i="69" s="1"/>
  <c r="AH132" i="69" s="1"/>
  <c r="AN132" i="69" s="1"/>
  <c r="AT132" i="69" s="1"/>
  <c r="AZ132" i="69" s="1"/>
  <c r="BF132" i="69" s="1"/>
  <c r="O132" i="69"/>
  <c r="L132" i="69"/>
  <c r="BE131" i="69"/>
  <c r="AY131" i="69"/>
  <c r="AS131" i="69"/>
  <c r="AM131" i="69"/>
  <c r="AG131" i="69"/>
  <c r="AA131" i="69"/>
  <c r="U131" i="69"/>
  <c r="Q131" i="69"/>
  <c r="R131" i="69" s="1"/>
  <c r="P131" i="69"/>
  <c r="V131" i="69" s="1"/>
  <c r="AB131" i="69" s="1"/>
  <c r="AH131" i="69" s="1"/>
  <c r="AN131" i="69" s="1"/>
  <c r="AT131" i="69" s="1"/>
  <c r="AZ131" i="69" s="1"/>
  <c r="BF131" i="69" s="1"/>
  <c r="O131" i="69"/>
  <c r="L131" i="69"/>
  <c r="BE130" i="69"/>
  <c r="AY130" i="69"/>
  <c r="AS130" i="69"/>
  <c r="AM130" i="69"/>
  <c r="AG130" i="69"/>
  <c r="AA130" i="69"/>
  <c r="U130" i="69"/>
  <c r="Q130" i="69"/>
  <c r="P130" i="69"/>
  <c r="V130" i="69" s="1"/>
  <c r="AB130" i="69" s="1"/>
  <c r="AH130" i="69" s="1"/>
  <c r="AN130" i="69" s="1"/>
  <c r="AT130" i="69" s="1"/>
  <c r="AZ130" i="69" s="1"/>
  <c r="BF130" i="69" s="1"/>
  <c r="O130" i="69"/>
  <c r="L130" i="69"/>
  <c r="BE129" i="69"/>
  <c r="AY129" i="69"/>
  <c r="AS129" i="69"/>
  <c r="AM129" i="69"/>
  <c r="AG129" i="69"/>
  <c r="AA129" i="69"/>
  <c r="U129" i="69"/>
  <c r="Q129" i="69"/>
  <c r="P129" i="69"/>
  <c r="V129" i="69" s="1"/>
  <c r="AB129" i="69" s="1"/>
  <c r="AH129" i="69" s="1"/>
  <c r="AN129" i="69" s="1"/>
  <c r="AT129" i="69" s="1"/>
  <c r="AZ129" i="69" s="1"/>
  <c r="BF129" i="69" s="1"/>
  <c r="O129" i="69"/>
  <c r="L129" i="69"/>
  <c r="BE128" i="69"/>
  <c r="AY128" i="69"/>
  <c r="AS128" i="69"/>
  <c r="AM128" i="69"/>
  <c r="AG128" i="69"/>
  <c r="AA128" i="69"/>
  <c r="U128" i="69"/>
  <c r="P128" i="69"/>
  <c r="V128" i="69" s="1"/>
  <c r="AB128" i="69" s="1"/>
  <c r="AH128" i="69" s="1"/>
  <c r="AN128" i="69" s="1"/>
  <c r="AT128" i="69" s="1"/>
  <c r="AZ128" i="69" s="1"/>
  <c r="BF128" i="69" s="1"/>
  <c r="N128" i="69"/>
  <c r="N190" i="69" s="1"/>
  <c r="L128" i="69"/>
  <c r="BE127" i="69"/>
  <c r="AY127" i="69"/>
  <c r="AS127" i="69"/>
  <c r="AM127" i="69"/>
  <c r="AG127" i="69"/>
  <c r="AA127" i="69"/>
  <c r="U127" i="69"/>
  <c r="Q127" i="69"/>
  <c r="W127" i="69" s="1"/>
  <c r="AC127" i="69" s="1"/>
  <c r="P127" i="69"/>
  <c r="V127" i="69" s="1"/>
  <c r="AB127" i="69" s="1"/>
  <c r="AH127" i="69" s="1"/>
  <c r="AN127" i="69" s="1"/>
  <c r="AT127" i="69" s="1"/>
  <c r="AZ127" i="69" s="1"/>
  <c r="BF127" i="69" s="1"/>
  <c r="O127" i="69"/>
  <c r="L127" i="69"/>
  <c r="BE126" i="69"/>
  <c r="AY126" i="69"/>
  <c r="AS126" i="69"/>
  <c r="AM126" i="69"/>
  <c r="AG126" i="69"/>
  <c r="AA126" i="69"/>
  <c r="U126" i="69"/>
  <c r="Q126" i="69"/>
  <c r="W126" i="69" s="1"/>
  <c r="AC126" i="69" s="1"/>
  <c r="AI126" i="69" s="1"/>
  <c r="AO126" i="69" s="1"/>
  <c r="AU126" i="69" s="1"/>
  <c r="BA126" i="69" s="1"/>
  <c r="BG126" i="69" s="1"/>
  <c r="BM126" i="69" s="1"/>
  <c r="P126" i="69"/>
  <c r="V126" i="69" s="1"/>
  <c r="O126" i="69"/>
  <c r="L126" i="69"/>
  <c r="BE125" i="69"/>
  <c r="AY125" i="69"/>
  <c r="AS125" i="69"/>
  <c r="AM125" i="69"/>
  <c r="AG125" i="69"/>
  <c r="AA125" i="69"/>
  <c r="U125" i="69"/>
  <c r="Q125" i="69"/>
  <c r="W125" i="69" s="1"/>
  <c r="P125" i="69"/>
  <c r="V125" i="69" s="1"/>
  <c r="AB125" i="69" s="1"/>
  <c r="AH125" i="69" s="1"/>
  <c r="AN125" i="69" s="1"/>
  <c r="AT125" i="69" s="1"/>
  <c r="AZ125" i="69" s="1"/>
  <c r="BF125" i="69" s="1"/>
  <c r="O125" i="69"/>
  <c r="L125" i="69"/>
  <c r="BE124" i="69"/>
  <c r="AY124" i="69"/>
  <c r="AS124" i="69"/>
  <c r="AM124" i="69"/>
  <c r="AG124" i="69"/>
  <c r="AA124" i="69"/>
  <c r="U124" i="69"/>
  <c r="Q124" i="69"/>
  <c r="W124" i="69" s="1"/>
  <c r="P124" i="69"/>
  <c r="V124" i="69" s="1"/>
  <c r="AB124" i="69" s="1"/>
  <c r="AH124" i="69" s="1"/>
  <c r="AN124" i="69" s="1"/>
  <c r="AT124" i="69" s="1"/>
  <c r="AZ124" i="69" s="1"/>
  <c r="BF124" i="69" s="1"/>
  <c r="O124" i="69"/>
  <c r="L124" i="69"/>
  <c r="BE123" i="69"/>
  <c r="AY123" i="69"/>
  <c r="AS123" i="69"/>
  <c r="AM123" i="69"/>
  <c r="AG123" i="69"/>
  <c r="AA123" i="69"/>
  <c r="U123" i="69"/>
  <c r="Q123" i="69"/>
  <c r="W123" i="69" s="1"/>
  <c r="P123" i="69"/>
  <c r="V123" i="69" s="1"/>
  <c r="AB123" i="69" s="1"/>
  <c r="AH123" i="69" s="1"/>
  <c r="AN123" i="69" s="1"/>
  <c r="AT123" i="69" s="1"/>
  <c r="AZ123" i="69" s="1"/>
  <c r="BF123" i="69" s="1"/>
  <c r="O123" i="69"/>
  <c r="L123" i="69"/>
  <c r="BE122" i="69"/>
  <c r="AY122" i="69"/>
  <c r="AS122" i="69"/>
  <c r="AM122" i="69"/>
  <c r="AG122" i="69"/>
  <c r="AA122" i="69"/>
  <c r="U122" i="69"/>
  <c r="Q122" i="69"/>
  <c r="P122" i="69"/>
  <c r="V122" i="69" s="1"/>
  <c r="AB122" i="69" s="1"/>
  <c r="AH122" i="69" s="1"/>
  <c r="AN122" i="69" s="1"/>
  <c r="AT122" i="69" s="1"/>
  <c r="AZ122" i="69" s="1"/>
  <c r="BF122" i="69" s="1"/>
  <c r="O122" i="69"/>
  <c r="L122" i="69"/>
  <c r="BE121" i="69"/>
  <c r="AY121" i="69"/>
  <c r="AS121" i="69"/>
  <c r="AL121" i="69"/>
  <c r="AM121" i="69" s="1"/>
  <c r="AG121" i="69"/>
  <c r="AA121" i="69"/>
  <c r="U121" i="69"/>
  <c r="Q121" i="69"/>
  <c r="W121" i="69" s="1"/>
  <c r="P121" i="69"/>
  <c r="V121" i="69" s="1"/>
  <c r="AB121" i="69" s="1"/>
  <c r="AH121" i="69" s="1"/>
  <c r="AN121" i="69" s="1"/>
  <c r="AT121" i="69" s="1"/>
  <c r="AZ121" i="69" s="1"/>
  <c r="BF121" i="69" s="1"/>
  <c r="O121" i="69"/>
  <c r="L121" i="69"/>
  <c r="BE120" i="69"/>
  <c r="AY120" i="69"/>
  <c r="AS120" i="69"/>
  <c r="AM120" i="69"/>
  <c r="AG120" i="69"/>
  <c r="AA120" i="69"/>
  <c r="U120" i="69"/>
  <c r="Q120" i="69"/>
  <c r="P120" i="69"/>
  <c r="V120" i="69" s="1"/>
  <c r="AB120" i="69" s="1"/>
  <c r="AH120" i="69" s="1"/>
  <c r="AN120" i="69" s="1"/>
  <c r="AT120" i="69" s="1"/>
  <c r="AZ120" i="69" s="1"/>
  <c r="BF120" i="69" s="1"/>
  <c r="O120" i="69"/>
  <c r="L120" i="69"/>
  <c r="BE119" i="69"/>
  <c r="AY119" i="69"/>
  <c r="AS119" i="69"/>
  <c r="AM119" i="69"/>
  <c r="AG119" i="69"/>
  <c r="AA119" i="69"/>
  <c r="U119" i="69"/>
  <c r="Q119" i="69"/>
  <c r="P119" i="69"/>
  <c r="V119" i="69" s="1"/>
  <c r="AB119" i="69" s="1"/>
  <c r="O119" i="69"/>
  <c r="L119" i="69"/>
  <c r="BE118" i="69"/>
  <c r="AY118" i="69"/>
  <c r="AS118" i="69"/>
  <c r="AL118" i="69"/>
  <c r="AG118" i="69"/>
  <c r="AA118" i="69"/>
  <c r="T118" i="69"/>
  <c r="T190" i="69" s="1"/>
  <c r="Q118" i="69"/>
  <c r="P118" i="69"/>
  <c r="V118" i="69" s="1"/>
  <c r="AB118" i="69" s="1"/>
  <c r="AH118" i="69" s="1"/>
  <c r="AN118" i="69" s="1"/>
  <c r="AT118" i="69" s="1"/>
  <c r="AZ118" i="69" s="1"/>
  <c r="BF118" i="69" s="1"/>
  <c r="O118" i="69"/>
  <c r="L118" i="69"/>
  <c r="BE117" i="69"/>
  <c r="AY117" i="69"/>
  <c r="AS117" i="69"/>
  <c r="AM117" i="69"/>
  <c r="AG117" i="69"/>
  <c r="AA117" i="69"/>
  <c r="U117" i="69"/>
  <c r="Q117" i="69"/>
  <c r="W117" i="69" s="1"/>
  <c r="AC117" i="69" s="1"/>
  <c r="P117" i="69"/>
  <c r="V117" i="69" s="1"/>
  <c r="AB117" i="69" s="1"/>
  <c r="AH117" i="69" s="1"/>
  <c r="AN117" i="69" s="1"/>
  <c r="AT117" i="69" s="1"/>
  <c r="AZ117" i="69" s="1"/>
  <c r="BF117" i="69" s="1"/>
  <c r="O117" i="69"/>
  <c r="L117" i="69"/>
  <c r="BE116" i="69"/>
  <c r="AY116" i="69"/>
  <c r="AS116" i="69"/>
  <c r="AL116" i="69"/>
  <c r="AG116" i="69"/>
  <c r="AA116" i="69"/>
  <c r="U116" i="69"/>
  <c r="Q116" i="69"/>
  <c r="W116" i="69" s="1"/>
  <c r="AC116" i="69" s="1"/>
  <c r="P116" i="69"/>
  <c r="V116" i="69" s="1"/>
  <c r="AB116" i="69" s="1"/>
  <c r="AH116" i="69" s="1"/>
  <c r="AN116" i="69" s="1"/>
  <c r="AT116" i="69" s="1"/>
  <c r="AZ116" i="69" s="1"/>
  <c r="BF116" i="69" s="1"/>
  <c r="O116" i="69"/>
  <c r="L116" i="69"/>
  <c r="BD115" i="69"/>
  <c r="BD190" i="69" s="1"/>
  <c r="AX115" i="69"/>
  <c r="AX190" i="69" s="1"/>
  <c r="AS115" i="69"/>
  <c r="AL115" i="69"/>
  <c r="AM115" i="69" s="1"/>
  <c r="AG115" i="69"/>
  <c r="AA115" i="69"/>
  <c r="U115" i="69"/>
  <c r="Q115" i="69"/>
  <c r="P115" i="69"/>
  <c r="V115" i="69" s="1"/>
  <c r="O115" i="69"/>
  <c r="L115" i="69"/>
  <c r="BE114" i="69"/>
  <c r="AY114" i="69"/>
  <c r="AS114" i="69"/>
  <c r="AM114" i="69"/>
  <c r="AG114" i="69"/>
  <c r="AA114" i="69"/>
  <c r="U114" i="69"/>
  <c r="Q114" i="69"/>
  <c r="W114" i="69" s="1"/>
  <c r="P114" i="69"/>
  <c r="V114" i="69" s="1"/>
  <c r="O114" i="69"/>
  <c r="L114" i="69"/>
  <c r="BC110" i="69"/>
  <c r="AX110" i="69"/>
  <c r="AW110" i="69"/>
  <c r="AR110" i="69"/>
  <c r="AS110" i="69" s="1"/>
  <c r="AQ110" i="69"/>
  <c r="AL110" i="69"/>
  <c r="AK110" i="69"/>
  <c r="AE110" i="69"/>
  <c r="Y110" i="69"/>
  <c r="S110" i="69"/>
  <c r="M110" i="69"/>
  <c r="J110" i="69"/>
  <c r="I110" i="69"/>
  <c r="BE109" i="69"/>
  <c r="AY109" i="69"/>
  <c r="AU109" i="69"/>
  <c r="AT109" i="69"/>
  <c r="AZ109" i="69" s="1"/>
  <c r="BF109" i="69" s="1"/>
  <c r="AS109" i="69"/>
  <c r="BG108" i="69"/>
  <c r="BM108" i="69" s="1"/>
  <c r="BF108" i="69"/>
  <c r="BE108" i="69"/>
  <c r="BE107" i="69"/>
  <c r="AY107" i="69"/>
  <c r="AS107" i="69"/>
  <c r="AM107" i="69"/>
  <c r="AG107" i="69"/>
  <c r="AC107" i="69"/>
  <c r="AI107" i="69" s="1"/>
  <c r="AB107" i="69"/>
  <c r="AH107" i="69" s="1"/>
  <c r="AN107" i="69" s="1"/>
  <c r="AT107" i="69" s="1"/>
  <c r="AZ107" i="69" s="1"/>
  <c r="BF107" i="69" s="1"/>
  <c r="AA107" i="69"/>
  <c r="BE106" i="69"/>
  <c r="AY106" i="69"/>
  <c r="AS106" i="69"/>
  <c r="AM106" i="69"/>
  <c r="AG106" i="69"/>
  <c r="AA106" i="69"/>
  <c r="U106" i="69"/>
  <c r="Q106" i="69"/>
  <c r="W106" i="69" s="1"/>
  <c r="P106" i="69"/>
  <c r="O106" i="69"/>
  <c r="L106" i="69"/>
  <c r="BE105" i="69"/>
  <c r="AY105" i="69"/>
  <c r="AS105" i="69"/>
  <c r="AM105" i="69"/>
  <c r="AI105" i="69"/>
  <c r="AO105" i="69" s="1"/>
  <c r="AH105" i="69"/>
  <c r="AN105" i="69" s="1"/>
  <c r="AT105" i="69" s="1"/>
  <c r="AZ105" i="69" s="1"/>
  <c r="BF105" i="69" s="1"/>
  <c r="AG105" i="69"/>
  <c r="BE104" i="69"/>
  <c r="AY104" i="69"/>
  <c r="AS104" i="69"/>
  <c r="AM104" i="69"/>
  <c r="AI104" i="69"/>
  <c r="AJ104" i="69" s="1"/>
  <c r="AH104" i="69"/>
  <c r="AN104" i="69" s="1"/>
  <c r="AT104" i="69" s="1"/>
  <c r="AZ104" i="69" s="1"/>
  <c r="BF104" i="69" s="1"/>
  <c r="AG104" i="69"/>
  <c r="BE103" i="69"/>
  <c r="AY103" i="69"/>
  <c r="AS103" i="69"/>
  <c r="AM103" i="69"/>
  <c r="AG103" i="69"/>
  <c r="AA103" i="69"/>
  <c r="U103" i="69"/>
  <c r="Q103" i="69"/>
  <c r="W103" i="69" s="1"/>
  <c r="AC103" i="69" s="1"/>
  <c r="P103" i="69"/>
  <c r="V103" i="69" s="1"/>
  <c r="AB103" i="69" s="1"/>
  <c r="AH103" i="69" s="1"/>
  <c r="AN103" i="69" s="1"/>
  <c r="AT103" i="69" s="1"/>
  <c r="AZ103" i="69" s="1"/>
  <c r="BF103" i="69" s="1"/>
  <c r="O103" i="69"/>
  <c r="L103" i="69"/>
  <c r="BE102" i="69"/>
  <c r="AY102" i="69"/>
  <c r="AS102" i="69"/>
  <c r="AM102" i="69"/>
  <c r="AG102" i="69"/>
  <c r="AA102" i="69"/>
  <c r="U102" i="69"/>
  <c r="Q102" i="69"/>
  <c r="W102" i="69" s="1"/>
  <c r="P102" i="69"/>
  <c r="V102" i="69" s="1"/>
  <c r="AB102" i="69" s="1"/>
  <c r="AH102" i="69" s="1"/>
  <c r="AN102" i="69" s="1"/>
  <c r="O102" i="69"/>
  <c r="L102" i="69"/>
  <c r="BE101" i="69"/>
  <c r="AY101" i="69"/>
  <c r="AS101" i="69"/>
  <c r="AM101" i="69"/>
  <c r="AG101" i="69"/>
  <c r="AA101" i="69"/>
  <c r="U101" i="69"/>
  <c r="Q101" i="69"/>
  <c r="W101" i="69" s="1"/>
  <c r="P101" i="69"/>
  <c r="O101" i="69"/>
  <c r="L101" i="69"/>
  <c r="BE100" i="69"/>
  <c r="AY100" i="69"/>
  <c r="AS100" i="69"/>
  <c r="AM100" i="69"/>
  <c r="AG100" i="69"/>
  <c r="AA100" i="69"/>
  <c r="U100" i="69"/>
  <c r="Q100" i="69"/>
  <c r="W100" i="69" s="1"/>
  <c r="AC100" i="69" s="1"/>
  <c r="P100" i="69"/>
  <c r="V100" i="69" s="1"/>
  <c r="AB100" i="69" s="1"/>
  <c r="AH100" i="69" s="1"/>
  <c r="AN100" i="69" s="1"/>
  <c r="AT100" i="69" s="1"/>
  <c r="AZ100" i="69" s="1"/>
  <c r="BF100" i="69" s="1"/>
  <c r="O100" i="69"/>
  <c r="L100" i="69"/>
  <c r="BE99" i="69"/>
  <c r="AY99" i="69"/>
  <c r="AS99" i="69"/>
  <c r="AM99" i="69"/>
  <c r="AG99" i="69"/>
  <c r="AA99" i="69"/>
  <c r="U99" i="69"/>
  <c r="Q99" i="69"/>
  <c r="W99" i="69" s="1"/>
  <c r="AC99" i="69" s="1"/>
  <c r="P99" i="69"/>
  <c r="V99" i="69" s="1"/>
  <c r="AB99" i="69" s="1"/>
  <c r="AH99" i="69" s="1"/>
  <c r="AN99" i="69" s="1"/>
  <c r="AT99" i="69" s="1"/>
  <c r="AZ99" i="69" s="1"/>
  <c r="BF99" i="69" s="1"/>
  <c r="O99" i="69"/>
  <c r="L99" i="69"/>
  <c r="BE98" i="69"/>
  <c r="AY98" i="69"/>
  <c r="AS98" i="69"/>
  <c r="AM98" i="69"/>
  <c r="AG98" i="69"/>
  <c r="AA98" i="69"/>
  <c r="U98" i="69"/>
  <c r="Q98" i="69"/>
  <c r="W98" i="69" s="1"/>
  <c r="AC98" i="69" s="1"/>
  <c r="AI98" i="69" s="1"/>
  <c r="P98" i="69"/>
  <c r="V98" i="69" s="1"/>
  <c r="AB98" i="69" s="1"/>
  <c r="O98" i="69"/>
  <c r="L98" i="69"/>
  <c r="BE97" i="69"/>
  <c r="AY97" i="69"/>
  <c r="AS97" i="69"/>
  <c r="AM97" i="69"/>
  <c r="AG97" i="69"/>
  <c r="AA97" i="69"/>
  <c r="U97" i="69"/>
  <c r="Q97" i="69"/>
  <c r="W97" i="69" s="1"/>
  <c r="P97" i="69"/>
  <c r="V97" i="69" s="1"/>
  <c r="AB97" i="69" s="1"/>
  <c r="AH97" i="69" s="1"/>
  <c r="AN97" i="69" s="1"/>
  <c r="AT97" i="69" s="1"/>
  <c r="AZ97" i="69" s="1"/>
  <c r="BF97" i="69" s="1"/>
  <c r="O97" i="69"/>
  <c r="L97" i="69"/>
  <c r="BE96" i="69"/>
  <c r="AY96" i="69"/>
  <c r="AS96" i="69"/>
  <c r="AM96" i="69"/>
  <c r="AG96" i="69"/>
  <c r="AA96" i="69"/>
  <c r="U96" i="69"/>
  <c r="Q96" i="69"/>
  <c r="P96" i="69"/>
  <c r="V96" i="69" s="1"/>
  <c r="AB96" i="69" s="1"/>
  <c r="AH96" i="69" s="1"/>
  <c r="AN96" i="69" s="1"/>
  <c r="AT96" i="69" s="1"/>
  <c r="AZ96" i="69" s="1"/>
  <c r="BF96" i="69" s="1"/>
  <c r="O96" i="69"/>
  <c r="L96" i="69"/>
  <c r="BE95" i="69"/>
  <c r="AY95" i="69"/>
  <c r="AS95" i="69"/>
  <c r="AM95" i="69"/>
  <c r="AG95" i="69"/>
  <c r="AA95" i="69"/>
  <c r="U95" i="69"/>
  <c r="Q95" i="69"/>
  <c r="P95" i="69"/>
  <c r="V95" i="69" s="1"/>
  <c r="O95" i="69"/>
  <c r="L95" i="69"/>
  <c r="BE94" i="69"/>
  <c r="AY94" i="69"/>
  <c r="AS94" i="69"/>
  <c r="AM94" i="69"/>
  <c r="AG94" i="69"/>
  <c r="AA94" i="69"/>
  <c r="U94" i="69"/>
  <c r="Q94" i="69"/>
  <c r="W94" i="69" s="1"/>
  <c r="P94" i="69"/>
  <c r="V94" i="69" s="1"/>
  <c r="AB94" i="69" s="1"/>
  <c r="AH94" i="69" s="1"/>
  <c r="AN94" i="69" s="1"/>
  <c r="AT94" i="69" s="1"/>
  <c r="AZ94" i="69" s="1"/>
  <c r="BF94" i="69" s="1"/>
  <c r="O94" i="69"/>
  <c r="L94" i="69"/>
  <c r="BE93" i="69"/>
  <c r="AY93" i="69"/>
  <c r="AS93" i="69"/>
  <c r="AM93" i="69"/>
  <c r="AG93" i="69"/>
  <c r="AA93" i="69"/>
  <c r="U93" i="69"/>
  <c r="Q93" i="69"/>
  <c r="W93" i="69" s="1"/>
  <c r="P93" i="69"/>
  <c r="O93" i="69"/>
  <c r="L93" i="69"/>
  <c r="BE92" i="69"/>
  <c r="AY92" i="69"/>
  <c r="AS92" i="69"/>
  <c r="AM92" i="69"/>
  <c r="AG92" i="69"/>
  <c r="AA92" i="69"/>
  <c r="U92" i="69"/>
  <c r="Q92" i="69"/>
  <c r="P92" i="69"/>
  <c r="V92" i="69" s="1"/>
  <c r="AB92" i="69" s="1"/>
  <c r="AH92" i="69" s="1"/>
  <c r="AN92" i="69" s="1"/>
  <c r="AT92" i="69" s="1"/>
  <c r="AZ92" i="69" s="1"/>
  <c r="BF92" i="69" s="1"/>
  <c r="O92" i="69"/>
  <c r="L92" i="69"/>
  <c r="BE91" i="69"/>
  <c r="AY91" i="69"/>
  <c r="AS91" i="69"/>
  <c r="AM91" i="69"/>
  <c r="AG91" i="69"/>
  <c r="AA91" i="69"/>
  <c r="U91" i="69"/>
  <c r="Q91" i="69"/>
  <c r="P91" i="69"/>
  <c r="V91" i="69" s="1"/>
  <c r="O91" i="69"/>
  <c r="L91" i="69"/>
  <c r="BE90" i="69"/>
  <c r="AY90" i="69"/>
  <c r="AS90" i="69"/>
  <c r="AM90" i="69"/>
  <c r="AG90" i="69"/>
  <c r="AA90" i="69"/>
  <c r="U90" i="69"/>
  <c r="Q90" i="69"/>
  <c r="W90" i="69" s="1"/>
  <c r="AC90" i="69" s="1"/>
  <c r="P90" i="69"/>
  <c r="V90" i="69" s="1"/>
  <c r="AB90" i="69" s="1"/>
  <c r="AH90" i="69" s="1"/>
  <c r="AN90" i="69" s="1"/>
  <c r="AT90" i="69" s="1"/>
  <c r="AZ90" i="69" s="1"/>
  <c r="BF90" i="69" s="1"/>
  <c r="O90" i="69"/>
  <c r="L90" i="69"/>
  <c r="BE89" i="69"/>
  <c r="AY89" i="69"/>
  <c r="AS89" i="69"/>
  <c r="AM89" i="69"/>
  <c r="AG89" i="69"/>
  <c r="AA89" i="69"/>
  <c r="U89" i="69"/>
  <c r="P89" i="69"/>
  <c r="V89" i="69" s="1"/>
  <c r="AB89" i="69" s="1"/>
  <c r="AH89" i="69" s="1"/>
  <c r="AN89" i="69" s="1"/>
  <c r="AT89" i="69" s="1"/>
  <c r="AZ89" i="69" s="1"/>
  <c r="BF89" i="69" s="1"/>
  <c r="N89" i="69"/>
  <c r="O89" i="69" s="1"/>
  <c r="L89" i="69"/>
  <c r="BE88" i="69"/>
  <c r="AY88" i="69"/>
  <c r="AS88" i="69"/>
  <c r="AM88" i="69"/>
  <c r="AG88" i="69"/>
  <c r="AA88" i="69"/>
  <c r="T88" i="69"/>
  <c r="U88" i="69" s="1"/>
  <c r="P88" i="69"/>
  <c r="V88" i="69" s="1"/>
  <c r="AB88" i="69" s="1"/>
  <c r="AH88" i="69" s="1"/>
  <c r="AN88" i="69" s="1"/>
  <c r="AT88" i="69" s="1"/>
  <c r="AZ88" i="69" s="1"/>
  <c r="BF88" i="69" s="1"/>
  <c r="O88" i="69"/>
  <c r="K88" i="69"/>
  <c r="Q88" i="69" s="1"/>
  <c r="BE87" i="69"/>
  <c r="AY87" i="69"/>
  <c r="AS87" i="69"/>
  <c r="AM87" i="69"/>
  <c r="AG87" i="69"/>
  <c r="AA87" i="69"/>
  <c r="U87" i="69"/>
  <c r="Q87" i="69"/>
  <c r="W87" i="69" s="1"/>
  <c r="P87" i="69"/>
  <c r="V87" i="69" s="1"/>
  <c r="AB87" i="69" s="1"/>
  <c r="AH87" i="69" s="1"/>
  <c r="AN87" i="69" s="1"/>
  <c r="AT87" i="69" s="1"/>
  <c r="AZ87" i="69" s="1"/>
  <c r="BF87" i="69" s="1"/>
  <c r="O87" i="69"/>
  <c r="L87" i="69"/>
  <c r="BE86" i="69"/>
  <c r="AY86" i="69"/>
  <c r="AS86" i="69"/>
  <c r="AM86" i="69"/>
  <c r="AG86" i="69"/>
  <c r="AA86" i="69"/>
  <c r="U86" i="69"/>
  <c r="Q86" i="69"/>
  <c r="W86" i="69" s="1"/>
  <c r="P86" i="69"/>
  <c r="V86" i="69" s="1"/>
  <c r="AB86" i="69" s="1"/>
  <c r="AH86" i="69" s="1"/>
  <c r="AN86" i="69" s="1"/>
  <c r="AT86" i="69" s="1"/>
  <c r="AZ86" i="69" s="1"/>
  <c r="BF86" i="69" s="1"/>
  <c r="O86" i="69"/>
  <c r="L86" i="69"/>
  <c r="BD85" i="69"/>
  <c r="BE85" i="69" s="1"/>
  <c r="AY85" i="69"/>
  <c r="AS85" i="69"/>
  <c r="AM85" i="69"/>
  <c r="AF85" i="69"/>
  <c r="AG85" i="69" s="1"/>
  <c r="AA85" i="69"/>
  <c r="T85" i="69"/>
  <c r="U85" i="69" s="1"/>
  <c r="P85" i="69"/>
  <c r="V85" i="69" s="1"/>
  <c r="AB85" i="69" s="1"/>
  <c r="AH85" i="69" s="1"/>
  <c r="AN85" i="69" s="1"/>
  <c r="AT85" i="69" s="1"/>
  <c r="AZ85" i="69" s="1"/>
  <c r="BF85" i="69" s="1"/>
  <c r="O85" i="69"/>
  <c r="K85" i="69"/>
  <c r="L85" i="69" s="1"/>
  <c r="BE84" i="69"/>
  <c r="AY84" i="69"/>
  <c r="AS84" i="69"/>
  <c r="AM84" i="69"/>
  <c r="AG84" i="69"/>
  <c r="AA84" i="69"/>
  <c r="U84" i="69"/>
  <c r="Q84" i="69"/>
  <c r="P84" i="69"/>
  <c r="V84" i="69" s="1"/>
  <c r="AB84" i="69" s="1"/>
  <c r="AH84" i="69" s="1"/>
  <c r="AN84" i="69" s="1"/>
  <c r="AT84" i="69" s="1"/>
  <c r="AZ84" i="69" s="1"/>
  <c r="BF84" i="69" s="1"/>
  <c r="O84" i="69"/>
  <c r="L84" i="69"/>
  <c r="BO83" i="69"/>
  <c r="BE83" i="69"/>
  <c r="AY83" i="69"/>
  <c r="AS83" i="69"/>
  <c r="AM83" i="69"/>
  <c r="AF83" i="69"/>
  <c r="Z83" i="69"/>
  <c r="U83" i="69"/>
  <c r="Q83" i="69"/>
  <c r="W83" i="69" s="1"/>
  <c r="P83" i="69"/>
  <c r="V83" i="69" s="1"/>
  <c r="AB83" i="69" s="1"/>
  <c r="AH83" i="69" s="1"/>
  <c r="AN83" i="69" s="1"/>
  <c r="AT83" i="69" s="1"/>
  <c r="AZ83" i="69" s="1"/>
  <c r="BF83" i="69" s="1"/>
  <c r="O83" i="69"/>
  <c r="L83" i="69"/>
  <c r="BO82" i="69"/>
  <c r="BD82" i="69"/>
  <c r="BE82" i="69" s="1"/>
  <c r="AY82" i="69"/>
  <c r="AS82" i="69"/>
  <c r="AM82" i="69"/>
  <c r="AF82" i="69"/>
  <c r="AG82" i="69" s="1"/>
  <c r="AA82" i="69"/>
  <c r="U82" i="69"/>
  <c r="Q82" i="69"/>
  <c r="P82" i="69"/>
  <c r="V82" i="69" s="1"/>
  <c r="AB82" i="69" s="1"/>
  <c r="AH82" i="69" s="1"/>
  <c r="AN82" i="69" s="1"/>
  <c r="AT82" i="69" s="1"/>
  <c r="AZ82" i="69" s="1"/>
  <c r="BF82" i="69" s="1"/>
  <c r="O82" i="69"/>
  <c r="L82" i="69"/>
  <c r="BD81" i="69"/>
  <c r="BE81" i="69" s="1"/>
  <c r="AY81" i="69"/>
  <c r="AS81" i="69"/>
  <c r="AM81" i="69"/>
  <c r="AG81" i="69"/>
  <c r="AA81" i="69"/>
  <c r="T81" i="69"/>
  <c r="P81" i="69"/>
  <c r="N81" i="69"/>
  <c r="K81" i="69"/>
  <c r="L81" i="69" s="1"/>
  <c r="BD75" i="69"/>
  <c r="BC75" i="69"/>
  <c r="BE75" i="69" s="1"/>
  <c r="AX75" i="69"/>
  <c r="AY75" i="69" s="1"/>
  <c r="AR75" i="69"/>
  <c r="AQ75" i="69"/>
  <c r="AF75" i="69"/>
  <c r="AE75" i="69"/>
  <c r="AG75" i="69" s="1"/>
  <c r="Z75" i="69"/>
  <c r="Y75" i="69"/>
  <c r="N75" i="69"/>
  <c r="M75" i="69"/>
  <c r="K75" i="69"/>
  <c r="J75" i="69"/>
  <c r="I75" i="69"/>
  <c r="BE74" i="69"/>
  <c r="AY74" i="69"/>
  <c r="AS74" i="69"/>
  <c r="AO74" i="69"/>
  <c r="AN74" i="69"/>
  <c r="AT74" i="69" s="1"/>
  <c r="AZ74" i="69" s="1"/>
  <c r="BF74" i="69" s="1"/>
  <c r="AM74" i="69"/>
  <c r="BE73" i="69"/>
  <c r="AY73" i="69"/>
  <c r="AS73" i="69"/>
  <c r="AM73" i="69"/>
  <c r="AI73" i="69"/>
  <c r="AO73" i="69" s="1"/>
  <c r="AH73" i="69"/>
  <c r="AN73" i="69" s="1"/>
  <c r="AT73" i="69" s="1"/>
  <c r="AZ73" i="69" s="1"/>
  <c r="BF73" i="69" s="1"/>
  <c r="AG73" i="69"/>
  <c r="BE72" i="69"/>
  <c r="AY72" i="69"/>
  <c r="AS72" i="69"/>
  <c r="AM72" i="69"/>
  <c r="AG72" i="69"/>
  <c r="AA72" i="69"/>
  <c r="U72" i="69"/>
  <c r="Q72" i="69"/>
  <c r="W72" i="69" s="1"/>
  <c r="P72" i="69"/>
  <c r="V72" i="69" s="1"/>
  <c r="AB72" i="69" s="1"/>
  <c r="AH72" i="69" s="1"/>
  <c r="AN72" i="69" s="1"/>
  <c r="AT72" i="69" s="1"/>
  <c r="AZ72" i="69" s="1"/>
  <c r="BF72" i="69" s="1"/>
  <c r="O72" i="69"/>
  <c r="L72" i="69"/>
  <c r="BE71" i="69"/>
  <c r="AY71" i="69"/>
  <c r="AS71" i="69"/>
  <c r="AM71" i="69"/>
  <c r="AG71" i="69"/>
  <c r="AA71" i="69"/>
  <c r="U71" i="69"/>
  <c r="Q71" i="69"/>
  <c r="P71" i="69"/>
  <c r="V71" i="69" s="1"/>
  <c r="AB71" i="69" s="1"/>
  <c r="AH71" i="69" s="1"/>
  <c r="AN71" i="69" s="1"/>
  <c r="AT71" i="69" s="1"/>
  <c r="AZ71" i="69" s="1"/>
  <c r="BF71" i="69" s="1"/>
  <c r="O71" i="69"/>
  <c r="L71" i="69"/>
  <c r="BE70" i="69"/>
  <c r="AY70" i="69"/>
  <c r="AS70" i="69"/>
  <c r="AM70" i="69"/>
  <c r="AG70" i="69"/>
  <c r="AA70" i="69"/>
  <c r="U70" i="69"/>
  <c r="Q70" i="69"/>
  <c r="W70" i="69" s="1"/>
  <c r="P70" i="69"/>
  <c r="V70" i="69" s="1"/>
  <c r="AB70" i="69" s="1"/>
  <c r="AH70" i="69" s="1"/>
  <c r="AN70" i="69" s="1"/>
  <c r="AT70" i="69" s="1"/>
  <c r="AZ70" i="69" s="1"/>
  <c r="BF70" i="69" s="1"/>
  <c r="O70" i="69"/>
  <c r="L70" i="69"/>
  <c r="BE69" i="69"/>
  <c r="AY69" i="69"/>
  <c r="AS69" i="69"/>
  <c r="AM69" i="69"/>
  <c r="AG69" i="69"/>
  <c r="AA69" i="69"/>
  <c r="U69" i="69"/>
  <c r="Q69" i="69"/>
  <c r="W69" i="69" s="1"/>
  <c r="P69" i="69"/>
  <c r="V69" i="69" s="1"/>
  <c r="AB69" i="69" s="1"/>
  <c r="AH69" i="69" s="1"/>
  <c r="AN69" i="69" s="1"/>
  <c r="AT69" i="69" s="1"/>
  <c r="AZ69" i="69" s="1"/>
  <c r="BF69" i="69" s="1"/>
  <c r="O69" i="69"/>
  <c r="L69" i="69"/>
  <c r="BE68" i="69"/>
  <c r="AY68" i="69"/>
  <c r="AS68" i="69"/>
  <c r="AM68" i="69"/>
  <c r="AG68" i="69"/>
  <c r="AA68" i="69"/>
  <c r="U68" i="69"/>
  <c r="Q68" i="69"/>
  <c r="W68" i="69" s="1"/>
  <c r="AC68" i="69" s="1"/>
  <c r="P68" i="69"/>
  <c r="V68" i="69" s="1"/>
  <c r="AB68" i="69" s="1"/>
  <c r="AH68" i="69" s="1"/>
  <c r="AN68" i="69" s="1"/>
  <c r="AT68" i="69" s="1"/>
  <c r="AZ68" i="69" s="1"/>
  <c r="BF68" i="69" s="1"/>
  <c r="O68" i="69"/>
  <c r="L68" i="69"/>
  <c r="BE67" i="69"/>
  <c r="AY67" i="69"/>
  <c r="AS67" i="69"/>
  <c r="AM67" i="69"/>
  <c r="AG67" i="69"/>
  <c r="AA67" i="69"/>
  <c r="U67" i="69"/>
  <c r="Q67" i="69"/>
  <c r="P67" i="69"/>
  <c r="V67" i="69" s="1"/>
  <c r="AB67" i="69" s="1"/>
  <c r="AH67" i="69" s="1"/>
  <c r="AN67" i="69" s="1"/>
  <c r="AT67" i="69" s="1"/>
  <c r="AZ67" i="69" s="1"/>
  <c r="BF67" i="69" s="1"/>
  <c r="O67" i="69"/>
  <c r="L67" i="69"/>
  <c r="BE66" i="69"/>
  <c r="AY66" i="69"/>
  <c r="AS66" i="69"/>
  <c r="AM66" i="69"/>
  <c r="AG66" i="69"/>
  <c r="AA66" i="69"/>
  <c r="U66" i="69"/>
  <c r="Q66" i="69"/>
  <c r="W66" i="69" s="1"/>
  <c r="P66" i="69"/>
  <c r="V66" i="69" s="1"/>
  <c r="AB66" i="69" s="1"/>
  <c r="AH66" i="69" s="1"/>
  <c r="AN66" i="69" s="1"/>
  <c r="AT66" i="69" s="1"/>
  <c r="AZ66" i="69" s="1"/>
  <c r="BF66" i="69" s="1"/>
  <c r="O66" i="69"/>
  <c r="L66" i="69"/>
  <c r="BE65" i="69"/>
  <c r="AY65" i="69"/>
  <c r="AS65" i="69"/>
  <c r="AM65" i="69"/>
  <c r="AG65" i="69"/>
  <c r="AA65" i="69"/>
  <c r="U65" i="69"/>
  <c r="Q65" i="69"/>
  <c r="W65" i="69" s="1"/>
  <c r="P65" i="69"/>
  <c r="V65" i="69" s="1"/>
  <c r="AB65" i="69" s="1"/>
  <c r="AH65" i="69" s="1"/>
  <c r="AN65" i="69" s="1"/>
  <c r="AT65" i="69" s="1"/>
  <c r="AZ65" i="69" s="1"/>
  <c r="BF65" i="69" s="1"/>
  <c r="O65" i="69"/>
  <c r="L65" i="69"/>
  <c r="BE64" i="69"/>
  <c r="AY64" i="69"/>
  <c r="AS64" i="69"/>
  <c r="AM64" i="69"/>
  <c r="AG64" i="69"/>
  <c r="AA64" i="69"/>
  <c r="U64" i="69"/>
  <c r="Q64" i="69"/>
  <c r="W64" i="69" s="1"/>
  <c r="AC64" i="69" s="1"/>
  <c r="P64" i="69"/>
  <c r="V64" i="69" s="1"/>
  <c r="AB64" i="69" s="1"/>
  <c r="AH64" i="69" s="1"/>
  <c r="AN64" i="69" s="1"/>
  <c r="AT64" i="69" s="1"/>
  <c r="AZ64" i="69" s="1"/>
  <c r="BF64" i="69" s="1"/>
  <c r="O64" i="69"/>
  <c r="L64" i="69"/>
  <c r="BE63" i="69"/>
  <c r="AY63" i="69"/>
  <c r="AS63" i="69"/>
  <c r="AM63" i="69"/>
  <c r="AG63" i="69"/>
  <c r="AA63" i="69"/>
  <c r="U63" i="69"/>
  <c r="Q63" i="69"/>
  <c r="P63" i="69"/>
  <c r="V63" i="69" s="1"/>
  <c r="AB63" i="69" s="1"/>
  <c r="AH63" i="69" s="1"/>
  <c r="AN63" i="69" s="1"/>
  <c r="AT63" i="69" s="1"/>
  <c r="AZ63" i="69" s="1"/>
  <c r="BF63" i="69" s="1"/>
  <c r="O63" i="69"/>
  <c r="L63" i="69"/>
  <c r="BE62" i="69"/>
  <c r="AY62" i="69"/>
  <c r="AS62" i="69"/>
  <c r="AM62" i="69"/>
  <c r="AG62" i="69"/>
  <c r="AA62" i="69"/>
  <c r="U62" i="69"/>
  <c r="Q62" i="69"/>
  <c r="W62" i="69" s="1"/>
  <c r="P62" i="69"/>
  <c r="V62" i="69" s="1"/>
  <c r="AB62" i="69" s="1"/>
  <c r="AH62" i="69" s="1"/>
  <c r="AN62" i="69" s="1"/>
  <c r="AT62" i="69" s="1"/>
  <c r="AZ62" i="69" s="1"/>
  <c r="BF62" i="69" s="1"/>
  <c r="O62" i="69"/>
  <c r="L62" i="69"/>
  <c r="BE61" i="69"/>
  <c r="AY61" i="69"/>
  <c r="AS61" i="69"/>
  <c r="AM61" i="69"/>
  <c r="AG61" i="69"/>
  <c r="AA61" i="69"/>
  <c r="U61" i="69"/>
  <c r="Q61" i="69"/>
  <c r="W61" i="69" s="1"/>
  <c r="P61" i="69"/>
  <c r="V61" i="69" s="1"/>
  <c r="AB61" i="69" s="1"/>
  <c r="AH61" i="69" s="1"/>
  <c r="AN61" i="69" s="1"/>
  <c r="AT61" i="69" s="1"/>
  <c r="AZ61" i="69" s="1"/>
  <c r="BF61" i="69" s="1"/>
  <c r="O61" i="69"/>
  <c r="L61" i="69"/>
  <c r="BE60" i="69"/>
  <c r="AY60" i="69"/>
  <c r="AS60" i="69"/>
  <c r="AL60" i="69"/>
  <c r="AM60" i="69" s="1"/>
  <c r="AG60" i="69"/>
  <c r="AA60" i="69"/>
  <c r="U60" i="69"/>
  <c r="Q60" i="69"/>
  <c r="W60" i="69" s="1"/>
  <c r="AC60" i="69" s="1"/>
  <c r="P60" i="69"/>
  <c r="O60" i="69"/>
  <c r="L60" i="69"/>
  <c r="BE59" i="69"/>
  <c r="AY59" i="69"/>
  <c r="AS59" i="69"/>
  <c r="AL59" i="69"/>
  <c r="AM59" i="69" s="1"/>
  <c r="AG59" i="69"/>
  <c r="AA59" i="69"/>
  <c r="U59" i="69"/>
  <c r="Q59" i="69"/>
  <c r="W59" i="69" s="1"/>
  <c r="P59" i="69"/>
  <c r="V59" i="69" s="1"/>
  <c r="AB59" i="69" s="1"/>
  <c r="AH59" i="69" s="1"/>
  <c r="AN59" i="69" s="1"/>
  <c r="AT59" i="69" s="1"/>
  <c r="AZ59" i="69" s="1"/>
  <c r="BF59" i="69" s="1"/>
  <c r="O59" i="69"/>
  <c r="L59" i="69"/>
  <c r="BJ58" i="69"/>
  <c r="BI58" i="69"/>
  <c r="BE58" i="69"/>
  <c r="AY58" i="69"/>
  <c r="AS58" i="69"/>
  <c r="AK58" i="69"/>
  <c r="AK75" i="69" s="1"/>
  <c r="AG58" i="69"/>
  <c r="AA58" i="69"/>
  <c r="T58" i="69"/>
  <c r="S58" i="69"/>
  <c r="S75" i="69" s="1"/>
  <c r="Q58" i="69"/>
  <c r="P58" i="69"/>
  <c r="O58" i="69"/>
  <c r="L58" i="69"/>
  <c r="BE57" i="69"/>
  <c r="AY57" i="69"/>
  <c r="AS57" i="69"/>
  <c r="AM57" i="69"/>
  <c r="AG57" i="69"/>
  <c r="AA57" i="69"/>
  <c r="T57" i="69"/>
  <c r="Q57" i="69"/>
  <c r="P57" i="69"/>
  <c r="V57" i="69" s="1"/>
  <c r="AB57" i="69" s="1"/>
  <c r="AH57" i="69" s="1"/>
  <c r="AN57" i="69" s="1"/>
  <c r="AT57" i="69" s="1"/>
  <c r="AZ57" i="69" s="1"/>
  <c r="BF57" i="69" s="1"/>
  <c r="O57" i="69"/>
  <c r="L57" i="69"/>
  <c r="BE56" i="69"/>
  <c r="AY56" i="69"/>
  <c r="AS56" i="69"/>
  <c r="AM56" i="69"/>
  <c r="AG56" i="69"/>
  <c r="AA56" i="69"/>
  <c r="U56" i="69"/>
  <c r="Q56" i="69"/>
  <c r="W56" i="69" s="1"/>
  <c r="AC56" i="69" s="1"/>
  <c r="P56" i="69"/>
  <c r="V56" i="69" s="1"/>
  <c r="AB56" i="69" s="1"/>
  <c r="AH56" i="69" s="1"/>
  <c r="AN56" i="69" s="1"/>
  <c r="AT56" i="69" s="1"/>
  <c r="AZ56" i="69" s="1"/>
  <c r="BF56" i="69" s="1"/>
  <c r="O56" i="69"/>
  <c r="L56" i="69"/>
  <c r="BE55" i="69"/>
  <c r="AY55" i="69"/>
  <c r="AS55" i="69"/>
  <c r="AM55" i="69"/>
  <c r="AG55" i="69"/>
  <c r="AA55" i="69"/>
  <c r="U55" i="69"/>
  <c r="Q55" i="69"/>
  <c r="P55" i="69"/>
  <c r="V55" i="69" s="1"/>
  <c r="AB55" i="69" s="1"/>
  <c r="O55" i="69"/>
  <c r="L55" i="69"/>
  <c r="BL50" i="69"/>
  <c r="BK50" i="69"/>
  <c r="BJ50" i="69"/>
  <c r="BI50" i="69"/>
  <c r="BC50" i="69"/>
  <c r="AW50" i="69"/>
  <c r="AR50" i="69"/>
  <c r="AS50" i="69" s="1"/>
  <c r="AQ50" i="69"/>
  <c r="AK50" i="69"/>
  <c r="AE50" i="69"/>
  <c r="Y50" i="69"/>
  <c r="S50" i="69"/>
  <c r="M50" i="69"/>
  <c r="K50" i="69"/>
  <c r="J50" i="69"/>
  <c r="I50" i="69"/>
  <c r="BE49" i="69"/>
  <c r="AY49" i="69"/>
  <c r="AS49" i="69"/>
  <c r="AM49" i="69"/>
  <c r="AG49" i="69"/>
  <c r="AA49" i="69"/>
  <c r="W49" i="69"/>
  <c r="V49" i="69"/>
  <c r="AB49" i="69" s="1"/>
  <c r="AH49" i="69" s="1"/>
  <c r="AN49" i="69" s="1"/>
  <c r="AT49" i="69" s="1"/>
  <c r="AZ49" i="69" s="1"/>
  <c r="BF49" i="69" s="1"/>
  <c r="U49" i="69"/>
  <c r="BE48" i="69"/>
  <c r="AY48" i="69"/>
  <c r="AS48" i="69"/>
  <c r="AM48" i="69"/>
  <c r="AI48" i="69"/>
  <c r="AO48" i="69" s="1"/>
  <c r="AU48" i="69" s="1"/>
  <c r="BA48" i="69" s="1"/>
  <c r="AH48" i="69"/>
  <c r="AN48" i="69" s="1"/>
  <c r="AT48" i="69" s="1"/>
  <c r="AZ48" i="69" s="1"/>
  <c r="BF48" i="69" s="1"/>
  <c r="AG48" i="69"/>
  <c r="BE47" i="69"/>
  <c r="AY47" i="69"/>
  <c r="AS47" i="69"/>
  <c r="AM47" i="69"/>
  <c r="AI47" i="69"/>
  <c r="AO47" i="69" s="1"/>
  <c r="AU47" i="69" s="1"/>
  <c r="AH47" i="69"/>
  <c r="AN47" i="69" s="1"/>
  <c r="AT47" i="69" s="1"/>
  <c r="AZ47" i="69" s="1"/>
  <c r="BF47" i="69" s="1"/>
  <c r="AG47" i="69"/>
  <c r="BE46" i="69"/>
  <c r="AY46" i="69"/>
  <c r="AS46" i="69"/>
  <c r="AM46" i="69"/>
  <c r="AI46" i="69"/>
  <c r="AO46" i="69" s="1"/>
  <c r="AU46" i="69" s="1"/>
  <c r="AH46" i="69"/>
  <c r="AN46" i="69" s="1"/>
  <c r="AT46" i="69" s="1"/>
  <c r="AZ46" i="69" s="1"/>
  <c r="BF46" i="69" s="1"/>
  <c r="AG46" i="69"/>
  <c r="BE45" i="69"/>
  <c r="AY45" i="69"/>
  <c r="AS45" i="69"/>
  <c r="AM45" i="69"/>
  <c r="AI45" i="69"/>
  <c r="AG45" i="69"/>
  <c r="AB45" i="69"/>
  <c r="AH45" i="69" s="1"/>
  <c r="AN45" i="69" s="1"/>
  <c r="AT45" i="69" s="1"/>
  <c r="AZ45" i="69" s="1"/>
  <c r="BF45" i="69" s="1"/>
  <c r="BE44" i="69"/>
  <c r="AX44" i="69"/>
  <c r="AY44" i="69" s="1"/>
  <c r="AS44" i="69"/>
  <c r="AM44" i="69"/>
  <c r="AG44" i="69"/>
  <c r="AA44" i="69"/>
  <c r="W44" i="69"/>
  <c r="AC44" i="69" s="1"/>
  <c r="V44" i="69"/>
  <c r="U44" i="69"/>
  <c r="BE43" i="69"/>
  <c r="AY43" i="69"/>
  <c r="AS43" i="69"/>
  <c r="AM43" i="69"/>
  <c r="AG43" i="69"/>
  <c r="AA43" i="69"/>
  <c r="W43" i="69"/>
  <c r="V43" i="69"/>
  <c r="AB43" i="69" s="1"/>
  <c r="AH43" i="69" s="1"/>
  <c r="AN43" i="69" s="1"/>
  <c r="AT43" i="69" s="1"/>
  <c r="AZ43" i="69" s="1"/>
  <c r="BF43" i="69" s="1"/>
  <c r="U43" i="69"/>
  <c r="BE42" i="69"/>
  <c r="AY42" i="69"/>
  <c r="AS42" i="69"/>
  <c r="AM42" i="69"/>
  <c r="AG42" i="69"/>
  <c r="AA42" i="69"/>
  <c r="U42" i="69"/>
  <c r="Q42" i="69"/>
  <c r="P42" i="69"/>
  <c r="V42" i="69" s="1"/>
  <c r="AB42" i="69" s="1"/>
  <c r="AH42" i="69" s="1"/>
  <c r="AN42" i="69" s="1"/>
  <c r="AT42" i="69" s="1"/>
  <c r="AZ42" i="69" s="1"/>
  <c r="BF42" i="69" s="1"/>
  <c r="O42" i="69"/>
  <c r="L42" i="69"/>
  <c r="BE41" i="69"/>
  <c r="AY41" i="69"/>
  <c r="AS41" i="69"/>
  <c r="AM41" i="69"/>
  <c r="AG41" i="69"/>
  <c r="AA41" i="69"/>
  <c r="U41" i="69"/>
  <c r="Q41" i="69"/>
  <c r="W41" i="69" s="1"/>
  <c r="P41" i="69"/>
  <c r="V41" i="69" s="1"/>
  <c r="AB41" i="69" s="1"/>
  <c r="AH41" i="69" s="1"/>
  <c r="AN41" i="69" s="1"/>
  <c r="AT41" i="69" s="1"/>
  <c r="AZ41" i="69" s="1"/>
  <c r="BF41" i="69" s="1"/>
  <c r="O41" i="69"/>
  <c r="L41" i="69"/>
  <c r="BE40" i="69"/>
  <c r="AX40" i="69"/>
  <c r="AS40" i="69"/>
  <c r="AM40" i="69"/>
  <c r="AG40" i="69"/>
  <c r="AA40" i="69"/>
  <c r="U40" i="69"/>
  <c r="P40" i="69"/>
  <c r="V40" i="69" s="1"/>
  <c r="AB40" i="69" s="1"/>
  <c r="AH40" i="69" s="1"/>
  <c r="AN40" i="69" s="1"/>
  <c r="AT40" i="69" s="1"/>
  <c r="AZ40" i="69" s="1"/>
  <c r="BF40" i="69" s="1"/>
  <c r="N40" i="69"/>
  <c r="L40" i="69"/>
  <c r="BE39" i="69"/>
  <c r="AY39" i="69"/>
  <c r="AS39" i="69"/>
  <c r="AM39" i="69"/>
  <c r="AG39" i="69"/>
  <c r="AA39" i="69"/>
  <c r="U39" i="69"/>
  <c r="Q39" i="69"/>
  <c r="P39" i="69"/>
  <c r="V39" i="69" s="1"/>
  <c r="AB39" i="69" s="1"/>
  <c r="AH39" i="69" s="1"/>
  <c r="AN39" i="69" s="1"/>
  <c r="AT39" i="69" s="1"/>
  <c r="AZ39" i="69" s="1"/>
  <c r="BF39" i="69" s="1"/>
  <c r="O39" i="69"/>
  <c r="L39" i="69"/>
  <c r="BE38" i="69"/>
  <c r="AY38" i="69"/>
  <c r="AS38" i="69"/>
  <c r="AM38" i="69"/>
  <c r="AG38" i="69"/>
  <c r="AA38" i="69"/>
  <c r="U38" i="69"/>
  <c r="Q38" i="69"/>
  <c r="W38" i="69" s="1"/>
  <c r="P38" i="69"/>
  <c r="V38" i="69" s="1"/>
  <c r="AB38" i="69" s="1"/>
  <c r="AH38" i="69" s="1"/>
  <c r="AN38" i="69" s="1"/>
  <c r="AT38" i="69" s="1"/>
  <c r="AZ38" i="69" s="1"/>
  <c r="BF38" i="69" s="1"/>
  <c r="O38" i="69"/>
  <c r="L38" i="69"/>
  <c r="BE37" i="69"/>
  <c r="AY37" i="69"/>
  <c r="AS37" i="69"/>
  <c r="AM37" i="69"/>
  <c r="AG37" i="69"/>
  <c r="AA37" i="69"/>
  <c r="U37" i="69"/>
  <c r="Q37" i="69"/>
  <c r="W37" i="69" s="1"/>
  <c r="AC37" i="69" s="1"/>
  <c r="AI37" i="69" s="1"/>
  <c r="AO37" i="69" s="1"/>
  <c r="AU37" i="69" s="1"/>
  <c r="P37" i="69"/>
  <c r="V37" i="69" s="1"/>
  <c r="O37" i="69"/>
  <c r="L37" i="69"/>
  <c r="BE36" i="69"/>
  <c r="AY36" i="69"/>
  <c r="AS36" i="69"/>
  <c r="AM36" i="69"/>
  <c r="AG36" i="69"/>
  <c r="AA36" i="69"/>
  <c r="U36" i="69"/>
  <c r="Q36" i="69"/>
  <c r="W36" i="69" s="1"/>
  <c r="P36" i="69"/>
  <c r="V36" i="69" s="1"/>
  <c r="AB36" i="69" s="1"/>
  <c r="AH36" i="69" s="1"/>
  <c r="AN36" i="69" s="1"/>
  <c r="AT36" i="69" s="1"/>
  <c r="AZ36" i="69" s="1"/>
  <c r="BF36" i="69" s="1"/>
  <c r="O36" i="69"/>
  <c r="L36" i="69"/>
  <c r="BD35" i="69"/>
  <c r="AY35" i="69"/>
  <c r="AS35" i="69"/>
  <c r="AL35" i="69"/>
  <c r="AL50" i="69" s="1"/>
  <c r="AF35" i="69"/>
  <c r="AA35" i="69"/>
  <c r="U35" i="69"/>
  <c r="Q35" i="69"/>
  <c r="P35" i="69"/>
  <c r="V35" i="69" s="1"/>
  <c r="AB35" i="69" s="1"/>
  <c r="AH35" i="69" s="1"/>
  <c r="AN35" i="69" s="1"/>
  <c r="AT35" i="69" s="1"/>
  <c r="AZ35" i="69" s="1"/>
  <c r="BF35" i="69" s="1"/>
  <c r="O35" i="69"/>
  <c r="L35" i="69"/>
  <c r="BE34" i="69"/>
  <c r="AY34" i="69"/>
  <c r="AS34" i="69"/>
  <c r="AM34" i="69"/>
  <c r="AG34" i="69"/>
  <c r="AA34" i="69"/>
  <c r="U34" i="69"/>
  <c r="Q34" i="69"/>
  <c r="P34" i="69"/>
  <c r="V34" i="69" s="1"/>
  <c r="AB34" i="69" s="1"/>
  <c r="AH34" i="69" s="1"/>
  <c r="AN34" i="69" s="1"/>
  <c r="AT34" i="69" s="1"/>
  <c r="AZ34" i="69" s="1"/>
  <c r="BF34" i="69" s="1"/>
  <c r="O34" i="69"/>
  <c r="L34" i="69"/>
  <c r="BE33" i="69"/>
  <c r="AY33" i="69"/>
  <c r="AS33" i="69"/>
  <c r="AM33" i="69"/>
  <c r="AG33" i="69"/>
  <c r="AA33" i="69"/>
  <c r="U33" i="69"/>
  <c r="Q33" i="69"/>
  <c r="P33" i="69"/>
  <c r="V33" i="69" s="1"/>
  <c r="AB33" i="69" s="1"/>
  <c r="AH33" i="69" s="1"/>
  <c r="AN33" i="69" s="1"/>
  <c r="AT33" i="69" s="1"/>
  <c r="AZ33" i="69" s="1"/>
  <c r="BF33" i="69" s="1"/>
  <c r="O33" i="69"/>
  <c r="L33" i="69"/>
  <c r="BE32" i="69"/>
  <c r="AY32" i="69"/>
  <c r="AS32" i="69"/>
  <c r="AM32" i="69"/>
  <c r="AG32" i="69"/>
  <c r="AA32" i="69"/>
  <c r="U32" i="69"/>
  <c r="Q32" i="69"/>
  <c r="W32" i="69" s="1"/>
  <c r="P32" i="69"/>
  <c r="V32" i="69" s="1"/>
  <c r="AB32" i="69" s="1"/>
  <c r="AH32" i="69" s="1"/>
  <c r="AN32" i="69" s="1"/>
  <c r="AT32" i="69" s="1"/>
  <c r="AZ32" i="69" s="1"/>
  <c r="BF32" i="69" s="1"/>
  <c r="O32" i="69"/>
  <c r="L32" i="69"/>
  <c r="BE31" i="69"/>
  <c r="AY31" i="69"/>
  <c r="AS31" i="69"/>
  <c r="AM31" i="69"/>
  <c r="AG31" i="69"/>
  <c r="AA31" i="69"/>
  <c r="U31" i="69"/>
  <c r="Q31" i="69"/>
  <c r="W31" i="69" s="1"/>
  <c r="P31" i="69"/>
  <c r="V31" i="69" s="1"/>
  <c r="AB31" i="69" s="1"/>
  <c r="AH31" i="69" s="1"/>
  <c r="AN31" i="69" s="1"/>
  <c r="AT31" i="69" s="1"/>
  <c r="AZ31" i="69" s="1"/>
  <c r="BF31" i="69" s="1"/>
  <c r="O31" i="69"/>
  <c r="L31" i="69"/>
  <c r="BE30" i="69"/>
  <c r="AY30" i="69"/>
  <c r="AS30" i="69"/>
  <c r="AM30" i="69"/>
  <c r="AG30" i="69"/>
  <c r="AA30" i="69"/>
  <c r="U30" i="69"/>
  <c r="Q30" i="69"/>
  <c r="W30" i="69" s="1"/>
  <c r="P30" i="69"/>
  <c r="V30" i="69" s="1"/>
  <c r="AB30" i="69" s="1"/>
  <c r="AH30" i="69" s="1"/>
  <c r="AN30" i="69" s="1"/>
  <c r="AT30" i="69" s="1"/>
  <c r="AZ30" i="69" s="1"/>
  <c r="BF30" i="69" s="1"/>
  <c r="O30" i="69"/>
  <c r="L30" i="69"/>
  <c r="BE29" i="69"/>
  <c r="AY29" i="69"/>
  <c r="AS29" i="69"/>
  <c r="AM29" i="69"/>
  <c r="AG29" i="69"/>
  <c r="AA29" i="69"/>
  <c r="U29" i="69"/>
  <c r="Q29" i="69"/>
  <c r="P29" i="69"/>
  <c r="V29" i="69" s="1"/>
  <c r="AB29" i="69" s="1"/>
  <c r="AH29" i="69" s="1"/>
  <c r="AN29" i="69" s="1"/>
  <c r="AT29" i="69" s="1"/>
  <c r="AZ29" i="69" s="1"/>
  <c r="BF29" i="69" s="1"/>
  <c r="O29" i="69"/>
  <c r="L29" i="69"/>
  <c r="BE28" i="69"/>
  <c r="AY28" i="69"/>
  <c r="AS28" i="69"/>
  <c r="AM28" i="69"/>
  <c r="AG28" i="69"/>
  <c r="AA28" i="69"/>
  <c r="U28" i="69"/>
  <c r="Q28" i="69"/>
  <c r="W28" i="69" s="1"/>
  <c r="AC28" i="69" s="1"/>
  <c r="P28" i="69"/>
  <c r="V28" i="69" s="1"/>
  <c r="AB28" i="69" s="1"/>
  <c r="AH28" i="69" s="1"/>
  <c r="AN28" i="69" s="1"/>
  <c r="AT28" i="69" s="1"/>
  <c r="AZ28" i="69" s="1"/>
  <c r="BF28" i="69" s="1"/>
  <c r="O28" i="69"/>
  <c r="L28" i="69"/>
  <c r="BE27" i="69"/>
  <c r="AY27" i="69"/>
  <c r="AS27" i="69"/>
  <c r="AM27" i="69"/>
  <c r="AG27" i="69"/>
  <c r="AA27" i="69"/>
  <c r="U27" i="69"/>
  <c r="Q27" i="69"/>
  <c r="W27" i="69" s="1"/>
  <c r="AC27" i="69" s="1"/>
  <c r="AI27" i="69" s="1"/>
  <c r="P27" i="69"/>
  <c r="V27" i="69" s="1"/>
  <c r="AB27" i="69" s="1"/>
  <c r="AH27" i="69" s="1"/>
  <c r="AN27" i="69" s="1"/>
  <c r="AT27" i="69" s="1"/>
  <c r="AZ27" i="69" s="1"/>
  <c r="BF27" i="69" s="1"/>
  <c r="O27" i="69"/>
  <c r="L27" i="69"/>
  <c r="BE26" i="69"/>
  <c r="AY26" i="69"/>
  <c r="AS26" i="69"/>
  <c r="AM26" i="69"/>
  <c r="AG26" i="69"/>
  <c r="AA26" i="69"/>
  <c r="U26" i="69"/>
  <c r="Q26" i="69"/>
  <c r="W26" i="69" s="1"/>
  <c r="AC26" i="69" s="1"/>
  <c r="P26" i="69"/>
  <c r="V26" i="69" s="1"/>
  <c r="AB26" i="69" s="1"/>
  <c r="AH26" i="69" s="1"/>
  <c r="AN26" i="69" s="1"/>
  <c r="AT26" i="69" s="1"/>
  <c r="AZ26" i="69" s="1"/>
  <c r="BF26" i="69" s="1"/>
  <c r="O26" i="69"/>
  <c r="L26" i="69"/>
  <c r="BE25" i="69"/>
  <c r="AY25" i="69"/>
  <c r="AS25" i="69"/>
  <c r="AM25" i="69"/>
  <c r="AG25" i="69"/>
  <c r="AA25" i="69"/>
  <c r="W25" i="69"/>
  <c r="AC25" i="69" s="1"/>
  <c r="U25" i="69"/>
  <c r="Q25" i="69"/>
  <c r="P25" i="69"/>
  <c r="V25" i="69" s="1"/>
  <c r="AB25" i="69" s="1"/>
  <c r="AH25" i="69" s="1"/>
  <c r="AN25" i="69" s="1"/>
  <c r="AT25" i="69" s="1"/>
  <c r="AZ25" i="69" s="1"/>
  <c r="BF25" i="69" s="1"/>
  <c r="O25" i="69"/>
  <c r="L25" i="69"/>
  <c r="BE24" i="69"/>
  <c r="AY24" i="69"/>
  <c r="AS24" i="69"/>
  <c r="AM24" i="69"/>
  <c r="AG24" i="69"/>
  <c r="AA24" i="69"/>
  <c r="U24" i="69"/>
  <c r="Q24" i="69"/>
  <c r="P24" i="69"/>
  <c r="V24" i="69" s="1"/>
  <c r="AB24" i="69" s="1"/>
  <c r="AH24" i="69" s="1"/>
  <c r="AN24" i="69" s="1"/>
  <c r="AT24" i="69" s="1"/>
  <c r="AZ24" i="69" s="1"/>
  <c r="BF24" i="69" s="1"/>
  <c r="O24" i="69"/>
  <c r="L24" i="69"/>
  <c r="BE23" i="69"/>
  <c r="AY23" i="69"/>
  <c r="AS23" i="69"/>
  <c r="AM23" i="69"/>
  <c r="AG23" i="69"/>
  <c r="AA23" i="69"/>
  <c r="U23" i="69"/>
  <c r="P23" i="69"/>
  <c r="V23" i="69" s="1"/>
  <c r="AB23" i="69" s="1"/>
  <c r="AH23" i="69" s="1"/>
  <c r="AN23" i="69" s="1"/>
  <c r="AT23" i="69" s="1"/>
  <c r="AZ23" i="69" s="1"/>
  <c r="BF23" i="69" s="1"/>
  <c r="N23" i="69"/>
  <c r="Q23" i="69" s="1"/>
  <c r="W23" i="69" s="1"/>
  <c r="AC23" i="69" s="1"/>
  <c r="L23" i="69"/>
  <c r="BE22" i="69"/>
  <c r="AX22" i="69"/>
  <c r="AS22" i="69"/>
  <c r="AM22" i="69"/>
  <c r="AG22" i="69"/>
  <c r="AA22" i="69"/>
  <c r="U22" i="69"/>
  <c r="Q22" i="69"/>
  <c r="W22" i="69" s="1"/>
  <c r="AC22" i="69" s="1"/>
  <c r="P22" i="69"/>
  <c r="V22" i="69" s="1"/>
  <c r="AB22" i="69" s="1"/>
  <c r="AH22" i="69" s="1"/>
  <c r="AN22" i="69" s="1"/>
  <c r="AT22" i="69" s="1"/>
  <c r="AZ22" i="69" s="1"/>
  <c r="BF22" i="69" s="1"/>
  <c r="O22" i="69"/>
  <c r="L22" i="69"/>
  <c r="BE21" i="69"/>
  <c r="AY21" i="69"/>
  <c r="AS21" i="69"/>
  <c r="AM21" i="69"/>
  <c r="AG21" i="69"/>
  <c r="AA21" i="69"/>
  <c r="U21" i="69"/>
  <c r="Q21" i="69"/>
  <c r="W21" i="69" s="1"/>
  <c r="P21" i="69"/>
  <c r="V21" i="69" s="1"/>
  <c r="AB21" i="69" s="1"/>
  <c r="AH21" i="69" s="1"/>
  <c r="AN21" i="69" s="1"/>
  <c r="AT21" i="69" s="1"/>
  <c r="AZ21" i="69" s="1"/>
  <c r="BF21" i="69" s="1"/>
  <c r="O21" i="69"/>
  <c r="L21" i="69"/>
  <c r="BE20" i="69"/>
  <c r="AY20" i="69"/>
  <c r="AS20" i="69"/>
  <c r="AM20" i="69"/>
  <c r="AG20" i="69"/>
  <c r="AA20" i="69"/>
  <c r="U20" i="69"/>
  <c r="Q20" i="69"/>
  <c r="W20" i="69" s="1"/>
  <c r="P20" i="69"/>
  <c r="V20" i="69" s="1"/>
  <c r="AB20" i="69" s="1"/>
  <c r="AH20" i="69" s="1"/>
  <c r="O20" i="69"/>
  <c r="L20" i="69"/>
  <c r="BE19" i="69"/>
  <c r="AY19" i="69"/>
  <c r="AS19" i="69"/>
  <c r="AM19" i="69"/>
  <c r="AG19" i="69"/>
  <c r="AA19" i="69"/>
  <c r="U19" i="69"/>
  <c r="Q19" i="69"/>
  <c r="P19" i="69"/>
  <c r="V19" i="69" s="1"/>
  <c r="AB19" i="69" s="1"/>
  <c r="AH19" i="69" s="1"/>
  <c r="AN19" i="69" s="1"/>
  <c r="AT19" i="69" s="1"/>
  <c r="AZ19" i="69" s="1"/>
  <c r="BF19" i="69" s="1"/>
  <c r="O19" i="69"/>
  <c r="L19" i="69"/>
  <c r="BE18" i="69"/>
  <c r="AY18" i="69"/>
  <c r="AS18" i="69"/>
  <c r="AM18" i="69"/>
  <c r="AG18" i="69"/>
  <c r="AA18" i="69"/>
  <c r="U18" i="69"/>
  <c r="Q18" i="69"/>
  <c r="W18" i="69" s="1"/>
  <c r="AC18" i="69" s="1"/>
  <c r="P18" i="69"/>
  <c r="O18" i="69"/>
  <c r="L18" i="69"/>
  <c r="BE17" i="69"/>
  <c r="AY17" i="69"/>
  <c r="AS17" i="69"/>
  <c r="AM17" i="69"/>
  <c r="AG17" i="69"/>
  <c r="AA17" i="69"/>
  <c r="U17" i="69"/>
  <c r="Q17" i="69"/>
  <c r="P17" i="69"/>
  <c r="V17" i="69" s="1"/>
  <c r="AB17" i="69" s="1"/>
  <c r="AH17" i="69" s="1"/>
  <c r="AN17" i="69" s="1"/>
  <c r="AT17" i="69" s="1"/>
  <c r="AZ17" i="69" s="1"/>
  <c r="BF17" i="69" s="1"/>
  <c r="O17" i="69"/>
  <c r="L17" i="69"/>
  <c r="BE16" i="69"/>
  <c r="AY16" i="69"/>
  <c r="AS16" i="69"/>
  <c r="AM16" i="69"/>
  <c r="AG16" i="69"/>
  <c r="AA16" i="69"/>
  <c r="U16" i="69"/>
  <c r="Q16" i="69"/>
  <c r="P16" i="69"/>
  <c r="V16" i="69" s="1"/>
  <c r="AB16" i="69" s="1"/>
  <c r="AH16" i="69" s="1"/>
  <c r="O16" i="69"/>
  <c r="L16" i="69"/>
  <c r="BE15" i="69"/>
  <c r="AY15" i="69"/>
  <c r="AS15" i="69"/>
  <c r="AM15" i="69"/>
  <c r="AG15" i="69"/>
  <c r="AA15" i="69"/>
  <c r="V15" i="69"/>
  <c r="AB15" i="69" s="1"/>
  <c r="AH15" i="69" s="1"/>
  <c r="AN15" i="69" s="1"/>
  <c r="AT15" i="69" s="1"/>
  <c r="AZ15" i="69" s="1"/>
  <c r="BF15" i="69" s="1"/>
  <c r="U15" i="69"/>
  <c r="Q15" i="69"/>
  <c r="P15" i="69"/>
  <c r="O15" i="69"/>
  <c r="L15" i="69"/>
  <c r="BE14" i="69"/>
  <c r="AY14" i="69"/>
  <c r="AS14" i="69"/>
  <c r="AM14" i="69"/>
  <c r="AG14" i="69"/>
  <c r="AA14" i="69"/>
  <c r="U14" i="69"/>
  <c r="Q14" i="69"/>
  <c r="W14" i="69" s="1"/>
  <c r="AC14" i="69" s="1"/>
  <c r="P14" i="69"/>
  <c r="V14" i="69" s="1"/>
  <c r="AB14" i="69" s="1"/>
  <c r="AH14" i="69" s="1"/>
  <c r="AN14" i="69" s="1"/>
  <c r="AT14" i="69" s="1"/>
  <c r="AZ14" i="69" s="1"/>
  <c r="BF14" i="69" s="1"/>
  <c r="O14" i="69"/>
  <c r="L14" i="69"/>
  <c r="BO13" i="69"/>
  <c r="BE13" i="69"/>
  <c r="AY13" i="69"/>
  <c r="AS13" i="69"/>
  <c r="AM13" i="69"/>
  <c r="AG13" i="69"/>
  <c r="Z13" i="69"/>
  <c r="T13" i="69"/>
  <c r="Q13" i="69"/>
  <c r="P13" i="69"/>
  <c r="V13" i="69" s="1"/>
  <c r="AB13" i="69" s="1"/>
  <c r="AH13" i="69" s="1"/>
  <c r="AN13" i="69" s="1"/>
  <c r="AT13" i="69" s="1"/>
  <c r="AZ13" i="69" s="1"/>
  <c r="BF13" i="69" s="1"/>
  <c r="O13" i="69"/>
  <c r="L13" i="69"/>
  <c r="BE12" i="69"/>
  <c r="AY12" i="69"/>
  <c r="AS12" i="69"/>
  <c r="AM12" i="69"/>
  <c r="AG12" i="69"/>
  <c r="AA12" i="69"/>
  <c r="U12" i="69"/>
  <c r="Q12" i="69"/>
  <c r="W12" i="69" s="1"/>
  <c r="AC12" i="69" s="1"/>
  <c r="P12" i="69"/>
  <c r="V12" i="69" s="1"/>
  <c r="AB12" i="69" s="1"/>
  <c r="AH12" i="69" s="1"/>
  <c r="AN12" i="69" s="1"/>
  <c r="AT12" i="69" s="1"/>
  <c r="AZ12" i="69" s="1"/>
  <c r="BF12" i="69" s="1"/>
  <c r="O12" i="69"/>
  <c r="L12" i="69"/>
  <c r="BE11" i="69"/>
  <c r="AY11" i="69"/>
  <c r="AS11" i="69"/>
  <c r="AM11" i="69"/>
  <c r="AG11" i="69"/>
  <c r="AA11" i="69"/>
  <c r="U11" i="69"/>
  <c r="Q11" i="69"/>
  <c r="W11" i="69" s="1"/>
  <c r="AC11" i="69" s="1"/>
  <c r="P11" i="69"/>
  <c r="V11" i="69" s="1"/>
  <c r="AB11" i="69" s="1"/>
  <c r="AH11" i="69" s="1"/>
  <c r="AN11" i="69" s="1"/>
  <c r="AT11" i="69" s="1"/>
  <c r="AZ11" i="69" s="1"/>
  <c r="BF11" i="69" s="1"/>
  <c r="O11" i="69"/>
  <c r="L11" i="69"/>
  <c r="BE10" i="69"/>
  <c r="AY10" i="69"/>
  <c r="AS10" i="69"/>
  <c r="AM10" i="69"/>
  <c r="AG10" i="69"/>
  <c r="AA10" i="69"/>
  <c r="U10" i="69"/>
  <c r="Q10" i="69"/>
  <c r="W10" i="69" s="1"/>
  <c r="AC10" i="69" s="1"/>
  <c r="P10" i="69"/>
  <c r="V10" i="69" s="1"/>
  <c r="AB10" i="69" s="1"/>
  <c r="AH10" i="69" s="1"/>
  <c r="AN10" i="69" s="1"/>
  <c r="AT10" i="69" s="1"/>
  <c r="AZ10" i="69" s="1"/>
  <c r="BF10" i="69" s="1"/>
  <c r="O10" i="69"/>
  <c r="L10" i="69"/>
  <c r="BE9" i="69"/>
  <c r="AY9" i="69"/>
  <c r="AS9" i="69"/>
  <c r="AM9" i="69"/>
  <c r="AG9" i="69"/>
  <c r="AA9" i="69"/>
  <c r="U9" i="69"/>
  <c r="Q9" i="69"/>
  <c r="W9" i="69" s="1"/>
  <c r="P9" i="69"/>
  <c r="V9" i="69" s="1"/>
  <c r="AB9" i="69" s="1"/>
  <c r="AH9" i="69" s="1"/>
  <c r="AN9" i="69" s="1"/>
  <c r="AT9" i="69" s="1"/>
  <c r="AZ9" i="69" s="1"/>
  <c r="BF9" i="69" s="1"/>
  <c r="O9" i="69"/>
  <c r="L9" i="69"/>
  <c r="BE8" i="69"/>
  <c r="AY8" i="69"/>
  <c r="AS8" i="69"/>
  <c r="AM8" i="69"/>
  <c r="AG8" i="69"/>
  <c r="AA8" i="69"/>
  <c r="U8" i="69"/>
  <c r="Q8" i="69"/>
  <c r="W8" i="69" s="1"/>
  <c r="P8" i="69"/>
  <c r="V8" i="69" s="1"/>
  <c r="AB8" i="69" s="1"/>
  <c r="AH8" i="69" s="1"/>
  <c r="AN8" i="69" s="1"/>
  <c r="AT8" i="69" s="1"/>
  <c r="AZ8" i="69" s="1"/>
  <c r="BF8" i="69" s="1"/>
  <c r="O8" i="69"/>
  <c r="L8" i="69"/>
  <c r="BE7" i="69"/>
  <c r="AY7" i="69"/>
  <c r="AS7" i="69"/>
  <c r="AM7" i="69"/>
  <c r="AG7" i="69"/>
  <c r="AA7" i="69"/>
  <c r="T7" i="69"/>
  <c r="P7" i="69"/>
  <c r="V7" i="69" s="1"/>
  <c r="AB7" i="69" s="1"/>
  <c r="AH7" i="69" s="1"/>
  <c r="AN7" i="69" s="1"/>
  <c r="AT7" i="69" s="1"/>
  <c r="AZ7" i="69" s="1"/>
  <c r="BF7" i="69" s="1"/>
  <c r="N7" i="69"/>
  <c r="Q7" i="69" s="1"/>
  <c r="R7" i="69" s="1"/>
  <c r="L7" i="69"/>
  <c r="BE6" i="69"/>
  <c r="AY6" i="69"/>
  <c r="AS6" i="69"/>
  <c r="AM6" i="69"/>
  <c r="AG6" i="69"/>
  <c r="AA6" i="69"/>
  <c r="U6" i="69"/>
  <c r="Q6" i="69"/>
  <c r="W6" i="69" s="1"/>
  <c r="P6" i="69"/>
  <c r="V6" i="69" s="1"/>
  <c r="AB6" i="69" s="1"/>
  <c r="AH6" i="69" s="1"/>
  <c r="AN6" i="69" s="1"/>
  <c r="AT6" i="69" s="1"/>
  <c r="AZ6" i="69" s="1"/>
  <c r="BF6" i="69" s="1"/>
  <c r="O6" i="69"/>
  <c r="L6" i="69"/>
  <c r="BE5" i="69"/>
  <c r="AY5" i="69"/>
  <c r="AS5" i="69"/>
  <c r="AM5" i="69"/>
  <c r="AG5" i="69"/>
  <c r="AA5" i="69"/>
  <c r="U5" i="69"/>
  <c r="Q5" i="69"/>
  <c r="W5" i="69" s="1"/>
  <c r="P5" i="69"/>
  <c r="V5" i="69" s="1"/>
  <c r="AB5" i="69" s="1"/>
  <c r="AH5" i="69" s="1"/>
  <c r="AN5" i="69" s="1"/>
  <c r="AT5" i="69" s="1"/>
  <c r="AZ5" i="69" s="1"/>
  <c r="BF5" i="69" s="1"/>
  <c r="O5" i="69"/>
  <c r="L5" i="69"/>
  <c r="BO4" i="69"/>
  <c r="BE4" i="69"/>
  <c r="AY4" i="69"/>
  <c r="AS4" i="69"/>
  <c r="AM4" i="69"/>
  <c r="AG4" i="69"/>
  <c r="Z4" i="69"/>
  <c r="U4" i="69"/>
  <c r="Q4" i="69"/>
  <c r="W4" i="69" s="1"/>
  <c r="P4" i="69"/>
  <c r="V4" i="69" s="1"/>
  <c r="O4" i="69"/>
  <c r="L4" i="69"/>
  <c r="U77" i="65"/>
  <c r="T77" i="65"/>
  <c r="S77" i="65"/>
  <c r="R77" i="65"/>
  <c r="Q77" i="65"/>
  <c r="P77" i="65"/>
  <c r="O77" i="65"/>
  <c r="N77" i="65"/>
  <c r="M77" i="65"/>
  <c r="L77" i="65"/>
  <c r="K77" i="65"/>
  <c r="J77" i="65"/>
  <c r="I77" i="65"/>
  <c r="H77" i="65"/>
  <c r="G77" i="65"/>
  <c r="F77" i="65"/>
  <c r="E77" i="65"/>
  <c r="D77" i="65"/>
  <c r="C77" i="65"/>
  <c r="U76" i="65"/>
  <c r="T76" i="65"/>
  <c r="S76" i="65"/>
  <c r="R76" i="65"/>
  <c r="Q76" i="65"/>
  <c r="P76" i="65"/>
  <c r="O76" i="65"/>
  <c r="N76" i="65"/>
  <c r="M76" i="65"/>
  <c r="L76" i="65"/>
  <c r="K76" i="65"/>
  <c r="J76" i="65"/>
  <c r="I76" i="65"/>
  <c r="H76" i="65"/>
  <c r="G76" i="65"/>
  <c r="F76" i="65"/>
  <c r="E76" i="65"/>
  <c r="D76" i="65"/>
  <c r="C76" i="65"/>
  <c r="U75" i="65"/>
  <c r="R75" i="65"/>
  <c r="Q75" i="65"/>
  <c r="P75" i="65"/>
  <c r="O75" i="65"/>
  <c r="L75" i="65"/>
  <c r="I75" i="65"/>
  <c r="F75" i="65"/>
  <c r="U74" i="65"/>
  <c r="R74" i="65"/>
  <c r="Q74" i="65"/>
  <c r="P74" i="65"/>
  <c r="O74" i="65"/>
  <c r="L74" i="65"/>
  <c r="I74" i="65"/>
  <c r="F74" i="65"/>
  <c r="U73" i="65"/>
  <c r="R73" i="65"/>
  <c r="Q73" i="65"/>
  <c r="P73" i="65"/>
  <c r="O73" i="65"/>
  <c r="L73" i="65"/>
  <c r="I73" i="65"/>
  <c r="F73" i="65"/>
  <c r="U72" i="65"/>
  <c r="R72" i="65"/>
  <c r="Q72" i="65"/>
  <c r="P72" i="65"/>
  <c r="O72" i="65"/>
  <c r="L72" i="65"/>
  <c r="I72" i="65"/>
  <c r="F72" i="65"/>
  <c r="U71" i="65"/>
  <c r="R71" i="65"/>
  <c r="Q71" i="65"/>
  <c r="P71" i="65"/>
  <c r="O71" i="65"/>
  <c r="L71" i="65"/>
  <c r="I71" i="65"/>
  <c r="F71" i="65"/>
  <c r="U70" i="65"/>
  <c r="R70" i="65"/>
  <c r="Q70" i="65"/>
  <c r="P70" i="65"/>
  <c r="O70" i="65"/>
  <c r="L70" i="65"/>
  <c r="I70" i="65"/>
  <c r="F70" i="65"/>
  <c r="U69" i="65"/>
  <c r="R69" i="65"/>
  <c r="Q69" i="65"/>
  <c r="P69" i="65"/>
  <c r="O69" i="65"/>
  <c r="L69" i="65"/>
  <c r="I69" i="65"/>
  <c r="F69" i="65"/>
  <c r="U68" i="65"/>
  <c r="R68" i="65"/>
  <c r="Q68" i="65"/>
  <c r="P68" i="65"/>
  <c r="O68" i="65"/>
  <c r="L68" i="65"/>
  <c r="I68" i="65"/>
  <c r="F68" i="65"/>
  <c r="U67" i="65"/>
  <c r="R67" i="65"/>
  <c r="Q67" i="65"/>
  <c r="P67" i="65"/>
  <c r="O67" i="65"/>
  <c r="L67" i="65"/>
  <c r="I67" i="65"/>
  <c r="F67" i="65"/>
  <c r="U66" i="65"/>
  <c r="T66" i="65"/>
  <c r="S66" i="65"/>
  <c r="R66" i="65"/>
  <c r="Q66" i="65"/>
  <c r="P66" i="65"/>
  <c r="O66" i="65"/>
  <c r="N66" i="65"/>
  <c r="M66" i="65"/>
  <c r="L66" i="65"/>
  <c r="K66" i="65"/>
  <c r="J66" i="65"/>
  <c r="I66" i="65"/>
  <c r="H66" i="65"/>
  <c r="G66" i="65"/>
  <c r="F66" i="65"/>
  <c r="E66" i="65"/>
  <c r="D66" i="65"/>
  <c r="C66" i="65"/>
  <c r="U65" i="65"/>
  <c r="R65" i="65"/>
  <c r="Q65" i="65"/>
  <c r="P65" i="65"/>
  <c r="O65" i="65"/>
  <c r="L65" i="65"/>
  <c r="I65" i="65"/>
  <c r="F65" i="65"/>
  <c r="U64" i="65"/>
  <c r="R64" i="65"/>
  <c r="Q64" i="65"/>
  <c r="P64" i="65"/>
  <c r="O64" i="65"/>
  <c r="L64" i="65"/>
  <c r="I64" i="65"/>
  <c r="F64" i="65"/>
  <c r="U63" i="65"/>
  <c r="R63" i="65"/>
  <c r="Q63" i="65"/>
  <c r="P63" i="65"/>
  <c r="O63" i="65"/>
  <c r="L63" i="65"/>
  <c r="I63" i="65"/>
  <c r="F63" i="65"/>
  <c r="U62" i="65"/>
  <c r="R62" i="65"/>
  <c r="Q62" i="65"/>
  <c r="P62" i="65"/>
  <c r="O62" i="65"/>
  <c r="L62" i="65"/>
  <c r="I62" i="65"/>
  <c r="F62" i="65"/>
  <c r="U61" i="65"/>
  <c r="R61" i="65"/>
  <c r="Q61" i="65"/>
  <c r="P61" i="65"/>
  <c r="O61" i="65"/>
  <c r="L61" i="65"/>
  <c r="I61" i="65"/>
  <c r="F61" i="65"/>
  <c r="U60" i="65"/>
  <c r="R60" i="65"/>
  <c r="Q60" i="65"/>
  <c r="P60" i="65"/>
  <c r="O60" i="65"/>
  <c r="L60" i="65"/>
  <c r="I60" i="65"/>
  <c r="F60" i="65"/>
  <c r="U59" i="65"/>
  <c r="R59" i="65"/>
  <c r="Q59" i="65"/>
  <c r="P59" i="65"/>
  <c r="O59" i="65"/>
  <c r="L59" i="65"/>
  <c r="I59" i="65"/>
  <c r="F59" i="65"/>
  <c r="U58" i="65"/>
  <c r="R58" i="65"/>
  <c r="Q58" i="65"/>
  <c r="P58" i="65"/>
  <c r="O58" i="65"/>
  <c r="L58" i="65"/>
  <c r="I58" i="65"/>
  <c r="F58" i="65"/>
  <c r="U57" i="65"/>
  <c r="R57" i="65"/>
  <c r="Q57" i="65"/>
  <c r="P57" i="65"/>
  <c r="O57" i="65"/>
  <c r="L57" i="65"/>
  <c r="I57" i="65"/>
  <c r="F57" i="65"/>
  <c r="U56" i="65"/>
  <c r="T56" i="65"/>
  <c r="S56" i="65"/>
  <c r="R56" i="65"/>
  <c r="Q56" i="65"/>
  <c r="P56" i="65"/>
  <c r="O56" i="65"/>
  <c r="N56" i="65"/>
  <c r="M56" i="65"/>
  <c r="L56" i="65"/>
  <c r="K56" i="65"/>
  <c r="J56" i="65"/>
  <c r="I56" i="65"/>
  <c r="H56" i="65"/>
  <c r="G56" i="65"/>
  <c r="F56" i="65"/>
  <c r="E56" i="65"/>
  <c r="D56" i="65"/>
  <c r="C56" i="65"/>
  <c r="U55" i="65"/>
  <c r="R55" i="65"/>
  <c r="Q55" i="65"/>
  <c r="P55" i="65"/>
  <c r="O55" i="65"/>
  <c r="L55" i="65"/>
  <c r="I55" i="65"/>
  <c r="F55" i="65"/>
  <c r="U54" i="65"/>
  <c r="R54" i="65"/>
  <c r="Q54" i="65"/>
  <c r="P54" i="65"/>
  <c r="O54" i="65"/>
  <c r="L54" i="65"/>
  <c r="I54" i="65"/>
  <c r="F54" i="65"/>
  <c r="U53" i="65"/>
  <c r="R53" i="65"/>
  <c r="Q53" i="65"/>
  <c r="P53" i="65"/>
  <c r="O53" i="65"/>
  <c r="L53" i="65"/>
  <c r="I53" i="65"/>
  <c r="F53" i="65"/>
  <c r="U52" i="65"/>
  <c r="R52" i="65"/>
  <c r="Q52" i="65"/>
  <c r="P52" i="65"/>
  <c r="O52" i="65"/>
  <c r="L52" i="65"/>
  <c r="I52" i="65"/>
  <c r="F52" i="65"/>
  <c r="U51" i="65"/>
  <c r="R51" i="65"/>
  <c r="Q51" i="65"/>
  <c r="P51" i="65"/>
  <c r="O51" i="65"/>
  <c r="L51" i="65"/>
  <c r="I51" i="65"/>
  <c r="F51" i="65"/>
  <c r="U50" i="65"/>
  <c r="R50" i="65"/>
  <c r="Q50" i="65"/>
  <c r="P50" i="65"/>
  <c r="O50" i="65"/>
  <c r="L50" i="65"/>
  <c r="I50" i="65"/>
  <c r="F50" i="65"/>
  <c r="U49" i="65"/>
  <c r="R49" i="65"/>
  <c r="Q49" i="65"/>
  <c r="P49" i="65"/>
  <c r="O49" i="65"/>
  <c r="L49" i="65"/>
  <c r="I49" i="65"/>
  <c r="F49" i="65"/>
  <c r="U48" i="65"/>
  <c r="T48" i="65"/>
  <c r="S48" i="65"/>
  <c r="R48" i="65"/>
  <c r="Q48" i="65"/>
  <c r="P48" i="65"/>
  <c r="O48" i="65"/>
  <c r="N48" i="65"/>
  <c r="M48" i="65"/>
  <c r="L48" i="65"/>
  <c r="K48" i="65"/>
  <c r="J48" i="65"/>
  <c r="I48" i="65"/>
  <c r="H48" i="65"/>
  <c r="G48" i="65"/>
  <c r="F48" i="65"/>
  <c r="E48" i="65"/>
  <c r="D48" i="65"/>
  <c r="C48" i="65"/>
  <c r="U47" i="65"/>
  <c r="R47" i="65"/>
  <c r="Q47" i="65"/>
  <c r="P47" i="65"/>
  <c r="O47" i="65"/>
  <c r="L47" i="65"/>
  <c r="I47" i="65"/>
  <c r="F47" i="65"/>
  <c r="U46" i="65"/>
  <c r="R46" i="65"/>
  <c r="Q46" i="65"/>
  <c r="P46" i="65"/>
  <c r="O46" i="65"/>
  <c r="L46" i="65"/>
  <c r="I46" i="65"/>
  <c r="F46" i="65"/>
  <c r="U45" i="65"/>
  <c r="R45" i="65"/>
  <c r="Q45" i="65"/>
  <c r="P45" i="65"/>
  <c r="O45" i="65"/>
  <c r="L45" i="65"/>
  <c r="I45" i="65"/>
  <c r="F45" i="65"/>
  <c r="U44" i="65"/>
  <c r="R44" i="65"/>
  <c r="Q44" i="65"/>
  <c r="P44" i="65"/>
  <c r="O44" i="65"/>
  <c r="L44" i="65"/>
  <c r="I44" i="65"/>
  <c r="F44" i="65"/>
  <c r="U43" i="65"/>
  <c r="R43" i="65"/>
  <c r="Q43" i="65"/>
  <c r="P43" i="65"/>
  <c r="O43" i="65"/>
  <c r="L43" i="65"/>
  <c r="I43" i="65"/>
  <c r="F43" i="65"/>
  <c r="U42" i="65"/>
  <c r="R42" i="65"/>
  <c r="Q42" i="65"/>
  <c r="P42" i="65"/>
  <c r="O42" i="65"/>
  <c r="L42" i="65"/>
  <c r="I42" i="65"/>
  <c r="F42" i="65"/>
  <c r="U41" i="65"/>
  <c r="T41" i="65"/>
  <c r="S41" i="65"/>
  <c r="R41" i="65"/>
  <c r="Q41" i="65"/>
  <c r="P41" i="65"/>
  <c r="O41" i="65"/>
  <c r="N41" i="65"/>
  <c r="M41" i="65"/>
  <c r="L41" i="65"/>
  <c r="K41" i="65"/>
  <c r="J41" i="65"/>
  <c r="I41" i="65"/>
  <c r="H41" i="65"/>
  <c r="G41" i="65"/>
  <c r="F41" i="65"/>
  <c r="E41" i="65"/>
  <c r="D41" i="65"/>
  <c r="C41" i="65"/>
  <c r="U40" i="65"/>
  <c r="R40" i="65"/>
  <c r="Q40" i="65"/>
  <c r="P40" i="65"/>
  <c r="O40" i="65"/>
  <c r="L40" i="65"/>
  <c r="I40" i="65"/>
  <c r="F40" i="65"/>
  <c r="U39" i="65"/>
  <c r="R39" i="65"/>
  <c r="Q39" i="65"/>
  <c r="P39" i="65"/>
  <c r="O39" i="65"/>
  <c r="L39" i="65"/>
  <c r="I39" i="65"/>
  <c r="F39" i="65"/>
  <c r="U38" i="65"/>
  <c r="R38" i="65"/>
  <c r="Q38" i="65"/>
  <c r="P38" i="65"/>
  <c r="O38" i="65"/>
  <c r="L38" i="65"/>
  <c r="I38" i="65"/>
  <c r="F38" i="65"/>
  <c r="U37" i="65"/>
  <c r="R37" i="65"/>
  <c r="Q37" i="65"/>
  <c r="P37" i="65"/>
  <c r="O37" i="65"/>
  <c r="L37" i="65"/>
  <c r="I37" i="65"/>
  <c r="F37" i="65"/>
  <c r="U36" i="65"/>
  <c r="R36" i="65"/>
  <c r="Q36" i="65"/>
  <c r="P36" i="65"/>
  <c r="O36" i="65"/>
  <c r="L36" i="65"/>
  <c r="I36" i="65"/>
  <c r="F36" i="65"/>
  <c r="U35" i="65"/>
  <c r="T35" i="65"/>
  <c r="S35" i="65"/>
  <c r="R35" i="65"/>
  <c r="Q35" i="65"/>
  <c r="P35" i="65"/>
  <c r="O35" i="65"/>
  <c r="N35" i="65"/>
  <c r="M35" i="65"/>
  <c r="L35" i="65"/>
  <c r="K35" i="65"/>
  <c r="J35" i="65"/>
  <c r="I35" i="65"/>
  <c r="H35" i="65"/>
  <c r="G35" i="65"/>
  <c r="F35" i="65"/>
  <c r="E35" i="65"/>
  <c r="D35" i="65"/>
  <c r="C35" i="65"/>
  <c r="U34" i="65"/>
  <c r="R34" i="65"/>
  <c r="Q34" i="65"/>
  <c r="P34" i="65"/>
  <c r="O34" i="65"/>
  <c r="L34" i="65"/>
  <c r="I34" i="65"/>
  <c r="F34" i="65"/>
  <c r="U33" i="65"/>
  <c r="R33" i="65"/>
  <c r="Q33" i="65"/>
  <c r="P33" i="65"/>
  <c r="O33" i="65"/>
  <c r="L33" i="65"/>
  <c r="I33" i="65"/>
  <c r="F33" i="65"/>
  <c r="U32" i="65"/>
  <c r="R32" i="65"/>
  <c r="Q32" i="65"/>
  <c r="P32" i="65"/>
  <c r="O32" i="65"/>
  <c r="L32" i="65"/>
  <c r="I32" i="65"/>
  <c r="F32" i="65"/>
  <c r="U31" i="65"/>
  <c r="R31" i="65"/>
  <c r="Q31" i="65"/>
  <c r="P31" i="65"/>
  <c r="O31" i="65"/>
  <c r="L31" i="65"/>
  <c r="I31" i="65"/>
  <c r="F31" i="65"/>
  <c r="U30" i="65"/>
  <c r="R30" i="65"/>
  <c r="Q30" i="65"/>
  <c r="P30" i="65"/>
  <c r="O30" i="65"/>
  <c r="L30" i="65"/>
  <c r="I30" i="65"/>
  <c r="F30" i="65"/>
  <c r="U29" i="65"/>
  <c r="R29" i="65"/>
  <c r="Q29" i="65"/>
  <c r="P29" i="65"/>
  <c r="O29" i="65"/>
  <c r="L29" i="65"/>
  <c r="I29" i="65"/>
  <c r="F29" i="65"/>
  <c r="U28" i="65"/>
  <c r="R28" i="65"/>
  <c r="Q28" i="65"/>
  <c r="P28" i="65"/>
  <c r="O28" i="65"/>
  <c r="L28" i="65"/>
  <c r="I28" i="65"/>
  <c r="F28" i="65"/>
  <c r="U27" i="65"/>
  <c r="R27" i="65"/>
  <c r="Q27" i="65"/>
  <c r="P27" i="65"/>
  <c r="O27" i="65"/>
  <c r="L27" i="65"/>
  <c r="I27" i="65"/>
  <c r="F27" i="65"/>
  <c r="U26" i="65"/>
  <c r="T26" i="65"/>
  <c r="S26" i="65"/>
  <c r="R26" i="65"/>
  <c r="Q26" i="65"/>
  <c r="P26" i="65"/>
  <c r="O26" i="65"/>
  <c r="N26" i="65"/>
  <c r="M26" i="65"/>
  <c r="L26" i="65"/>
  <c r="K26" i="65"/>
  <c r="J26" i="65"/>
  <c r="I26" i="65"/>
  <c r="H26" i="65"/>
  <c r="G26" i="65"/>
  <c r="F26" i="65"/>
  <c r="E26" i="65"/>
  <c r="D26" i="65"/>
  <c r="C26" i="65"/>
  <c r="U25" i="65"/>
  <c r="R25" i="65"/>
  <c r="Q25" i="65"/>
  <c r="P25" i="65"/>
  <c r="O25" i="65"/>
  <c r="L25" i="65"/>
  <c r="I25" i="65"/>
  <c r="F25" i="65"/>
  <c r="U24" i="65"/>
  <c r="R24" i="65"/>
  <c r="Q24" i="65"/>
  <c r="P24" i="65"/>
  <c r="O24" i="65"/>
  <c r="L24" i="65"/>
  <c r="I24" i="65"/>
  <c r="F24" i="65"/>
  <c r="U23" i="65"/>
  <c r="R23" i="65"/>
  <c r="Q23" i="65"/>
  <c r="P23" i="65"/>
  <c r="O23" i="65"/>
  <c r="L23" i="65"/>
  <c r="I23" i="65"/>
  <c r="F23" i="65"/>
  <c r="U22" i="65"/>
  <c r="R22" i="65"/>
  <c r="Q22" i="65"/>
  <c r="P22" i="65"/>
  <c r="O22" i="65"/>
  <c r="L22" i="65"/>
  <c r="I22" i="65"/>
  <c r="F22" i="65"/>
  <c r="U21" i="65"/>
  <c r="R21" i="65"/>
  <c r="Q21" i="65"/>
  <c r="P21" i="65"/>
  <c r="O21" i="65"/>
  <c r="L21" i="65"/>
  <c r="I21" i="65"/>
  <c r="F21" i="65"/>
  <c r="U20" i="65"/>
  <c r="R20" i="65"/>
  <c r="Q20" i="65"/>
  <c r="P20" i="65"/>
  <c r="O20" i="65"/>
  <c r="L20" i="65"/>
  <c r="I20" i="65"/>
  <c r="F20" i="65"/>
  <c r="U19" i="65"/>
  <c r="T19" i="65"/>
  <c r="S19" i="65"/>
  <c r="R19" i="65"/>
  <c r="Q19" i="65"/>
  <c r="P19" i="65"/>
  <c r="O19" i="65"/>
  <c r="N19" i="65"/>
  <c r="M19" i="65"/>
  <c r="L19" i="65"/>
  <c r="K19" i="65"/>
  <c r="J19" i="65"/>
  <c r="I19" i="65"/>
  <c r="H19" i="65"/>
  <c r="G19" i="65"/>
  <c r="F19" i="65"/>
  <c r="E19" i="65"/>
  <c r="D19" i="65"/>
  <c r="C19" i="65"/>
  <c r="U18" i="65"/>
  <c r="R18" i="65"/>
  <c r="Q18" i="65"/>
  <c r="P18" i="65"/>
  <c r="O18" i="65"/>
  <c r="L18" i="65"/>
  <c r="I18" i="65"/>
  <c r="F18" i="65"/>
  <c r="U17" i="65"/>
  <c r="R17" i="65"/>
  <c r="Q17" i="65"/>
  <c r="P17" i="65"/>
  <c r="O17" i="65"/>
  <c r="L17" i="65"/>
  <c r="I17" i="65"/>
  <c r="F17" i="65"/>
  <c r="U16" i="65"/>
  <c r="R16" i="65"/>
  <c r="Q16" i="65"/>
  <c r="P16" i="65"/>
  <c r="O16" i="65"/>
  <c r="L16" i="65"/>
  <c r="I16" i="65"/>
  <c r="F16" i="65"/>
  <c r="U15" i="65"/>
  <c r="R15" i="65"/>
  <c r="Q15" i="65"/>
  <c r="P15" i="65"/>
  <c r="O15" i="65"/>
  <c r="L15" i="65"/>
  <c r="I15" i="65"/>
  <c r="F15" i="65"/>
  <c r="U14" i="65"/>
  <c r="R14" i="65"/>
  <c r="Q14" i="65"/>
  <c r="P14" i="65"/>
  <c r="O14" i="65"/>
  <c r="L14" i="65"/>
  <c r="I14" i="65"/>
  <c r="F14" i="65"/>
  <c r="U13" i="65"/>
  <c r="T13" i="65"/>
  <c r="S13" i="65"/>
  <c r="R13" i="65"/>
  <c r="Q13" i="65"/>
  <c r="P13" i="65"/>
  <c r="O13" i="65"/>
  <c r="N13" i="65"/>
  <c r="M13" i="65"/>
  <c r="L13" i="65"/>
  <c r="K13" i="65"/>
  <c r="J13" i="65"/>
  <c r="I13" i="65"/>
  <c r="H13" i="65"/>
  <c r="G13" i="65"/>
  <c r="F13" i="65"/>
  <c r="E13" i="65"/>
  <c r="D13" i="65"/>
  <c r="C13" i="65"/>
  <c r="U12" i="65"/>
  <c r="R12" i="65"/>
  <c r="Q12" i="65"/>
  <c r="P12" i="65"/>
  <c r="O12" i="65"/>
  <c r="L12" i="65"/>
  <c r="I12" i="65"/>
  <c r="F12" i="65"/>
  <c r="U11" i="65"/>
  <c r="R11" i="65"/>
  <c r="Q11" i="65"/>
  <c r="P11" i="65"/>
  <c r="O11" i="65"/>
  <c r="L11" i="65"/>
  <c r="I11" i="65"/>
  <c r="F11" i="65"/>
  <c r="U10" i="65"/>
  <c r="R10" i="65"/>
  <c r="Q10" i="65"/>
  <c r="P10" i="65"/>
  <c r="O10" i="65"/>
  <c r="L10" i="65"/>
  <c r="I10" i="65"/>
  <c r="F10" i="65"/>
  <c r="U9" i="65"/>
  <c r="R9" i="65"/>
  <c r="Q9" i="65"/>
  <c r="P9" i="65"/>
  <c r="O9" i="65"/>
  <c r="L9" i="65"/>
  <c r="I9" i="65"/>
  <c r="F9" i="65"/>
  <c r="U8" i="65"/>
  <c r="R8" i="65"/>
  <c r="Q8" i="65"/>
  <c r="P8" i="65"/>
  <c r="O8" i="65"/>
  <c r="L8" i="65"/>
  <c r="I8" i="65"/>
  <c r="F8" i="65"/>
  <c r="U7" i="65"/>
  <c r="R7" i="65"/>
  <c r="Q7" i="65"/>
  <c r="P7" i="65"/>
  <c r="O7" i="65"/>
  <c r="L7" i="65"/>
  <c r="I7" i="65"/>
  <c r="F7" i="65"/>
  <c r="U6" i="65"/>
  <c r="R6" i="65"/>
  <c r="Q6" i="65"/>
  <c r="P6" i="65"/>
  <c r="O6" i="65"/>
  <c r="L6" i="65"/>
  <c r="I6" i="65"/>
  <c r="F6" i="65"/>
  <c r="U5" i="65"/>
  <c r="R5" i="65"/>
  <c r="Q5" i="65"/>
  <c r="P5" i="65"/>
  <c r="O5" i="65"/>
  <c r="L5" i="65"/>
  <c r="I5" i="65"/>
  <c r="F5" i="65"/>
  <c r="U4" i="65"/>
  <c r="R4" i="65"/>
  <c r="Q4" i="65"/>
  <c r="P4" i="65"/>
  <c r="O4" i="65"/>
  <c r="L4" i="65"/>
  <c r="I4" i="65"/>
  <c r="F4" i="65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U8" i="9"/>
  <c r="R8" i="9"/>
  <c r="O8" i="9"/>
  <c r="L8" i="9"/>
  <c r="I8" i="9"/>
  <c r="F8" i="9"/>
  <c r="C8" i="9"/>
  <c r="AZ7" i="9"/>
  <c r="AY7" i="9"/>
  <c r="AX7" i="9"/>
  <c r="AW7" i="9"/>
  <c r="AT7" i="9"/>
  <c r="AS7" i="9"/>
  <c r="AR7" i="9"/>
  <c r="AM7" i="9"/>
  <c r="AH7" i="9"/>
  <c r="AG7" i="9"/>
  <c r="AF7" i="9"/>
  <c r="AE7" i="9"/>
  <c r="AB7" i="9"/>
  <c r="AA7" i="9"/>
  <c r="Z7" i="9"/>
  <c r="Y7" i="9"/>
  <c r="X7" i="9"/>
  <c r="AZ6" i="9"/>
  <c r="AY6" i="9"/>
  <c r="AX6" i="9"/>
  <c r="AW6" i="9"/>
  <c r="AT6" i="9"/>
  <c r="AS6" i="9"/>
  <c r="AR6" i="9"/>
  <c r="AQ6" i="9"/>
  <c r="AN6" i="9"/>
  <c r="AM6" i="9"/>
  <c r="AL6" i="9"/>
  <c r="AK6" i="9"/>
  <c r="AH6" i="9"/>
  <c r="AG6" i="9"/>
  <c r="AF6" i="9"/>
  <c r="AE6" i="9"/>
  <c r="AB6" i="9"/>
  <c r="AA6" i="9"/>
  <c r="Z6" i="9"/>
  <c r="Y6" i="9"/>
  <c r="V6" i="9"/>
  <c r="U6" i="9"/>
  <c r="T6" i="9"/>
  <c r="S6" i="9"/>
  <c r="P6" i="9"/>
  <c r="O6" i="9"/>
  <c r="M6" i="9"/>
  <c r="J6" i="9"/>
  <c r="I6" i="9"/>
  <c r="H6" i="9"/>
  <c r="G6" i="9"/>
  <c r="D6" i="9"/>
  <c r="AZ3" i="9"/>
  <c r="AY3" i="9"/>
  <c r="AX3" i="9"/>
  <c r="AW3" i="9"/>
  <c r="AT3" i="9"/>
  <c r="AS3" i="9"/>
  <c r="AR3" i="9"/>
  <c r="AQ3" i="9"/>
  <c r="AN3" i="9"/>
  <c r="AM3" i="9"/>
  <c r="AL3" i="9"/>
  <c r="AK3" i="9"/>
  <c r="AH3" i="9"/>
  <c r="AG3" i="9"/>
  <c r="AF3" i="9"/>
  <c r="AE3" i="9"/>
  <c r="AB3" i="9"/>
  <c r="AA3" i="9"/>
  <c r="Z3" i="9"/>
  <c r="V3" i="9"/>
  <c r="U3" i="9"/>
  <c r="T3" i="9"/>
  <c r="S3" i="9"/>
  <c r="P3" i="9"/>
  <c r="O3" i="9"/>
  <c r="N3" i="9"/>
  <c r="M3" i="9"/>
  <c r="J3" i="9"/>
  <c r="I3" i="9"/>
  <c r="H3" i="9"/>
  <c r="G3" i="9"/>
  <c r="D3" i="9"/>
  <c r="BM84" i="58"/>
  <c r="BH84" i="58"/>
  <c r="BG84" i="58"/>
  <c r="BF84" i="58"/>
  <c r="BE84" i="58"/>
  <c r="BD84" i="58"/>
  <c r="BC84" i="58"/>
  <c r="BB84" i="58"/>
  <c r="BA84" i="58"/>
  <c r="AZ84" i="58"/>
  <c r="AY84" i="58"/>
  <c r="AX84" i="58"/>
  <c r="AW84" i="58"/>
  <c r="AV84" i="58"/>
  <c r="AU84" i="58"/>
  <c r="AT84" i="58"/>
  <c r="AS84" i="58"/>
  <c r="AR84" i="58"/>
  <c r="AQ84" i="58"/>
  <c r="AP84" i="58"/>
  <c r="AO84" i="58"/>
  <c r="AN84" i="58"/>
  <c r="AM84" i="58"/>
  <c r="AL84" i="58"/>
  <c r="AK84" i="58"/>
  <c r="AJ84" i="58"/>
  <c r="AI84" i="58"/>
  <c r="AH84" i="58"/>
  <c r="AG84" i="58"/>
  <c r="AF84" i="58"/>
  <c r="AE84" i="58"/>
  <c r="AD84" i="58"/>
  <c r="AC84" i="58"/>
  <c r="AB84" i="58"/>
  <c r="AA84" i="58"/>
  <c r="Z84" i="58"/>
  <c r="Y84" i="58"/>
  <c r="X84" i="58"/>
  <c r="W84" i="58"/>
  <c r="V84" i="58"/>
  <c r="U84" i="58"/>
  <c r="T84" i="58"/>
  <c r="S84" i="58"/>
  <c r="R84" i="58"/>
  <c r="Q84" i="58"/>
  <c r="P84" i="58"/>
  <c r="O84" i="58"/>
  <c r="N84" i="58"/>
  <c r="M84" i="58"/>
  <c r="L84" i="58"/>
  <c r="K84" i="58"/>
  <c r="J84" i="58"/>
  <c r="I84" i="58"/>
  <c r="BM83" i="58"/>
  <c r="BH83" i="58"/>
  <c r="BG83" i="58"/>
  <c r="BF83" i="58"/>
  <c r="BE83" i="58"/>
  <c r="BB83" i="58"/>
  <c r="BA83" i="58"/>
  <c r="AZ83" i="58"/>
  <c r="AY83" i="58"/>
  <c r="AV83" i="58"/>
  <c r="AU83" i="58"/>
  <c r="AT83" i="58"/>
  <c r="AS83" i="58"/>
  <c r="BM82" i="58"/>
  <c r="BH82" i="58"/>
  <c r="BG82" i="58"/>
  <c r="BF82" i="58"/>
  <c r="BE82" i="58"/>
  <c r="BB82" i="58"/>
  <c r="BA82" i="58"/>
  <c r="AZ82" i="58"/>
  <c r="AY82" i="58"/>
  <c r="AV82" i="58"/>
  <c r="AU82" i="58"/>
  <c r="AT82" i="58"/>
  <c r="AS82" i="58"/>
  <c r="BM81" i="58"/>
  <c r="BH81" i="58"/>
  <c r="BG81" i="58"/>
  <c r="BF81" i="58"/>
  <c r="BE81" i="58"/>
  <c r="BB81" i="58"/>
  <c r="BA81" i="58"/>
  <c r="AZ81" i="58"/>
  <c r="AY81" i="58"/>
  <c r="AV81" i="58"/>
  <c r="AU81" i="58"/>
  <c r="AT81" i="58"/>
  <c r="AS81" i="58"/>
  <c r="BM80" i="58"/>
  <c r="BH80" i="58"/>
  <c r="BG80" i="58"/>
  <c r="BF80" i="58"/>
  <c r="BE80" i="58"/>
  <c r="BB80" i="58"/>
  <c r="BA80" i="58"/>
  <c r="AZ80" i="58"/>
  <c r="AY80" i="58"/>
  <c r="AV80" i="58"/>
  <c r="AU80" i="58"/>
  <c r="AT80" i="58"/>
  <c r="AS80" i="58"/>
  <c r="BM79" i="58"/>
  <c r="BH79" i="58"/>
  <c r="BG79" i="58"/>
  <c r="BF79" i="58"/>
  <c r="BE79" i="58"/>
  <c r="BB79" i="58"/>
  <c r="BA79" i="58"/>
  <c r="AZ79" i="58"/>
  <c r="AY79" i="58"/>
  <c r="AV79" i="58"/>
  <c r="AU79" i="58"/>
  <c r="AT79" i="58"/>
  <c r="AS79" i="58"/>
  <c r="BM78" i="58"/>
  <c r="BH78" i="58"/>
  <c r="BG78" i="58"/>
  <c r="BF78" i="58"/>
  <c r="BE78" i="58"/>
  <c r="BB78" i="58"/>
  <c r="BA78" i="58"/>
  <c r="AZ78" i="58"/>
  <c r="AY78" i="58"/>
  <c r="AV78" i="58"/>
  <c r="AU78" i="58"/>
  <c r="AT78" i="58"/>
  <c r="AS78" i="58"/>
  <c r="AP78" i="58"/>
  <c r="AO78" i="58"/>
  <c r="AN78" i="58"/>
  <c r="AM78" i="58"/>
  <c r="AJ78" i="58"/>
  <c r="AI78" i="58"/>
  <c r="AH78" i="58"/>
  <c r="AG78" i="58"/>
  <c r="BM77" i="58"/>
  <c r="BH77" i="58"/>
  <c r="BG77" i="58"/>
  <c r="BF77" i="58"/>
  <c r="BE77" i="58"/>
  <c r="BB77" i="58"/>
  <c r="BA77" i="58"/>
  <c r="AZ77" i="58"/>
  <c r="AY77" i="58"/>
  <c r="AV77" i="58"/>
  <c r="AU77" i="58"/>
  <c r="AT77" i="58"/>
  <c r="AS77" i="58"/>
  <c r="AP77" i="58"/>
  <c r="AO77" i="58"/>
  <c r="AN77" i="58"/>
  <c r="AM77" i="58"/>
  <c r="BM76" i="58"/>
  <c r="BH76" i="58"/>
  <c r="BG76" i="58"/>
  <c r="BF76" i="58"/>
  <c r="BE76" i="58"/>
  <c r="BB76" i="58"/>
  <c r="BA76" i="58"/>
  <c r="AZ76" i="58"/>
  <c r="AY76" i="58"/>
  <c r="AV76" i="58"/>
  <c r="AU76" i="58"/>
  <c r="AT76" i="58"/>
  <c r="AS76" i="58"/>
  <c r="AP76" i="58"/>
  <c r="AO76" i="58"/>
  <c r="AN76" i="58"/>
  <c r="AM76" i="58"/>
  <c r="AJ76" i="58"/>
  <c r="AI76" i="58"/>
  <c r="AH76" i="58"/>
  <c r="AG76" i="58"/>
  <c r="BM75" i="58"/>
  <c r="BH75" i="58"/>
  <c r="BG75" i="58"/>
  <c r="BF75" i="58"/>
  <c r="BE75" i="58"/>
  <c r="BB75" i="58"/>
  <c r="BA75" i="58"/>
  <c r="AZ75" i="58"/>
  <c r="AY75" i="58"/>
  <c r="AV75" i="58"/>
  <c r="AU75" i="58"/>
  <c r="AT75" i="58"/>
  <c r="AS75" i="58"/>
  <c r="AP75" i="58"/>
  <c r="AO75" i="58"/>
  <c r="AN75" i="58"/>
  <c r="AM75" i="58"/>
  <c r="AJ75" i="58"/>
  <c r="AI75" i="58"/>
  <c r="AH75" i="58"/>
  <c r="AG75" i="58"/>
  <c r="BM74" i="58"/>
  <c r="BH74" i="58"/>
  <c r="BG74" i="58"/>
  <c r="BF74" i="58"/>
  <c r="BE74" i="58"/>
  <c r="BB74" i="58"/>
  <c r="BA74" i="58"/>
  <c r="AZ74" i="58"/>
  <c r="AY74" i="58"/>
  <c r="AV74" i="58"/>
  <c r="AU74" i="58"/>
  <c r="AT74" i="58"/>
  <c r="AS74" i="58"/>
  <c r="AP74" i="58"/>
  <c r="AO74" i="58"/>
  <c r="AN74" i="58"/>
  <c r="AM74" i="58"/>
  <c r="AJ74" i="58"/>
  <c r="AI74" i="58"/>
  <c r="AH74" i="58"/>
  <c r="AG74" i="58"/>
  <c r="AD74" i="58"/>
  <c r="AC74" i="58"/>
  <c r="AB74" i="58"/>
  <c r="AA74" i="58"/>
  <c r="X74" i="58"/>
  <c r="W74" i="58"/>
  <c r="V74" i="58"/>
  <c r="U74" i="58"/>
  <c r="R74" i="58"/>
  <c r="Q74" i="58"/>
  <c r="P74" i="58"/>
  <c r="O74" i="58"/>
  <c r="L74" i="58"/>
  <c r="BM73" i="58"/>
  <c r="BH73" i="58"/>
  <c r="BG73" i="58"/>
  <c r="BF73" i="58"/>
  <c r="BE73" i="58"/>
  <c r="BB73" i="58"/>
  <c r="BA73" i="58"/>
  <c r="AZ73" i="58"/>
  <c r="AY73" i="58"/>
  <c r="AV73" i="58"/>
  <c r="AU73" i="58"/>
  <c r="AT73" i="58"/>
  <c r="AS73" i="58"/>
  <c r="AP73" i="58"/>
  <c r="AO73" i="58"/>
  <c r="AN73" i="58"/>
  <c r="AM73" i="58"/>
  <c r="AJ73" i="58"/>
  <c r="AI73" i="58"/>
  <c r="AH73" i="58"/>
  <c r="AG73" i="58"/>
  <c r="BM72" i="58"/>
  <c r="BH72" i="58"/>
  <c r="BG72" i="58"/>
  <c r="BF72" i="58"/>
  <c r="BE72" i="58"/>
  <c r="BB72" i="58"/>
  <c r="BA72" i="58"/>
  <c r="AZ72" i="58"/>
  <c r="AY72" i="58"/>
  <c r="AV72" i="58"/>
  <c r="AU72" i="58"/>
  <c r="AT72" i="58"/>
  <c r="AS72" i="58"/>
  <c r="AP72" i="58"/>
  <c r="AO72" i="58"/>
  <c r="AN72" i="58"/>
  <c r="AM72" i="58"/>
  <c r="AJ72" i="58"/>
  <c r="AI72" i="58"/>
  <c r="AH72" i="58"/>
  <c r="AG72" i="58"/>
  <c r="BM71" i="58"/>
  <c r="BH71" i="58"/>
  <c r="BG71" i="58"/>
  <c r="BF71" i="58"/>
  <c r="BE71" i="58"/>
  <c r="BB71" i="58"/>
  <c r="BA71" i="58"/>
  <c r="AZ71" i="58"/>
  <c r="AY71" i="58"/>
  <c r="AV71" i="58"/>
  <c r="AU71" i="58"/>
  <c r="AT71" i="58"/>
  <c r="AS71" i="58"/>
  <c r="AP71" i="58"/>
  <c r="AO71" i="58"/>
  <c r="AN71" i="58"/>
  <c r="AM71" i="58"/>
  <c r="AJ71" i="58"/>
  <c r="AI71" i="58"/>
  <c r="AH71" i="58"/>
  <c r="AG71" i="58"/>
  <c r="AD71" i="58"/>
  <c r="AC71" i="58"/>
  <c r="AB71" i="58"/>
  <c r="AA71" i="58"/>
  <c r="X71" i="58"/>
  <c r="W71" i="58"/>
  <c r="V71" i="58"/>
  <c r="U71" i="58"/>
  <c r="R71" i="58"/>
  <c r="Q71" i="58"/>
  <c r="P71" i="58"/>
  <c r="O71" i="58"/>
  <c r="L71" i="58"/>
  <c r="BM70" i="58"/>
  <c r="BH70" i="58"/>
  <c r="BG70" i="58"/>
  <c r="BF70" i="58"/>
  <c r="BE70" i="58"/>
  <c r="BB70" i="58"/>
  <c r="BA70" i="58"/>
  <c r="AZ70" i="58"/>
  <c r="AY70" i="58"/>
  <c r="AV70" i="58"/>
  <c r="AU70" i="58"/>
  <c r="AT70" i="58"/>
  <c r="AS70" i="58"/>
  <c r="AP70" i="58"/>
  <c r="AO70" i="58"/>
  <c r="AN70" i="58"/>
  <c r="AM70" i="58"/>
  <c r="AJ70" i="58"/>
  <c r="AI70" i="58"/>
  <c r="AH70" i="58"/>
  <c r="AG70" i="58"/>
  <c r="AD70" i="58"/>
  <c r="AC70" i="58"/>
  <c r="AB70" i="58"/>
  <c r="AA70" i="58"/>
  <c r="X70" i="58"/>
  <c r="W70" i="58"/>
  <c r="V70" i="58"/>
  <c r="U70" i="58"/>
  <c r="R70" i="58"/>
  <c r="Q70" i="58"/>
  <c r="P70" i="58"/>
  <c r="O70" i="58"/>
  <c r="L70" i="58"/>
  <c r="BM69" i="58"/>
  <c r="BH69" i="58"/>
  <c r="BG69" i="58"/>
  <c r="BF69" i="58"/>
  <c r="BE69" i="58"/>
  <c r="BB69" i="58"/>
  <c r="BA69" i="58"/>
  <c r="AZ69" i="58"/>
  <c r="AY69" i="58"/>
  <c r="AV69" i="58"/>
  <c r="AU69" i="58"/>
  <c r="AT69" i="58"/>
  <c r="AS69" i="58"/>
  <c r="AP69" i="58"/>
  <c r="AO69" i="58"/>
  <c r="AN69" i="58"/>
  <c r="AM69" i="58"/>
  <c r="AJ69" i="58"/>
  <c r="AI69" i="58"/>
  <c r="AH69" i="58"/>
  <c r="AG69" i="58"/>
  <c r="AD69" i="58"/>
  <c r="AC69" i="58"/>
  <c r="AB69" i="58"/>
  <c r="AA69" i="58"/>
  <c r="X69" i="58"/>
  <c r="W69" i="58"/>
  <c r="V69" i="58"/>
  <c r="U69" i="58"/>
  <c r="R69" i="58"/>
  <c r="Q69" i="58"/>
  <c r="P69" i="58"/>
  <c r="O69" i="58"/>
  <c r="L69" i="58"/>
  <c r="BM68" i="58"/>
  <c r="BH68" i="58"/>
  <c r="BG68" i="58"/>
  <c r="BF68" i="58"/>
  <c r="BE68" i="58"/>
  <c r="BB68" i="58"/>
  <c r="BA68" i="58"/>
  <c r="AZ68" i="58"/>
  <c r="AY68" i="58"/>
  <c r="AV68" i="58"/>
  <c r="AU68" i="58"/>
  <c r="AT68" i="58"/>
  <c r="AS68" i="58"/>
  <c r="AP68" i="58"/>
  <c r="AO68" i="58"/>
  <c r="AN68" i="58"/>
  <c r="AM68" i="58"/>
  <c r="AJ68" i="58"/>
  <c r="AI68" i="58"/>
  <c r="AH68" i="58"/>
  <c r="AG68" i="58"/>
  <c r="AD68" i="58"/>
  <c r="AC68" i="58"/>
  <c r="AB68" i="58"/>
  <c r="AA68" i="58"/>
  <c r="X68" i="58"/>
  <c r="W68" i="58"/>
  <c r="V68" i="58"/>
  <c r="U68" i="58"/>
  <c r="R68" i="58"/>
  <c r="Q68" i="58"/>
  <c r="P68" i="58"/>
  <c r="O68" i="58"/>
  <c r="L68" i="58"/>
  <c r="BM67" i="58"/>
  <c r="BH67" i="58"/>
  <c r="BG67" i="58"/>
  <c r="BF67" i="58"/>
  <c r="BE67" i="58"/>
  <c r="BB67" i="58"/>
  <c r="BA67" i="58"/>
  <c r="AZ67" i="58"/>
  <c r="AY67" i="58"/>
  <c r="AV67" i="58"/>
  <c r="AU67" i="58"/>
  <c r="AT67" i="58"/>
  <c r="AS67" i="58"/>
  <c r="AP67" i="58"/>
  <c r="AO67" i="58"/>
  <c r="AN67" i="58"/>
  <c r="AM67" i="58"/>
  <c r="AJ67" i="58"/>
  <c r="AI67" i="58"/>
  <c r="AH67" i="58"/>
  <c r="AG67" i="58"/>
  <c r="AD67" i="58"/>
  <c r="AC67" i="58"/>
  <c r="AB67" i="58"/>
  <c r="AA67" i="58"/>
  <c r="X67" i="58"/>
  <c r="W67" i="58"/>
  <c r="V67" i="58"/>
  <c r="U67" i="58"/>
  <c r="R67" i="58"/>
  <c r="Q67" i="58"/>
  <c r="P67" i="58"/>
  <c r="O67" i="58"/>
  <c r="L67" i="58"/>
  <c r="BM66" i="58"/>
  <c r="BH66" i="58"/>
  <c r="BG66" i="58"/>
  <c r="BF66" i="58"/>
  <c r="BE66" i="58"/>
  <c r="BB66" i="58"/>
  <c r="BA66" i="58"/>
  <c r="AZ66" i="58"/>
  <c r="AY66" i="58"/>
  <c r="AV66" i="58"/>
  <c r="AU66" i="58"/>
  <c r="AT66" i="58"/>
  <c r="AS66" i="58"/>
  <c r="AP66" i="58"/>
  <c r="AO66" i="58"/>
  <c r="AN66" i="58"/>
  <c r="AM66" i="58"/>
  <c r="AJ66" i="58"/>
  <c r="AI66" i="58"/>
  <c r="AH66" i="58"/>
  <c r="AG66" i="58"/>
  <c r="BM65" i="58"/>
  <c r="BH65" i="58"/>
  <c r="BG65" i="58"/>
  <c r="BF65" i="58"/>
  <c r="BE65" i="58"/>
  <c r="BB65" i="58"/>
  <c r="BA65" i="58"/>
  <c r="AZ65" i="58"/>
  <c r="AY65" i="58"/>
  <c r="AV65" i="58"/>
  <c r="AU65" i="58"/>
  <c r="AT65" i="58"/>
  <c r="AS65" i="58"/>
  <c r="AP65" i="58"/>
  <c r="AO65" i="58"/>
  <c r="AN65" i="58"/>
  <c r="AM65" i="58"/>
  <c r="AJ65" i="58"/>
  <c r="AI65" i="58"/>
  <c r="AH65" i="58"/>
  <c r="AG65" i="58"/>
  <c r="AD65" i="58"/>
  <c r="AC65" i="58"/>
  <c r="AB65" i="58"/>
  <c r="AA65" i="58"/>
  <c r="X65" i="58"/>
  <c r="W65" i="58"/>
  <c r="V65" i="58"/>
  <c r="U65" i="58"/>
  <c r="R65" i="58"/>
  <c r="Q65" i="58"/>
  <c r="P65" i="58"/>
  <c r="O65" i="58"/>
  <c r="L65" i="58"/>
  <c r="BM64" i="58"/>
  <c r="BH64" i="58"/>
  <c r="BG64" i="58"/>
  <c r="BF64" i="58"/>
  <c r="BE64" i="58"/>
  <c r="BB64" i="58"/>
  <c r="BA64" i="58"/>
  <c r="AZ64" i="58"/>
  <c r="AY64" i="58"/>
  <c r="AV64" i="58"/>
  <c r="AU64" i="58"/>
  <c r="AT64" i="58"/>
  <c r="AS64" i="58"/>
  <c r="AP64" i="58"/>
  <c r="AO64" i="58"/>
  <c r="AN64" i="58"/>
  <c r="AM64" i="58"/>
  <c r="AJ64" i="58"/>
  <c r="AI64" i="58"/>
  <c r="AH64" i="58"/>
  <c r="AG64" i="58"/>
  <c r="AD64" i="58"/>
  <c r="AC64" i="58"/>
  <c r="AB64" i="58"/>
  <c r="AA64" i="58"/>
  <c r="X64" i="58"/>
  <c r="W64" i="58"/>
  <c r="V64" i="58"/>
  <c r="U64" i="58"/>
  <c r="R64" i="58"/>
  <c r="Q64" i="58"/>
  <c r="P64" i="58"/>
  <c r="O64" i="58"/>
  <c r="L64" i="58"/>
  <c r="BM63" i="58"/>
  <c r="BH63" i="58"/>
  <c r="BG63" i="58"/>
  <c r="BF63" i="58"/>
  <c r="BE63" i="58"/>
  <c r="BB63" i="58"/>
  <c r="BA63" i="58"/>
  <c r="AZ63" i="58"/>
  <c r="AY63" i="58"/>
  <c r="AV63" i="58"/>
  <c r="AU63" i="58"/>
  <c r="AT63" i="58"/>
  <c r="AS63" i="58"/>
  <c r="AP63" i="58"/>
  <c r="AO63" i="58"/>
  <c r="AN63" i="58"/>
  <c r="AM63" i="58"/>
  <c r="AJ63" i="58"/>
  <c r="AI63" i="58"/>
  <c r="AH63" i="58"/>
  <c r="AG63" i="58"/>
  <c r="AD63" i="58"/>
  <c r="AC63" i="58"/>
  <c r="AB63" i="58"/>
  <c r="AA63" i="58"/>
  <c r="X63" i="58"/>
  <c r="W63" i="58"/>
  <c r="V63" i="58"/>
  <c r="U63" i="58"/>
  <c r="R63" i="58"/>
  <c r="Q63" i="58"/>
  <c r="P63" i="58"/>
  <c r="O63" i="58"/>
  <c r="L63" i="58"/>
  <c r="BM62" i="58"/>
  <c r="BH62" i="58"/>
  <c r="BG62" i="58"/>
  <c r="BF62" i="58"/>
  <c r="BE62" i="58"/>
  <c r="BB62" i="58"/>
  <c r="BA62" i="58"/>
  <c r="AZ62" i="58"/>
  <c r="AY62" i="58"/>
  <c r="AV62" i="58"/>
  <c r="AU62" i="58"/>
  <c r="AT62" i="58"/>
  <c r="AS62" i="58"/>
  <c r="AP62" i="58"/>
  <c r="AO62" i="58"/>
  <c r="AN62" i="58"/>
  <c r="AM62" i="58"/>
  <c r="AJ62" i="58"/>
  <c r="AI62" i="58"/>
  <c r="AH62" i="58"/>
  <c r="AG62" i="58"/>
  <c r="AD62" i="58"/>
  <c r="AC62" i="58"/>
  <c r="AB62" i="58"/>
  <c r="AA62" i="58"/>
  <c r="X62" i="58"/>
  <c r="W62" i="58"/>
  <c r="V62" i="58"/>
  <c r="U62" i="58"/>
  <c r="R62" i="58"/>
  <c r="Q62" i="58"/>
  <c r="P62" i="58"/>
  <c r="O62" i="58"/>
  <c r="L62" i="58"/>
  <c r="BM61" i="58"/>
  <c r="BH61" i="58"/>
  <c r="BG61" i="58"/>
  <c r="BF61" i="58"/>
  <c r="BE61" i="58"/>
  <c r="BB61" i="58"/>
  <c r="BA61" i="58"/>
  <c r="AZ61" i="58"/>
  <c r="AY61" i="58"/>
  <c r="AV61" i="58"/>
  <c r="AU61" i="58"/>
  <c r="AT61" i="58"/>
  <c r="AS61" i="58"/>
  <c r="AP61" i="58"/>
  <c r="AO61" i="58"/>
  <c r="AN61" i="58"/>
  <c r="AM61" i="58"/>
  <c r="AJ61" i="58"/>
  <c r="AI61" i="58"/>
  <c r="AH61" i="58"/>
  <c r="AG61" i="58"/>
  <c r="AD61" i="58"/>
  <c r="AC61" i="58"/>
  <c r="AB61" i="58"/>
  <c r="AA61" i="58"/>
  <c r="X61" i="58"/>
  <c r="W61" i="58"/>
  <c r="V61" i="58"/>
  <c r="U61" i="58"/>
  <c r="R61" i="58"/>
  <c r="Q61" i="58"/>
  <c r="P61" i="58"/>
  <c r="O61" i="58"/>
  <c r="L61" i="58"/>
  <c r="BM60" i="58"/>
  <c r="BH60" i="58"/>
  <c r="BG60" i="58"/>
  <c r="BF60" i="58"/>
  <c r="BE60" i="58"/>
  <c r="BB60" i="58"/>
  <c r="BA60" i="58"/>
  <c r="AZ60" i="58"/>
  <c r="AY60" i="58"/>
  <c r="AV60" i="58"/>
  <c r="AU60" i="58"/>
  <c r="AT60" i="58"/>
  <c r="AS60" i="58"/>
  <c r="AP60" i="58"/>
  <c r="AO60" i="58"/>
  <c r="AN60" i="58"/>
  <c r="AM60" i="58"/>
  <c r="AJ60" i="58"/>
  <c r="AI60" i="58"/>
  <c r="AH60" i="58"/>
  <c r="AG60" i="58"/>
  <c r="AD60" i="58"/>
  <c r="AC60" i="58"/>
  <c r="AB60" i="58"/>
  <c r="AA60" i="58"/>
  <c r="X60" i="58"/>
  <c r="W60" i="58"/>
  <c r="V60" i="58"/>
  <c r="U60" i="58"/>
  <c r="R60" i="58"/>
  <c r="Q60" i="58"/>
  <c r="P60" i="58"/>
  <c r="O60" i="58"/>
  <c r="L60" i="58"/>
  <c r="BM59" i="58"/>
  <c r="BH59" i="58"/>
  <c r="BG59" i="58"/>
  <c r="BF59" i="58"/>
  <c r="BE59" i="58"/>
  <c r="BB59" i="58"/>
  <c r="BA59" i="58"/>
  <c r="AZ59" i="58"/>
  <c r="AY59" i="58"/>
  <c r="AV59" i="58"/>
  <c r="AU59" i="58"/>
  <c r="AT59" i="58"/>
  <c r="AS59" i="58"/>
  <c r="AP59" i="58"/>
  <c r="AO59" i="58"/>
  <c r="AN59" i="58"/>
  <c r="AM59" i="58"/>
  <c r="AJ59" i="58"/>
  <c r="AI59" i="58"/>
  <c r="AH59" i="58"/>
  <c r="AG59" i="58"/>
  <c r="AD59" i="58"/>
  <c r="AC59" i="58"/>
  <c r="AB59" i="58"/>
  <c r="AA59" i="58"/>
  <c r="X59" i="58"/>
  <c r="W59" i="58"/>
  <c r="V59" i="58"/>
  <c r="U59" i="58"/>
  <c r="R59" i="58"/>
  <c r="Q59" i="58"/>
  <c r="P59" i="58"/>
  <c r="O59" i="58"/>
  <c r="L59" i="58"/>
  <c r="BM58" i="58"/>
  <c r="BH58" i="58"/>
  <c r="BG58" i="58"/>
  <c r="BF58" i="58"/>
  <c r="BE58" i="58"/>
  <c r="BB58" i="58"/>
  <c r="BA58" i="58"/>
  <c r="AZ58" i="58"/>
  <c r="AY58" i="58"/>
  <c r="AV58" i="58"/>
  <c r="AU58" i="58"/>
  <c r="AT58" i="58"/>
  <c r="AS58" i="58"/>
  <c r="AP58" i="58"/>
  <c r="AO58" i="58"/>
  <c r="AN58" i="58"/>
  <c r="AM58" i="58"/>
  <c r="AJ58" i="58"/>
  <c r="AI58" i="58"/>
  <c r="AH58" i="58"/>
  <c r="AG58" i="58"/>
  <c r="AD58" i="58"/>
  <c r="AC58" i="58"/>
  <c r="AB58" i="58"/>
  <c r="AA58" i="58"/>
  <c r="X58" i="58"/>
  <c r="W58" i="58"/>
  <c r="V58" i="58"/>
  <c r="U58" i="58"/>
  <c r="R58" i="58"/>
  <c r="Q58" i="58"/>
  <c r="P58" i="58"/>
  <c r="O58" i="58"/>
  <c r="L58" i="58"/>
  <c r="BM57" i="58"/>
  <c r="BH57" i="58"/>
  <c r="BG57" i="58"/>
  <c r="BF57" i="58"/>
  <c r="BE57" i="58"/>
  <c r="BB57" i="58"/>
  <c r="BA57" i="58"/>
  <c r="AZ57" i="58"/>
  <c r="AY57" i="58"/>
  <c r="AV57" i="58"/>
  <c r="AU57" i="58"/>
  <c r="AT57" i="58"/>
  <c r="AS57" i="58"/>
  <c r="AP57" i="58"/>
  <c r="AO57" i="58"/>
  <c r="AN57" i="58"/>
  <c r="AM57" i="58"/>
  <c r="AJ57" i="58"/>
  <c r="AI57" i="58"/>
  <c r="AH57" i="58"/>
  <c r="AG57" i="58"/>
  <c r="AD57" i="58"/>
  <c r="AC57" i="58"/>
  <c r="AB57" i="58"/>
  <c r="AA57" i="58"/>
  <c r="X57" i="58"/>
  <c r="W57" i="58"/>
  <c r="V57" i="58"/>
  <c r="U57" i="58"/>
  <c r="R57" i="58"/>
  <c r="Q57" i="58"/>
  <c r="P57" i="58"/>
  <c r="O57" i="58"/>
  <c r="L57" i="58"/>
  <c r="BM56" i="58"/>
  <c r="BH56" i="58"/>
  <c r="BG56" i="58"/>
  <c r="BF56" i="58"/>
  <c r="BE56" i="58"/>
  <c r="BB56" i="58"/>
  <c r="BA56" i="58"/>
  <c r="AZ56" i="58"/>
  <c r="AY56" i="58"/>
  <c r="AV56" i="58"/>
  <c r="AU56" i="58"/>
  <c r="AT56" i="58"/>
  <c r="AS56" i="58"/>
  <c r="AP56" i="58"/>
  <c r="AO56" i="58"/>
  <c r="AN56" i="58"/>
  <c r="AM56" i="58"/>
  <c r="AJ56" i="58"/>
  <c r="AI56" i="58"/>
  <c r="AH56" i="58"/>
  <c r="AG56" i="58"/>
  <c r="AD56" i="58"/>
  <c r="AC56" i="58"/>
  <c r="AB56" i="58"/>
  <c r="AA56" i="58"/>
  <c r="X56" i="58"/>
  <c r="W56" i="58"/>
  <c r="V56" i="58"/>
  <c r="U56" i="58"/>
  <c r="R56" i="58"/>
  <c r="Q56" i="58"/>
  <c r="P56" i="58"/>
  <c r="O56" i="58"/>
  <c r="L56" i="58"/>
  <c r="BM55" i="58"/>
  <c r="BH55" i="58"/>
  <c r="BG55" i="58"/>
  <c r="BF55" i="58"/>
  <c r="BE55" i="58"/>
  <c r="BB55" i="58"/>
  <c r="BA55" i="58"/>
  <c r="AZ55" i="58"/>
  <c r="AY55" i="58"/>
  <c r="AV55" i="58"/>
  <c r="AU55" i="58"/>
  <c r="AT55" i="58"/>
  <c r="AS55" i="58"/>
  <c r="AP55" i="58"/>
  <c r="AO55" i="58"/>
  <c r="AN55" i="58"/>
  <c r="AM55" i="58"/>
  <c r="AJ55" i="58"/>
  <c r="AI55" i="58"/>
  <c r="AH55" i="58"/>
  <c r="AG55" i="58"/>
  <c r="AD55" i="58"/>
  <c r="AC55" i="58"/>
  <c r="AB55" i="58"/>
  <c r="AA55" i="58"/>
  <c r="X55" i="58"/>
  <c r="W55" i="58"/>
  <c r="V55" i="58"/>
  <c r="U55" i="58"/>
  <c r="R55" i="58"/>
  <c r="Q55" i="58"/>
  <c r="P55" i="58"/>
  <c r="O55" i="58"/>
  <c r="L55" i="58"/>
  <c r="BM54" i="58"/>
  <c r="BH54" i="58"/>
  <c r="BG54" i="58"/>
  <c r="BF54" i="58"/>
  <c r="BE54" i="58"/>
  <c r="BB54" i="58"/>
  <c r="BA54" i="58"/>
  <c r="AZ54" i="58"/>
  <c r="AY54" i="58"/>
  <c r="AV54" i="58"/>
  <c r="AU54" i="58"/>
  <c r="AT54" i="58"/>
  <c r="AS54" i="58"/>
  <c r="AP54" i="58"/>
  <c r="AO54" i="58"/>
  <c r="AN54" i="58"/>
  <c r="AM54" i="58"/>
  <c r="AJ54" i="58"/>
  <c r="AI54" i="58"/>
  <c r="AH54" i="58"/>
  <c r="AG54" i="58"/>
  <c r="AD54" i="58"/>
  <c r="AC54" i="58"/>
  <c r="AB54" i="58"/>
  <c r="AA54" i="58"/>
  <c r="X54" i="58"/>
  <c r="W54" i="58"/>
  <c r="V54" i="58"/>
  <c r="U54" i="58"/>
  <c r="R54" i="58"/>
  <c r="Q54" i="58"/>
  <c r="P54" i="58"/>
  <c r="O54" i="58"/>
  <c r="L54" i="58"/>
  <c r="BM53" i="58"/>
  <c r="BH53" i="58"/>
  <c r="BG53" i="58"/>
  <c r="BF53" i="58"/>
  <c r="BE53" i="58"/>
  <c r="BB53" i="58"/>
  <c r="BA53" i="58"/>
  <c r="AZ53" i="58"/>
  <c r="AY53" i="58"/>
  <c r="AV53" i="58"/>
  <c r="AU53" i="58"/>
  <c r="AT53" i="58"/>
  <c r="AS53" i="58"/>
  <c r="AP53" i="58"/>
  <c r="AO53" i="58"/>
  <c r="AN53" i="58"/>
  <c r="AM53" i="58"/>
  <c r="AJ53" i="58"/>
  <c r="AI53" i="58"/>
  <c r="AH53" i="58"/>
  <c r="AG53" i="58"/>
  <c r="AD53" i="58"/>
  <c r="AC53" i="58"/>
  <c r="AB53" i="58"/>
  <c r="AA53" i="58"/>
  <c r="X53" i="58"/>
  <c r="W53" i="58"/>
  <c r="V53" i="58"/>
  <c r="U53" i="58"/>
  <c r="R53" i="58"/>
  <c r="Q53" i="58"/>
  <c r="P53" i="58"/>
  <c r="O53" i="58"/>
  <c r="L53" i="58"/>
  <c r="BM52" i="58"/>
  <c r="BH52" i="58"/>
  <c r="BG52" i="58"/>
  <c r="BF52" i="58"/>
  <c r="BE52" i="58"/>
  <c r="BB52" i="58"/>
  <c r="BA52" i="58"/>
  <c r="AZ52" i="58"/>
  <c r="AY52" i="58"/>
  <c r="AV52" i="58"/>
  <c r="AU52" i="58"/>
  <c r="AT52" i="58"/>
  <c r="AS52" i="58"/>
  <c r="AP52" i="58"/>
  <c r="AO52" i="58"/>
  <c r="AN52" i="58"/>
  <c r="AM52" i="58"/>
  <c r="AJ52" i="58"/>
  <c r="AI52" i="58"/>
  <c r="AH52" i="58"/>
  <c r="AG52" i="58"/>
  <c r="AD52" i="58"/>
  <c r="AC52" i="58"/>
  <c r="AB52" i="58"/>
  <c r="AA52" i="58"/>
  <c r="X52" i="58"/>
  <c r="W52" i="58"/>
  <c r="V52" i="58"/>
  <c r="U52" i="58"/>
  <c r="R52" i="58"/>
  <c r="Q52" i="58"/>
  <c r="P52" i="58"/>
  <c r="O52" i="58"/>
  <c r="L52" i="58"/>
  <c r="BM51" i="58"/>
  <c r="BH51" i="58"/>
  <c r="BG51" i="58"/>
  <c r="BF51" i="58"/>
  <c r="BE51" i="58"/>
  <c r="BB51" i="58"/>
  <c r="BA51" i="58"/>
  <c r="AZ51" i="58"/>
  <c r="AY51" i="58"/>
  <c r="AV51" i="58"/>
  <c r="AU51" i="58"/>
  <c r="AT51" i="58"/>
  <c r="AS51" i="58"/>
  <c r="AP51" i="58"/>
  <c r="AO51" i="58"/>
  <c r="AN51" i="58"/>
  <c r="AM51" i="58"/>
  <c r="AJ51" i="58"/>
  <c r="AI51" i="58"/>
  <c r="AH51" i="58"/>
  <c r="AG51" i="58"/>
  <c r="AD51" i="58"/>
  <c r="AC51" i="58"/>
  <c r="AB51" i="58"/>
  <c r="AA51" i="58"/>
  <c r="X51" i="58"/>
  <c r="W51" i="58"/>
  <c r="V51" i="58"/>
  <c r="U51" i="58"/>
  <c r="R51" i="58"/>
  <c r="Q51" i="58"/>
  <c r="P51" i="58"/>
  <c r="O51" i="58"/>
  <c r="L51" i="58"/>
  <c r="BM50" i="58"/>
  <c r="BH50" i="58"/>
  <c r="BG50" i="58"/>
  <c r="BF50" i="58"/>
  <c r="BE50" i="58"/>
  <c r="BB50" i="58"/>
  <c r="BA50" i="58"/>
  <c r="AZ50" i="58"/>
  <c r="AY50" i="58"/>
  <c r="AV50" i="58"/>
  <c r="AU50" i="58"/>
  <c r="AT50" i="58"/>
  <c r="AS50" i="58"/>
  <c r="AP50" i="58"/>
  <c r="AO50" i="58"/>
  <c r="AN50" i="58"/>
  <c r="AM50" i="58"/>
  <c r="AJ50" i="58"/>
  <c r="AI50" i="58"/>
  <c r="AH50" i="58"/>
  <c r="AG50" i="58"/>
  <c r="AD50" i="58"/>
  <c r="AC50" i="58"/>
  <c r="AB50" i="58"/>
  <c r="AA50" i="58"/>
  <c r="X50" i="58"/>
  <c r="W50" i="58"/>
  <c r="V50" i="58"/>
  <c r="U50" i="58"/>
  <c r="R50" i="58"/>
  <c r="Q50" i="58"/>
  <c r="P50" i="58"/>
  <c r="O50" i="58"/>
  <c r="L50" i="58"/>
  <c r="BM49" i="58"/>
  <c r="BH49" i="58"/>
  <c r="BG49" i="58"/>
  <c r="BF49" i="58"/>
  <c r="BE49" i="58"/>
  <c r="BB49" i="58"/>
  <c r="BA49" i="58"/>
  <c r="AZ49" i="58"/>
  <c r="AY49" i="58"/>
  <c r="AV49" i="58"/>
  <c r="AU49" i="58"/>
  <c r="AT49" i="58"/>
  <c r="AS49" i="58"/>
  <c r="AP49" i="58"/>
  <c r="AO49" i="58"/>
  <c r="AN49" i="58"/>
  <c r="AM49" i="58"/>
  <c r="AJ49" i="58"/>
  <c r="AI49" i="58"/>
  <c r="AH49" i="58"/>
  <c r="AG49" i="58"/>
  <c r="AD49" i="58"/>
  <c r="AC49" i="58"/>
  <c r="AB49" i="58"/>
  <c r="AA49" i="58"/>
  <c r="X49" i="58"/>
  <c r="W49" i="58"/>
  <c r="V49" i="58"/>
  <c r="U49" i="58"/>
  <c r="R49" i="58"/>
  <c r="Q49" i="58"/>
  <c r="P49" i="58"/>
  <c r="O49" i="58"/>
  <c r="L49" i="58"/>
  <c r="BM48" i="58"/>
  <c r="BH48" i="58"/>
  <c r="BG48" i="58"/>
  <c r="BF48" i="58"/>
  <c r="BE48" i="58"/>
  <c r="BB48" i="58"/>
  <c r="BA48" i="58"/>
  <c r="AZ48" i="58"/>
  <c r="AY48" i="58"/>
  <c r="AV48" i="58"/>
  <c r="AU48" i="58"/>
  <c r="AT48" i="58"/>
  <c r="AS48" i="58"/>
  <c r="AP48" i="58"/>
  <c r="AO48" i="58"/>
  <c r="AN48" i="58"/>
  <c r="AM48" i="58"/>
  <c r="AJ48" i="58"/>
  <c r="AI48" i="58"/>
  <c r="AH48" i="58"/>
  <c r="AG48" i="58"/>
  <c r="AD48" i="58"/>
  <c r="AC48" i="58"/>
  <c r="AB48" i="58"/>
  <c r="AA48" i="58"/>
  <c r="X48" i="58"/>
  <c r="W48" i="58"/>
  <c r="V48" i="58"/>
  <c r="U48" i="58"/>
  <c r="R48" i="58"/>
  <c r="Q48" i="58"/>
  <c r="P48" i="58"/>
  <c r="O48" i="58"/>
  <c r="L48" i="58"/>
  <c r="BM47" i="58"/>
  <c r="BH47" i="58"/>
  <c r="BG47" i="58"/>
  <c r="BF47" i="58"/>
  <c r="BE47" i="58"/>
  <c r="BB47" i="58"/>
  <c r="BA47" i="58"/>
  <c r="AZ47" i="58"/>
  <c r="AY47" i="58"/>
  <c r="AV47" i="58"/>
  <c r="AU47" i="58"/>
  <c r="AT47" i="58"/>
  <c r="AS47" i="58"/>
  <c r="AP47" i="58"/>
  <c r="AO47" i="58"/>
  <c r="AN47" i="58"/>
  <c r="AM47" i="58"/>
  <c r="AJ47" i="58"/>
  <c r="AI47" i="58"/>
  <c r="AH47" i="58"/>
  <c r="AG47" i="58"/>
  <c r="AD47" i="58"/>
  <c r="AC47" i="58"/>
  <c r="AB47" i="58"/>
  <c r="AA47" i="58"/>
  <c r="X47" i="58"/>
  <c r="W47" i="58"/>
  <c r="V47" i="58"/>
  <c r="U47" i="58"/>
  <c r="R47" i="58"/>
  <c r="Q47" i="58"/>
  <c r="P47" i="58"/>
  <c r="O47" i="58"/>
  <c r="L47" i="58"/>
  <c r="BM46" i="58"/>
  <c r="BH46" i="58"/>
  <c r="BG46" i="58"/>
  <c r="BF46" i="58"/>
  <c r="BE46" i="58"/>
  <c r="BB46" i="58"/>
  <c r="BA46" i="58"/>
  <c r="AZ46" i="58"/>
  <c r="AY46" i="58"/>
  <c r="AV46" i="58"/>
  <c r="AU46" i="58"/>
  <c r="AT46" i="58"/>
  <c r="AS46" i="58"/>
  <c r="AP46" i="58"/>
  <c r="AO46" i="58"/>
  <c r="AN46" i="58"/>
  <c r="AM46" i="58"/>
  <c r="AJ46" i="58"/>
  <c r="AI46" i="58"/>
  <c r="AH46" i="58"/>
  <c r="AG46" i="58"/>
  <c r="AD46" i="58"/>
  <c r="AC46" i="58"/>
  <c r="AB46" i="58"/>
  <c r="AA46" i="58"/>
  <c r="X46" i="58"/>
  <c r="W46" i="58"/>
  <c r="V46" i="58"/>
  <c r="U46" i="58"/>
  <c r="R46" i="58"/>
  <c r="Q46" i="58"/>
  <c r="P46" i="58"/>
  <c r="O46" i="58"/>
  <c r="L46" i="58"/>
  <c r="BM45" i="58"/>
  <c r="BH45" i="58"/>
  <c r="BG45" i="58"/>
  <c r="BF45" i="58"/>
  <c r="BE45" i="58"/>
  <c r="BB45" i="58"/>
  <c r="BA45" i="58"/>
  <c r="AZ45" i="58"/>
  <c r="AY45" i="58"/>
  <c r="AV45" i="58"/>
  <c r="AU45" i="58"/>
  <c r="AT45" i="58"/>
  <c r="AS45" i="58"/>
  <c r="AP45" i="58"/>
  <c r="AO45" i="58"/>
  <c r="AN45" i="58"/>
  <c r="AM45" i="58"/>
  <c r="AJ45" i="58"/>
  <c r="AI45" i="58"/>
  <c r="AH45" i="58"/>
  <c r="AG45" i="58"/>
  <c r="AD45" i="58"/>
  <c r="AC45" i="58"/>
  <c r="AB45" i="58"/>
  <c r="AA45" i="58"/>
  <c r="X45" i="58"/>
  <c r="W45" i="58"/>
  <c r="V45" i="58"/>
  <c r="U45" i="58"/>
  <c r="R45" i="58"/>
  <c r="Q45" i="58"/>
  <c r="P45" i="58"/>
  <c r="O45" i="58"/>
  <c r="L45" i="58"/>
  <c r="BM44" i="58"/>
  <c r="BH44" i="58"/>
  <c r="BG44" i="58"/>
  <c r="BF44" i="58"/>
  <c r="BE44" i="58"/>
  <c r="BB44" i="58"/>
  <c r="BA44" i="58"/>
  <c r="AZ44" i="58"/>
  <c r="AY44" i="58"/>
  <c r="AV44" i="58"/>
  <c r="AU44" i="58"/>
  <c r="AT44" i="58"/>
  <c r="AS44" i="58"/>
  <c r="AP44" i="58"/>
  <c r="AO44" i="58"/>
  <c r="AN44" i="58"/>
  <c r="AM44" i="58"/>
  <c r="AJ44" i="58"/>
  <c r="AI44" i="58"/>
  <c r="AH44" i="58"/>
  <c r="AG44" i="58"/>
  <c r="AD44" i="58"/>
  <c r="AC44" i="58"/>
  <c r="AB44" i="58"/>
  <c r="AA44" i="58"/>
  <c r="X44" i="58"/>
  <c r="W44" i="58"/>
  <c r="V44" i="58"/>
  <c r="U44" i="58"/>
  <c r="R44" i="58"/>
  <c r="Q44" i="58"/>
  <c r="P44" i="58"/>
  <c r="O44" i="58"/>
  <c r="L44" i="58"/>
  <c r="BM43" i="58"/>
  <c r="BH43" i="58"/>
  <c r="BG43" i="58"/>
  <c r="BF43" i="58"/>
  <c r="BE43" i="58"/>
  <c r="BB43" i="58"/>
  <c r="BA43" i="58"/>
  <c r="AZ43" i="58"/>
  <c r="AY43" i="58"/>
  <c r="AV43" i="58"/>
  <c r="AU43" i="58"/>
  <c r="AT43" i="58"/>
  <c r="AS43" i="58"/>
  <c r="AP43" i="58"/>
  <c r="AO43" i="58"/>
  <c r="AN43" i="58"/>
  <c r="AM43" i="58"/>
  <c r="AJ43" i="58"/>
  <c r="AI43" i="58"/>
  <c r="AH43" i="58"/>
  <c r="AG43" i="58"/>
  <c r="AD43" i="58"/>
  <c r="AC43" i="58"/>
  <c r="AB43" i="58"/>
  <c r="AA43" i="58"/>
  <c r="X43" i="58"/>
  <c r="W43" i="58"/>
  <c r="V43" i="58"/>
  <c r="U43" i="58"/>
  <c r="R43" i="58"/>
  <c r="Q43" i="58"/>
  <c r="P43" i="58"/>
  <c r="O43" i="58"/>
  <c r="L43" i="58"/>
  <c r="BM42" i="58"/>
  <c r="BH42" i="58"/>
  <c r="BG42" i="58"/>
  <c r="BF42" i="58"/>
  <c r="BE42" i="58"/>
  <c r="BB42" i="58"/>
  <c r="BA42" i="58"/>
  <c r="AZ42" i="58"/>
  <c r="AY42" i="58"/>
  <c r="AV42" i="58"/>
  <c r="AU42" i="58"/>
  <c r="AT42" i="58"/>
  <c r="AS42" i="58"/>
  <c r="AP42" i="58"/>
  <c r="AO42" i="58"/>
  <c r="AN42" i="58"/>
  <c r="AM42" i="58"/>
  <c r="AJ42" i="58"/>
  <c r="AI42" i="58"/>
  <c r="AH42" i="58"/>
  <c r="AG42" i="58"/>
  <c r="AD42" i="58"/>
  <c r="AC42" i="58"/>
  <c r="AB42" i="58"/>
  <c r="AA42" i="58"/>
  <c r="X42" i="58"/>
  <c r="W42" i="58"/>
  <c r="V42" i="58"/>
  <c r="U42" i="58"/>
  <c r="R42" i="58"/>
  <c r="Q42" i="58"/>
  <c r="P42" i="58"/>
  <c r="O42" i="58"/>
  <c r="L42" i="58"/>
  <c r="BM41" i="58"/>
  <c r="BH41" i="58"/>
  <c r="BG41" i="58"/>
  <c r="BF41" i="58"/>
  <c r="BE41" i="58"/>
  <c r="BB41" i="58"/>
  <c r="BA41" i="58"/>
  <c r="AZ41" i="58"/>
  <c r="AY41" i="58"/>
  <c r="AV41" i="58"/>
  <c r="AU41" i="58"/>
  <c r="AT41" i="58"/>
  <c r="AS41" i="58"/>
  <c r="AP41" i="58"/>
  <c r="AO41" i="58"/>
  <c r="AN41" i="58"/>
  <c r="AM41" i="58"/>
  <c r="AJ41" i="58"/>
  <c r="AI41" i="58"/>
  <c r="AH41" i="58"/>
  <c r="AG41" i="58"/>
  <c r="AD41" i="58"/>
  <c r="AC41" i="58"/>
  <c r="AB41" i="58"/>
  <c r="AA41" i="58"/>
  <c r="X41" i="58"/>
  <c r="W41" i="58"/>
  <c r="V41" i="58"/>
  <c r="U41" i="58"/>
  <c r="R41" i="58"/>
  <c r="Q41" i="58"/>
  <c r="P41" i="58"/>
  <c r="O41" i="58"/>
  <c r="L41" i="58"/>
  <c r="BM40" i="58"/>
  <c r="BH40" i="58"/>
  <c r="BG40" i="58"/>
  <c r="BF40" i="58"/>
  <c r="BE40" i="58"/>
  <c r="BB40" i="58"/>
  <c r="BA40" i="58"/>
  <c r="AZ40" i="58"/>
  <c r="AY40" i="58"/>
  <c r="AV40" i="58"/>
  <c r="AU40" i="58"/>
  <c r="AT40" i="58"/>
  <c r="AS40" i="58"/>
  <c r="AP40" i="58"/>
  <c r="AO40" i="58"/>
  <c r="AN40" i="58"/>
  <c r="AM40" i="58"/>
  <c r="AJ40" i="58"/>
  <c r="AI40" i="58"/>
  <c r="AH40" i="58"/>
  <c r="AG40" i="58"/>
  <c r="AD40" i="58"/>
  <c r="AC40" i="58"/>
  <c r="AB40" i="58"/>
  <c r="AA40" i="58"/>
  <c r="X40" i="58"/>
  <c r="W40" i="58"/>
  <c r="V40" i="58"/>
  <c r="U40" i="58"/>
  <c r="R40" i="58"/>
  <c r="Q40" i="58"/>
  <c r="P40" i="58"/>
  <c r="O40" i="58"/>
  <c r="L40" i="58"/>
  <c r="BM39" i="58"/>
  <c r="BH39" i="58"/>
  <c r="BG39" i="58"/>
  <c r="BF39" i="58"/>
  <c r="BE39" i="58"/>
  <c r="BB39" i="58"/>
  <c r="BA39" i="58"/>
  <c r="AZ39" i="58"/>
  <c r="AY39" i="58"/>
  <c r="AV39" i="58"/>
  <c r="AU39" i="58"/>
  <c r="AT39" i="58"/>
  <c r="AS39" i="58"/>
  <c r="AP39" i="58"/>
  <c r="AO39" i="58"/>
  <c r="AN39" i="58"/>
  <c r="AM39" i="58"/>
  <c r="AJ39" i="58"/>
  <c r="AI39" i="58"/>
  <c r="AH39" i="58"/>
  <c r="AG39" i="58"/>
  <c r="AD39" i="58"/>
  <c r="AC39" i="58"/>
  <c r="AB39" i="58"/>
  <c r="AA39" i="58"/>
  <c r="X39" i="58"/>
  <c r="W39" i="58"/>
  <c r="V39" i="58"/>
  <c r="U39" i="58"/>
  <c r="R39" i="58"/>
  <c r="Q39" i="58"/>
  <c r="P39" i="58"/>
  <c r="O39" i="58"/>
  <c r="L39" i="58"/>
  <c r="BM38" i="58"/>
  <c r="BH38" i="58"/>
  <c r="BG38" i="58"/>
  <c r="BF38" i="58"/>
  <c r="BE38" i="58"/>
  <c r="BB38" i="58"/>
  <c r="BA38" i="58"/>
  <c r="AZ38" i="58"/>
  <c r="AY38" i="58"/>
  <c r="AV38" i="58"/>
  <c r="AU38" i="58"/>
  <c r="AT38" i="58"/>
  <c r="AS38" i="58"/>
  <c r="AP38" i="58"/>
  <c r="AO38" i="58"/>
  <c r="AN38" i="58"/>
  <c r="AM38" i="58"/>
  <c r="AJ38" i="58"/>
  <c r="AI38" i="58"/>
  <c r="AH38" i="58"/>
  <c r="AG38" i="58"/>
  <c r="AD38" i="58"/>
  <c r="AC38" i="58"/>
  <c r="AB38" i="58"/>
  <c r="AA38" i="58"/>
  <c r="X38" i="58"/>
  <c r="W38" i="58"/>
  <c r="V38" i="58"/>
  <c r="U38" i="58"/>
  <c r="R38" i="58"/>
  <c r="Q38" i="58"/>
  <c r="P38" i="58"/>
  <c r="O38" i="58"/>
  <c r="L38" i="58"/>
  <c r="BM37" i="58"/>
  <c r="BH37" i="58"/>
  <c r="BG37" i="58"/>
  <c r="BF37" i="58"/>
  <c r="BE37" i="58"/>
  <c r="BB37" i="58"/>
  <c r="BA37" i="58"/>
  <c r="AZ37" i="58"/>
  <c r="AY37" i="58"/>
  <c r="AV37" i="58"/>
  <c r="AU37" i="58"/>
  <c r="AT37" i="58"/>
  <c r="AS37" i="58"/>
  <c r="AP37" i="58"/>
  <c r="AO37" i="58"/>
  <c r="AN37" i="58"/>
  <c r="AM37" i="58"/>
  <c r="AJ37" i="58"/>
  <c r="AI37" i="58"/>
  <c r="AH37" i="58"/>
  <c r="AG37" i="58"/>
  <c r="AD37" i="58"/>
  <c r="AC37" i="58"/>
  <c r="AB37" i="58"/>
  <c r="AA37" i="58"/>
  <c r="X37" i="58"/>
  <c r="W37" i="58"/>
  <c r="V37" i="58"/>
  <c r="U37" i="58"/>
  <c r="R37" i="58"/>
  <c r="Q37" i="58"/>
  <c r="P37" i="58"/>
  <c r="O37" i="58"/>
  <c r="L37" i="58"/>
  <c r="BM36" i="58"/>
  <c r="BH36" i="58"/>
  <c r="BG36" i="58"/>
  <c r="BF36" i="58"/>
  <c r="BE36" i="58"/>
  <c r="BB36" i="58"/>
  <c r="BA36" i="58"/>
  <c r="AZ36" i="58"/>
  <c r="AY36" i="58"/>
  <c r="AV36" i="58"/>
  <c r="AU36" i="58"/>
  <c r="AT36" i="58"/>
  <c r="AS36" i="58"/>
  <c r="AP36" i="58"/>
  <c r="AO36" i="58"/>
  <c r="AN36" i="58"/>
  <c r="AM36" i="58"/>
  <c r="AJ36" i="58"/>
  <c r="AI36" i="58"/>
  <c r="AH36" i="58"/>
  <c r="AG36" i="58"/>
  <c r="AD36" i="58"/>
  <c r="AC36" i="58"/>
  <c r="AB36" i="58"/>
  <c r="AA36" i="58"/>
  <c r="X36" i="58"/>
  <c r="W36" i="58"/>
  <c r="V36" i="58"/>
  <c r="U36" i="58"/>
  <c r="R36" i="58"/>
  <c r="Q36" i="58"/>
  <c r="P36" i="58"/>
  <c r="O36" i="58"/>
  <c r="L36" i="58"/>
  <c r="BM35" i="58"/>
  <c r="BH35" i="58"/>
  <c r="BG35" i="58"/>
  <c r="BF35" i="58"/>
  <c r="BE35" i="58"/>
  <c r="BB35" i="58"/>
  <c r="BA35" i="58"/>
  <c r="AZ35" i="58"/>
  <c r="AY35" i="58"/>
  <c r="AV35" i="58"/>
  <c r="AU35" i="58"/>
  <c r="AT35" i="58"/>
  <c r="AS35" i="58"/>
  <c r="AP35" i="58"/>
  <c r="AO35" i="58"/>
  <c r="AN35" i="58"/>
  <c r="AM35" i="58"/>
  <c r="AJ35" i="58"/>
  <c r="AI35" i="58"/>
  <c r="AH35" i="58"/>
  <c r="AG35" i="58"/>
  <c r="AD35" i="58"/>
  <c r="AC35" i="58"/>
  <c r="AB35" i="58"/>
  <c r="AA35" i="58"/>
  <c r="X35" i="58"/>
  <c r="W35" i="58"/>
  <c r="V35" i="58"/>
  <c r="U35" i="58"/>
  <c r="R35" i="58"/>
  <c r="Q35" i="58"/>
  <c r="P35" i="58"/>
  <c r="O35" i="58"/>
  <c r="L35" i="58"/>
  <c r="BM34" i="58"/>
  <c r="BH34" i="58"/>
  <c r="BG34" i="58"/>
  <c r="BF34" i="58"/>
  <c r="BE34" i="58"/>
  <c r="BB34" i="58"/>
  <c r="BA34" i="58"/>
  <c r="AZ34" i="58"/>
  <c r="AY34" i="58"/>
  <c r="AV34" i="58"/>
  <c r="AU34" i="58"/>
  <c r="AT34" i="58"/>
  <c r="AS34" i="58"/>
  <c r="AP34" i="58"/>
  <c r="AO34" i="58"/>
  <c r="AN34" i="58"/>
  <c r="AM34" i="58"/>
  <c r="AJ34" i="58"/>
  <c r="AI34" i="58"/>
  <c r="AH34" i="58"/>
  <c r="AG34" i="58"/>
  <c r="AD34" i="58"/>
  <c r="AC34" i="58"/>
  <c r="AB34" i="58"/>
  <c r="AA34" i="58"/>
  <c r="X34" i="58"/>
  <c r="W34" i="58"/>
  <c r="V34" i="58"/>
  <c r="U34" i="58"/>
  <c r="R34" i="58"/>
  <c r="Q34" i="58"/>
  <c r="P34" i="58"/>
  <c r="O34" i="58"/>
  <c r="L34" i="58"/>
  <c r="BM33" i="58"/>
  <c r="BH33" i="58"/>
  <c r="BG33" i="58"/>
  <c r="BF33" i="58"/>
  <c r="BE33" i="58"/>
  <c r="BB33" i="58"/>
  <c r="BA33" i="58"/>
  <c r="AZ33" i="58"/>
  <c r="AY33" i="58"/>
  <c r="AV33" i="58"/>
  <c r="AU33" i="58"/>
  <c r="AT33" i="58"/>
  <c r="AS33" i="58"/>
  <c r="AP33" i="58"/>
  <c r="AO33" i="58"/>
  <c r="AN33" i="58"/>
  <c r="AM33" i="58"/>
  <c r="AJ33" i="58"/>
  <c r="AI33" i="58"/>
  <c r="AH33" i="58"/>
  <c r="AG33" i="58"/>
  <c r="AD33" i="58"/>
  <c r="AC33" i="58"/>
  <c r="AB33" i="58"/>
  <c r="AA33" i="58"/>
  <c r="X33" i="58"/>
  <c r="W33" i="58"/>
  <c r="V33" i="58"/>
  <c r="U33" i="58"/>
  <c r="R33" i="58"/>
  <c r="Q33" i="58"/>
  <c r="P33" i="58"/>
  <c r="O33" i="58"/>
  <c r="L33" i="58"/>
  <c r="BM32" i="58"/>
  <c r="BH32" i="58"/>
  <c r="BG32" i="58"/>
  <c r="BF32" i="58"/>
  <c r="BE32" i="58"/>
  <c r="BB32" i="58"/>
  <c r="BA32" i="58"/>
  <c r="AZ32" i="58"/>
  <c r="AY32" i="58"/>
  <c r="AV32" i="58"/>
  <c r="AU32" i="58"/>
  <c r="AT32" i="58"/>
  <c r="AS32" i="58"/>
  <c r="AP32" i="58"/>
  <c r="AO32" i="58"/>
  <c r="AN32" i="58"/>
  <c r="AM32" i="58"/>
  <c r="AJ32" i="58"/>
  <c r="AI32" i="58"/>
  <c r="AH32" i="58"/>
  <c r="AG32" i="58"/>
  <c r="AD32" i="58"/>
  <c r="AC32" i="58"/>
  <c r="AB32" i="58"/>
  <c r="AA32" i="58"/>
  <c r="X32" i="58"/>
  <c r="W32" i="58"/>
  <c r="V32" i="58"/>
  <c r="U32" i="58"/>
  <c r="R32" i="58"/>
  <c r="Q32" i="58"/>
  <c r="P32" i="58"/>
  <c r="O32" i="58"/>
  <c r="L32" i="58"/>
  <c r="BM31" i="58"/>
  <c r="BH31" i="58"/>
  <c r="BG31" i="58"/>
  <c r="BF31" i="58"/>
  <c r="BE31" i="58"/>
  <c r="BB31" i="58"/>
  <c r="BA31" i="58"/>
  <c r="AZ31" i="58"/>
  <c r="AY31" i="58"/>
  <c r="AV31" i="58"/>
  <c r="AU31" i="58"/>
  <c r="AT31" i="58"/>
  <c r="AS31" i="58"/>
  <c r="AP31" i="58"/>
  <c r="AO31" i="58"/>
  <c r="AN31" i="58"/>
  <c r="AM31" i="58"/>
  <c r="AJ31" i="58"/>
  <c r="AI31" i="58"/>
  <c r="AH31" i="58"/>
  <c r="AG31" i="58"/>
  <c r="AD31" i="58"/>
  <c r="AC31" i="58"/>
  <c r="AB31" i="58"/>
  <c r="AA31" i="58"/>
  <c r="X31" i="58"/>
  <c r="W31" i="58"/>
  <c r="V31" i="58"/>
  <c r="U31" i="58"/>
  <c r="R31" i="58"/>
  <c r="Q31" i="58"/>
  <c r="P31" i="58"/>
  <c r="O31" i="58"/>
  <c r="L31" i="58"/>
  <c r="BM30" i="58"/>
  <c r="BH30" i="58"/>
  <c r="BG30" i="58"/>
  <c r="BF30" i="58"/>
  <c r="BE30" i="58"/>
  <c r="BB30" i="58"/>
  <c r="BA30" i="58"/>
  <c r="AZ30" i="58"/>
  <c r="AY30" i="58"/>
  <c r="AV30" i="58"/>
  <c r="AU30" i="58"/>
  <c r="AT30" i="58"/>
  <c r="AS30" i="58"/>
  <c r="AP30" i="58"/>
  <c r="AO30" i="58"/>
  <c r="AN30" i="58"/>
  <c r="AM30" i="58"/>
  <c r="AJ30" i="58"/>
  <c r="AI30" i="58"/>
  <c r="AH30" i="58"/>
  <c r="AG30" i="58"/>
  <c r="AD30" i="58"/>
  <c r="AC30" i="58"/>
  <c r="AB30" i="58"/>
  <c r="AA30" i="58"/>
  <c r="X30" i="58"/>
  <c r="W30" i="58"/>
  <c r="V30" i="58"/>
  <c r="U30" i="58"/>
  <c r="R30" i="58"/>
  <c r="Q30" i="58"/>
  <c r="P30" i="58"/>
  <c r="O30" i="58"/>
  <c r="L30" i="58"/>
  <c r="BM29" i="58"/>
  <c r="BH29" i="58"/>
  <c r="BG29" i="58"/>
  <c r="BF29" i="58"/>
  <c r="BE29" i="58"/>
  <c r="BB29" i="58"/>
  <c r="BA29" i="58"/>
  <c r="AZ29" i="58"/>
  <c r="AY29" i="58"/>
  <c r="AV29" i="58"/>
  <c r="AU29" i="58"/>
  <c r="AT29" i="58"/>
  <c r="AS29" i="58"/>
  <c r="AP29" i="58"/>
  <c r="AO29" i="58"/>
  <c r="AN29" i="58"/>
  <c r="AM29" i="58"/>
  <c r="AJ29" i="58"/>
  <c r="AI29" i="58"/>
  <c r="AH29" i="58"/>
  <c r="AG29" i="58"/>
  <c r="AD29" i="58"/>
  <c r="AC29" i="58"/>
  <c r="AB29" i="58"/>
  <c r="AA29" i="58"/>
  <c r="X29" i="58"/>
  <c r="W29" i="58"/>
  <c r="V29" i="58"/>
  <c r="U29" i="58"/>
  <c r="R29" i="58"/>
  <c r="Q29" i="58"/>
  <c r="P29" i="58"/>
  <c r="O29" i="58"/>
  <c r="L29" i="58"/>
  <c r="BM28" i="58"/>
  <c r="BH28" i="58"/>
  <c r="BG28" i="58"/>
  <c r="BF28" i="58"/>
  <c r="BE28" i="58"/>
  <c r="BB28" i="58"/>
  <c r="BA28" i="58"/>
  <c r="AZ28" i="58"/>
  <c r="AY28" i="58"/>
  <c r="AV28" i="58"/>
  <c r="AU28" i="58"/>
  <c r="AT28" i="58"/>
  <c r="AS28" i="58"/>
  <c r="AP28" i="58"/>
  <c r="AO28" i="58"/>
  <c r="AN28" i="58"/>
  <c r="AM28" i="58"/>
  <c r="AJ28" i="58"/>
  <c r="AI28" i="58"/>
  <c r="AH28" i="58"/>
  <c r="AG28" i="58"/>
  <c r="AD28" i="58"/>
  <c r="AC28" i="58"/>
  <c r="AB28" i="58"/>
  <c r="AA28" i="58"/>
  <c r="X28" i="58"/>
  <c r="W28" i="58"/>
  <c r="V28" i="58"/>
  <c r="U28" i="58"/>
  <c r="R28" i="58"/>
  <c r="Q28" i="58"/>
  <c r="P28" i="58"/>
  <c r="O28" i="58"/>
  <c r="L28" i="58"/>
  <c r="BM27" i="58"/>
  <c r="BH27" i="58"/>
  <c r="BG27" i="58"/>
  <c r="BF27" i="58"/>
  <c r="BE27" i="58"/>
  <c r="BB27" i="58"/>
  <c r="BA27" i="58"/>
  <c r="AZ27" i="58"/>
  <c r="AY27" i="58"/>
  <c r="AV27" i="58"/>
  <c r="AU27" i="58"/>
  <c r="AT27" i="58"/>
  <c r="AS27" i="58"/>
  <c r="AP27" i="58"/>
  <c r="AO27" i="58"/>
  <c r="AN27" i="58"/>
  <c r="AM27" i="58"/>
  <c r="AJ27" i="58"/>
  <c r="AI27" i="58"/>
  <c r="AH27" i="58"/>
  <c r="AG27" i="58"/>
  <c r="AD27" i="58"/>
  <c r="AC27" i="58"/>
  <c r="AB27" i="58"/>
  <c r="AA27" i="58"/>
  <c r="X27" i="58"/>
  <c r="W27" i="58"/>
  <c r="V27" i="58"/>
  <c r="U27" i="58"/>
  <c r="R27" i="58"/>
  <c r="Q27" i="58"/>
  <c r="P27" i="58"/>
  <c r="O27" i="58"/>
  <c r="L27" i="58"/>
  <c r="BM26" i="58"/>
  <c r="BH26" i="58"/>
  <c r="BG26" i="58"/>
  <c r="BF26" i="58"/>
  <c r="BE26" i="58"/>
  <c r="BB26" i="58"/>
  <c r="BA26" i="58"/>
  <c r="AZ26" i="58"/>
  <c r="AY26" i="58"/>
  <c r="AV26" i="58"/>
  <c r="AU26" i="58"/>
  <c r="AT26" i="58"/>
  <c r="AS26" i="58"/>
  <c r="AP26" i="58"/>
  <c r="AO26" i="58"/>
  <c r="AN26" i="58"/>
  <c r="AM26" i="58"/>
  <c r="AJ26" i="58"/>
  <c r="AI26" i="58"/>
  <c r="AH26" i="58"/>
  <c r="AG26" i="58"/>
  <c r="AD26" i="58"/>
  <c r="AC26" i="58"/>
  <c r="AB26" i="58"/>
  <c r="AA26" i="58"/>
  <c r="X26" i="58"/>
  <c r="W26" i="58"/>
  <c r="V26" i="58"/>
  <c r="U26" i="58"/>
  <c r="R26" i="58"/>
  <c r="Q26" i="58"/>
  <c r="P26" i="58"/>
  <c r="O26" i="58"/>
  <c r="L26" i="58"/>
  <c r="BM25" i="58"/>
  <c r="BH25" i="58"/>
  <c r="BG25" i="58"/>
  <c r="BF25" i="58"/>
  <c r="BE25" i="58"/>
  <c r="BB25" i="58"/>
  <c r="BA25" i="58"/>
  <c r="AZ25" i="58"/>
  <c r="AY25" i="58"/>
  <c r="AV25" i="58"/>
  <c r="AU25" i="58"/>
  <c r="AT25" i="58"/>
  <c r="AS25" i="58"/>
  <c r="AP25" i="58"/>
  <c r="AO25" i="58"/>
  <c r="AN25" i="58"/>
  <c r="AM25" i="58"/>
  <c r="AJ25" i="58"/>
  <c r="AI25" i="58"/>
  <c r="AH25" i="58"/>
  <c r="AG25" i="58"/>
  <c r="AD25" i="58"/>
  <c r="AC25" i="58"/>
  <c r="AB25" i="58"/>
  <c r="AA25" i="58"/>
  <c r="X25" i="58"/>
  <c r="W25" i="58"/>
  <c r="V25" i="58"/>
  <c r="U25" i="58"/>
  <c r="R25" i="58"/>
  <c r="Q25" i="58"/>
  <c r="P25" i="58"/>
  <c r="O25" i="58"/>
  <c r="L25" i="58"/>
  <c r="BM24" i="58"/>
  <c r="BH24" i="58"/>
  <c r="BG24" i="58"/>
  <c r="BF24" i="58"/>
  <c r="BE24" i="58"/>
  <c r="BB24" i="58"/>
  <c r="BA24" i="58"/>
  <c r="AZ24" i="58"/>
  <c r="AY24" i="58"/>
  <c r="AV24" i="58"/>
  <c r="AU24" i="58"/>
  <c r="AT24" i="58"/>
  <c r="AS24" i="58"/>
  <c r="AP24" i="58"/>
  <c r="AO24" i="58"/>
  <c r="AN24" i="58"/>
  <c r="AM24" i="58"/>
  <c r="AJ24" i="58"/>
  <c r="AI24" i="58"/>
  <c r="AH24" i="58"/>
  <c r="AG24" i="58"/>
  <c r="AD24" i="58"/>
  <c r="AC24" i="58"/>
  <c r="AB24" i="58"/>
  <c r="AA24" i="58"/>
  <c r="X24" i="58"/>
  <c r="W24" i="58"/>
  <c r="V24" i="58"/>
  <c r="U24" i="58"/>
  <c r="R24" i="58"/>
  <c r="Q24" i="58"/>
  <c r="P24" i="58"/>
  <c r="O24" i="58"/>
  <c r="L24" i="58"/>
  <c r="BM23" i="58"/>
  <c r="BH23" i="58"/>
  <c r="BG23" i="58"/>
  <c r="BF23" i="58"/>
  <c r="BE23" i="58"/>
  <c r="BB23" i="58"/>
  <c r="BA23" i="58"/>
  <c r="AZ23" i="58"/>
  <c r="AY23" i="58"/>
  <c r="AV23" i="58"/>
  <c r="AU23" i="58"/>
  <c r="AT23" i="58"/>
  <c r="AS23" i="58"/>
  <c r="AP23" i="58"/>
  <c r="AO23" i="58"/>
  <c r="AN23" i="58"/>
  <c r="AM23" i="58"/>
  <c r="AJ23" i="58"/>
  <c r="AI23" i="58"/>
  <c r="AH23" i="58"/>
  <c r="AG23" i="58"/>
  <c r="AD23" i="58"/>
  <c r="AC23" i="58"/>
  <c r="AB23" i="58"/>
  <c r="AA23" i="58"/>
  <c r="X23" i="58"/>
  <c r="W23" i="58"/>
  <c r="V23" i="58"/>
  <c r="U23" i="58"/>
  <c r="R23" i="58"/>
  <c r="Q23" i="58"/>
  <c r="P23" i="58"/>
  <c r="O23" i="58"/>
  <c r="L23" i="58"/>
  <c r="BM22" i="58"/>
  <c r="BH22" i="58"/>
  <c r="BG22" i="58"/>
  <c r="BF22" i="58"/>
  <c r="BE22" i="58"/>
  <c r="BB22" i="58"/>
  <c r="BA22" i="58"/>
  <c r="AZ22" i="58"/>
  <c r="AY22" i="58"/>
  <c r="AV22" i="58"/>
  <c r="AU22" i="58"/>
  <c r="AT22" i="58"/>
  <c r="AS22" i="58"/>
  <c r="AP22" i="58"/>
  <c r="AO22" i="58"/>
  <c r="AN22" i="58"/>
  <c r="AM22" i="58"/>
  <c r="AJ22" i="58"/>
  <c r="AI22" i="58"/>
  <c r="AH22" i="58"/>
  <c r="AG22" i="58"/>
  <c r="AD22" i="58"/>
  <c r="AC22" i="58"/>
  <c r="AB22" i="58"/>
  <c r="AA22" i="58"/>
  <c r="X22" i="58"/>
  <c r="W22" i="58"/>
  <c r="V22" i="58"/>
  <c r="U22" i="58"/>
  <c r="R22" i="58"/>
  <c r="Q22" i="58"/>
  <c r="P22" i="58"/>
  <c r="O22" i="58"/>
  <c r="L22" i="58"/>
  <c r="BM21" i="58"/>
  <c r="BH21" i="58"/>
  <c r="BG21" i="58"/>
  <c r="BF21" i="58"/>
  <c r="BE21" i="58"/>
  <c r="BB21" i="58"/>
  <c r="BA21" i="58"/>
  <c r="AZ21" i="58"/>
  <c r="AY21" i="58"/>
  <c r="AV21" i="58"/>
  <c r="AU21" i="58"/>
  <c r="AT21" i="58"/>
  <c r="AS21" i="58"/>
  <c r="AP21" i="58"/>
  <c r="AO21" i="58"/>
  <c r="AN21" i="58"/>
  <c r="AM21" i="58"/>
  <c r="AJ21" i="58"/>
  <c r="AI21" i="58"/>
  <c r="AH21" i="58"/>
  <c r="AG21" i="58"/>
  <c r="AD21" i="58"/>
  <c r="AC21" i="58"/>
  <c r="AB21" i="58"/>
  <c r="AA21" i="58"/>
  <c r="X21" i="58"/>
  <c r="W21" i="58"/>
  <c r="V21" i="58"/>
  <c r="U21" i="58"/>
  <c r="R21" i="58"/>
  <c r="Q21" i="58"/>
  <c r="P21" i="58"/>
  <c r="O21" i="58"/>
  <c r="L21" i="58"/>
  <c r="BM20" i="58"/>
  <c r="BH20" i="58"/>
  <c r="BG20" i="58"/>
  <c r="BF20" i="58"/>
  <c r="BE20" i="58"/>
  <c r="BB20" i="58"/>
  <c r="BA20" i="58"/>
  <c r="AZ20" i="58"/>
  <c r="AY20" i="58"/>
  <c r="AV20" i="58"/>
  <c r="AU20" i="58"/>
  <c r="AT20" i="58"/>
  <c r="AS20" i="58"/>
  <c r="AP20" i="58"/>
  <c r="AO20" i="58"/>
  <c r="AN20" i="58"/>
  <c r="AM20" i="58"/>
  <c r="AJ20" i="58"/>
  <c r="AI20" i="58"/>
  <c r="AH20" i="58"/>
  <c r="AG20" i="58"/>
  <c r="AD20" i="58"/>
  <c r="AC20" i="58"/>
  <c r="AB20" i="58"/>
  <c r="AA20" i="58"/>
  <c r="X20" i="58"/>
  <c r="W20" i="58"/>
  <c r="V20" i="58"/>
  <c r="U20" i="58"/>
  <c r="R20" i="58"/>
  <c r="Q20" i="58"/>
  <c r="P20" i="58"/>
  <c r="O20" i="58"/>
  <c r="L20" i="58"/>
  <c r="BM19" i="58"/>
  <c r="BH19" i="58"/>
  <c r="BG19" i="58"/>
  <c r="BF19" i="58"/>
  <c r="BE19" i="58"/>
  <c r="BB19" i="58"/>
  <c r="BA19" i="58"/>
  <c r="AZ19" i="58"/>
  <c r="AY19" i="58"/>
  <c r="AV19" i="58"/>
  <c r="AU19" i="58"/>
  <c r="AT19" i="58"/>
  <c r="AS19" i="58"/>
  <c r="AP19" i="58"/>
  <c r="AO19" i="58"/>
  <c r="AN19" i="58"/>
  <c r="AM19" i="58"/>
  <c r="AJ19" i="58"/>
  <c r="AI19" i="58"/>
  <c r="AH19" i="58"/>
  <c r="AG19" i="58"/>
  <c r="AD19" i="58"/>
  <c r="AC19" i="58"/>
  <c r="AB19" i="58"/>
  <c r="AA19" i="58"/>
  <c r="X19" i="58"/>
  <c r="W19" i="58"/>
  <c r="V19" i="58"/>
  <c r="U19" i="58"/>
  <c r="R19" i="58"/>
  <c r="Q19" i="58"/>
  <c r="P19" i="58"/>
  <c r="O19" i="58"/>
  <c r="L19" i="58"/>
  <c r="BM18" i="58"/>
  <c r="BH18" i="58"/>
  <c r="BG18" i="58"/>
  <c r="BF18" i="58"/>
  <c r="BE18" i="58"/>
  <c r="BB18" i="58"/>
  <c r="BA18" i="58"/>
  <c r="AZ18" i="58"/>
  <c r="AY18" i="58"/>
  <c r="AV18" i="58"/>
  <c r="AU18" i="58"/>
  <c r="AT18" i="58"/>
  <c r="AS18" i="58"/>
  <c r="AP18" i="58"/>
  <c r="AO18" i="58"/>
  <c r="AN18" i="58"/>
  <c r="AM18" i="58"/>
  <c r="AJ18" i="58"/>
  <c r="AI18" i="58"/>
  <c r="AH18" i="58"/>
  <c r="AG18" i="58"/>
  <c r="AD18" i="58"/>
  <c r="AC18" i="58"/>
  <c r="AB18" i="58"/>
  <c r="AA18" i="58"/>
  <c r="X18" i="58"/>
  <c r="W18" i="58"/>
  <c r="V18" i="58"/>
  <c r="U18" i="58"/>
  <c r="R18" i="58"/>
  <c r="Q18" i="58"/>
  <c r="P18" i="58"/>
  <c r="O18" i="58"/>
  <c r="L18" i="58"/>
  <c r="BM17" i="58"/>
  <c r="BH17" i="58"/>
  <c r="BG17" i="58"/>
  <c r="BF17" i="58"/>
  <c r="BE17" i="58"/>
  <c r="BB17" i="58"/>
  <c r="BA17" i="58"/>
  <c r="AZ17" i="58"/>
  <c r="AY17" i="58"/>
  <c r="AV17" i="58"/>
  <c r="AU17" i="58"/>
  <c r="AT17" i="58"/>
  <c r="AS17" i="58"/>
  <c r="AP17" i="58"/>
  <c r="AO17" i="58"/>
  <c r="AN17" i="58"/>
  <c r="AM17" i="58"/>
  <c r="AJ17" i="58"/>
  <c r="AI17" i="58"/>
  <c r="AH17" i="58"/>
  <c r="AG17" i="58"/>
  <c r="AD17" i="58"/>
  <c r="AC17" i="58"/>
  <c r="AB17" i="58"/>
  <c r="AA17" i="58"/>
  <c r="X17" i="58"/>
  <c r="W17" i="58"/>
  <c r="V17" i="58"/>
  <c r="U17" i="58"/>
  <c r="R17" i="58"/>
  <c r="Q17" i="58"/>
  <c r="P17" i="58"/>
  <c r="O17" i="58"/>
  <c r="L17" i="58"/>
  <c r="BM16" i="58"/>
  <c r="BH16" i="58"/>
  <c r="BG16" i="58"/>
  <c r="BF16" i="58"/>
  <c r="BE16" i="58"/>
  <c r="BB16" i="58"/>
  <c r="BA16" i="58"/>
  <c r="AZ16" i="58"/>
  <c r="AY16" i="58"/>
  <c r="AV16" i="58"/>
  <c r="AU16" i="58"/>
  <c r="AT16" i="58"/>
  <c r="AS16" i="58"/>
  <c r="AP16" i="58"/>
  <c r="AO16" i="58"/>
  <c r="AN16" i="58"/>
  <c r="AM16" i="58"/>
  <c r="AJ16" i="58"/>
  <c r="AI16" i="58"/>
  <c r="AH16" i="58"/>
  <c r="AG16" i="58"/>
  <c r="AD16" i="58"/>
  <c r="AC16" i="58"/>
  <c r="AB16" i="58"/>
  <c r="AA16" i="58"/>
  <c r="X16" i="58"/>
  <c r="W16" i="58"/>
  <c r="V16" i="58"/>
  <c r="U16" i="58"/>
  <c r="R16" i="58"/>
  <c r="Q16" i="58"/>
  <c r="P16" i="58"/>
  <c r="O16" i="58"/>
  <c r="L16" i="58"/>
  <c r="BM15" i="58"/>
  <c r="BH15" i="58"/>
  <c r="BG15" i="58"/>
  <c r="BF15" i="58"/>
  <c r="BE15" i="58"/>
  <c r="BB15" i="58"/>
  <c r="BA15" i="58"/>
  <c r="AZ15" i="58"/>
  <c r="AY15" i="58"/>
  <c r="AV15" i="58"/>
  <c r="AU15" i="58"/>
  <c r="AT15" i="58"/>
  <c r="AS15" i="58"/>
  <c r="AP15" i="58"/>
  <c r="AO15" i="58"/>
  <c r="AN15" i="58"/>
  <c r="AM15" i="58"/>
  <c r="AJ15" i="58"/>
  <c r="AI15" i="58"/>
  <c r="AH15" i="58"/>
  <c r="AG15" i="58"/>
  <c r="AD15" i="58"/>
  <c r="AC15" i="58"/>
  <c r="AB15" i="58"/>
  <c r="AA15" i="58"/>
  <c r="X15" i="58"/>
  <c r="W15" i="58"/>
  <c r="V15" i="58"/>
  <c r="U15" i="58"/>
  <c r="R15" i="58"/>
  <c r="Q15" i="58"/>
  <c r="P15" i="58"/>
  <c r="O15" i="58"/>
  <c r="L15" i="58"/>
  <c r="BM14" i="58"/>
  <c r="BH14" i="58"/>
  <c r="BG14" i="58"/>
  <c r="BF14" i="58"/>
  <c r="BE14" i="58"/>
  <c r="BB14" i="58"/>
  <c r="BA14" i="58"/>
  <c r="AZ14" i="58"/>
  <c r="AY14" i="58"/>
  <c r="AV14" i="58"/>
  <c r="AU14" i="58"/>
  <c r="AT14" i="58"/>
  <c r="AS14" i="58"/>
  <c r="AP14" i="58"/>
  <c r="AO14" i="58"/>
  <c r="AN14" i="58"/>
  <c r="AM14" i="58"/>
  <c r="AJ14" i="58"/>
  <c r="AI14" i="58"/>
  <c r="AH14" i="58"/>
  <c r="AG14" i="58"/>
  <c r="AD14" i="58"/>
  <c r="AC14" i="58"/>
  <c r="AB14" i="58"/>
  <c r="AA14" i="58"/>
  <c r="X14" i="58"/>
  <c r="W14" i="58"/>
  <c r="V14" i="58"/>
  <c r="U14" i="58"/>
  <c r="R14" i="58"/>
  <c r="Q14" i="58"/>
  <c r="P14" i="58"/>
  <c r="O14" i="58"/>
  <c r="L14" i="58"/>
  <c r="BM13" i="58"/>
  <c r="BH13" i="58"/>
  <c r="BG13" i="58"/>
  <c r="BF13" i="58"/>
  <c r="BE13" i="58"/>
  <c r="BB13" i="58"/>
  <c r="BA13" i="58"/>
  <c r="AZ13" i="58"/>
  <c r="AY13" i="58"/>
  <c r="AV13" i="58"/>
  <c r="AU13" i="58"/>
  <c r="AT13" i="58"/>
  <c r="AS13" i="58"/>
  <c r="AP13" i="58"/>
  <c r="AO13" i="58"/>
  <c r="AN13" i="58"/>
  <c r="AM13" i="58"/>
  <c r="AJ13" i="58"/>
  <c r="AI13" i="58"/>
  <c r="AH13" i="58"/>
  <c r="AG13" i="58"/>
  <c r="AD13" i="58"/>
  <c r="AC13" i="58"/>
  <c r="AB13" i="58"/>
  <c r="AA13" i="58"/>
  <c r="X13" i="58"/>
  <c r="W13" i="58"/>
  <c r="V13" i="58"/>
  <c r="U13" i="58"/>
  <c r="R13" i="58"/>
  <c r="Q13" i="58"/>
  <c r="P13" i="58"/>
  <c r="O13" i="58"/>
  <c r="L13" i="58"/>
  <c r="BM12" i="58"/>
  <c r="BH12" i="58"/>
  <c r="BG12" i="58"/>
  <c r="BF12" i="58"/>
  <c r="BE12" i="58"/>
  <c r="BB12" i="58"/>
  <c r="BA12" i="58"/>
  <c r="AZ12" i="58"/>
  <c r="AY12" i="58"/>
  <c r="AV12" i="58"/>
  <c r="AU12" i="58"/>
  <c r="AT12" i="58"/>
  <c r="AS12" i="58"/>
  <c r="AP12" i="58"/>
  <c r="AO12" i="58"/>
  <c r="AN12" i="58"/>
  <c r="AM12" i="58"/>
  <c r="AJ12" i="58"/>
  <c r="AI12" i="58"/>
  <c r="AH12" i="58"/>
  <c r="AG12" i="58"/>
  <c r="AD12" i="58"/>
  <c r="AC12" i="58"/>
  <c r="AB12" i="58"/>
  <c r="AA12" i="58"/>
  <c r="X12" i="58"/>
  <c r="W12" i="58"/>
  <c r="V12" i="58"/>
  <c r="U12" i="58"/>
  <c r="R12" i="58"/>
  <c r="Q12" i="58"/>
  <c r="P12" i="58"/>
  <c r="O12" i="58"/>
  <c r="L12" i="58"/>
  <c r="BM11" i="58"/>
  <c r="BH11" i="58"/>
  <c r="BG11" i="58"/>
  <c r="BF11" i="58"/>
  <c r="BE11" i="58"/>
  <c r="BB11" i="58"/>
  <c r="BA11" i="58"/>
  <c r="AZ11" i="58"/>
  <c r="AY11" i="58"/>
  <c r="AV11" i="58"/>
  <c r="AU11" i="58"/>
  <c r="AT11" i="58"/>
  <c r="AS11" i="58"/>
  <c r="AP11" i="58"/>
  <c r="AO11" i="58"/>
  <c r="AN11" i="58"/>
  <c r="AM11" i="58"/>
  <c r="AJ11" i="58"/>
  <c r="AI11" i="58"/>
  <c r="AH11" i="58"/>
  <c r="AG11" i="58"/>
  <c r="AD11" i="58"/>
  <c r="AC11" i="58"/>
  <c r="AB11" i="58"/>
  <c r="AA11" i="58"/>
  <c r="X11" i="58"/>
  <c r="W11" i="58"/>
  <c r="V11" i="58"/>
  <c r="U11" i="58"/>
  <c r="R11" i="58"/>
  <c r="Q11" i="58"/>
  <c r="P11" i="58"/>
  <c r="O11" i="58"/>
  <c r="L11" i="58"/>
  <c r="BM10" i="58"/>
  <c r="BH10" i="58"/>
  <c r="BG10" i="58"/>
  <c r="BF10" i="58"/>
  <c r="BE10" i="58"/>
  <c r="BB10" i="58"/>
  <c r="BA10" i="58"/>
  <c r="AZ10" i="58"/>
  <c r="AY10" i="58"/>
  <c r="AV10" i="58"/>
  <c r="AU10" i="58"/>
  <c r="AT10" i="58"/>
  <c r="AS10" i="58"/>
  <c r="AP10" i="58"/>
  <c r="AO10" i="58"/>
  <c r="AN10" i="58"/>
  <c r="AM10" i="58"/>
  <c r="AJ10" i="58"/>
  <c r="AI10" i="58"/>
  <c r="AH10" i="58"/>
  <c r="AG10" i="58"/>
  <c r="AD10" i="58"/>
  <c r="AC10" i="58"/>
  <c r="AB10" i="58"/>
  <c r="AA10" i="58"/>
  <c r="X10" i="58"/>
  <c r="W10" i="58"/>
  <c r="V10" i="58"/>
  <c r="U10" i="58"/>
  <c r="R10" i="58"/>
  <c r="Q10" i="58"/>
  <c r="P10" i="58"/>
  <c r="O10" i="58"/>
  <c r="L10" i="58"/>
  <c r="BM9" i="58"/>
  <c r="BH9" i="58"/>
  <c r="BG9" i="58"/>
  <c r="BF9" i="58"/>
  <c r="BE9" i="58"/>
  <c r="BB9" i="58"/>
  <c r="BA9" i="58"/>
  <c r="AZ9" i="58"/>
  <c r="AY9" i="58"/>
  <c r="AV9" i="58"/>
  <c r="AU9" i="58"/>
  <c r="AT9" i="58"/>
  <c r="AS9" i="58"/>
  <c r="AP9" i="58"/>
  <c r="AO9" i="58"/>
  <c r="AN9" i="58"/>
  <c r="AM9" i="58"/>
  <c r="AJ9" i="58"/>
  <c r="AI9" i="58"/>
  <c r="AH9" i="58"/>
  <c r="AG9" i="58"/>
  <c r="AD9" i="58"/>
  <c r="AC9" i="58"/>
  <c r="AB9" i="58"/>
  <c r="AA9" i="58"/>
  <c r="X9" i="58"/>
  <c r="W9" i="58"/>
  <c r="V9" i="58"/>
  <c r="U9" i="58"/>
  <c r="R9" i="58"/>
  <c r="Q9" i="58"/>
  <c r="P9" i="58"/>
  <c r="O9" i="58"/>
  <c r="L9" i="58"/>
  <c r="BM8" i="58"/>
  <c r="BH8" i="58"/>
  <c r="BG8" i="58"/>
  <c r="BF8" i="58"/>
  <c r="BE8" i="58"/>
  <c r="BB8" i="58"/>
  <c r="BA8" i="58"/>
  <c r="AZ8" i="58"/>
  <c r="AY8" i="58"/>
  <c r="AV8" i="58"/>
  <c r="AU8" i="58"/>
  <c r="AT8" i="58"/>
  <c r="AS8" i="58"/>
  <c r="AP8" i="58"/>
  <c r="AO8" i="58"/>
  <c r="AN8" i="58"/>
  <c r="AM8" i="58"/>
  <c r="AJ8" i="58"/>
  <c r="AI8" i="58"/>
  <c r="AH8" i="58"/>
  <c r="AG8" i="58"/>
  <c r="AD8" i="58"/>
  <c r="AC8" i="58"/>
  <c r="AB8" i="58"/>
  <c r="AA8" i="58"/>
  <c r="X8" i="58"/>
  <c r="W8" i="58"/>
  <c r="V8" i="58"/>
  <c r="U8" i="58"/>
  <c r="R8" i="58"/>
  <c r="Q8" i="58"/>
  <c r="P8" i="58"/>
  <c r="O8" i="58"/>
  <c r="L8" i="58"/>
  <c r="BM7" i="58"/>
  <c r="BH7" i="58"/>
  <c r="BG7" i="58"/>
  <c r="BF7" i="58"/>
  <c r="BE7" i="58"/>
  <c r="BB7" i="58"/>
  <c r="BA7" i="58"/>
  <c r="AZ7" i="58"/>
  <c r="AY7" i="58"/>
  <c r="AV7" i="58"/>
  <c r="AU7" i="58"/>
  <c r="AT7" i="58"/>
  <c r="AS7" i="58"/>
  <c r="AP7" i="58"/>
  <c r="AO7" i="58"/>
  <c r="AN7" i="58"/>
  <c r="AM7" i="58"/>
  <c r="AJ7" i="58"/>
  <c r="AI7" i="58"/>
  <c r="AH7" i="58"/>
  <c r="AG7" i="58"/>
  <c r="AD7" i="58"/>
  <c r="AC7" i="58"/>
  <c r="AB7" i="58"/>
  <c r="AA7" i="58"/>
  <c r="X7" i="58"/>
  <c r="W7" i="58"/>
  <c r="V7" i="58"/>
  <c r="U7" i="58"/>
  <c r="R7" i="58"/>
  <c r="Q7" i="58"/>
  <c r="P7" i="58"/>
  <c r="O7" i="58"/>
  <c r="L7" i="58"/>
  <c r="BM6" i="58"/>
  <c r="BH6" i="58"/>
  <c r="BG6" i="58"/>
  <c r="BF6" i="58"/>
  <c r="BE6" i="58"/>
  <c r="BB6" i="58"/>
  <c r="BA6" i="58"/>
  <c r="AZ6" i="58"/>
  <c r="AY6" i="58"/>
  <c r="AV6" i="58"/>
  <c r="AU6" i="58"/>
  <c r="AT6" i="58"/>
  <c r="AS6" i="58"/>
  <c r="AP6" i="58"/>
  <c r="AO6" i="58"/>
  <c r="AN6" i="58"/>
  <c r="AM6" i="58"/>
  <c r="AJ6" i="58"/>
  <c r="AI6" i="58"/>
  <c r="AH6" i="58"/>
  <c r="AG6" i="58"/>
  <c r="AD6" i="58"/>
  <c r="AC6" i="58"/>
  <c r="AB6" i="58"/>
  <c r="AA6" i="58"/>
  <c r="X6" i="58"/>
  <c r="W6" i="58"/>
  <c r="V6" i="58"/>
  <c r="U6" i="58"/>
  <c r="R6" i="58"/>
  <c r="Q6" i="58"/>
  <c r="P6" i="58"/>
  <c r="O6" i="58"/>
  <c r="L6" i="58"/>
  <c r="BM5" i="58"/>
  <c r="BH5" i="58"/>
  <c r="BG5" i="58"/>
  <c r="BF5" i="58"/>
  <c r="BE5" i="58"/>
  <c r="BB5" i="58"/>
  <c r="BA5" i="58"/>
  <c r="AZ5" i="58"/>
  <c r="AY5" i="58"/>
  <c r="AV5" i="58"/>
  <c r="AU5" i="58"/>
  <c r="AT5" i="58"/>
  <c r="AS5" i="58"/>
  <c r="AP5" i="58"/>
  <c r="AO5" i="58"/>
  <c r="AN5" i="58"/>
  <c r="AM5" i="58"/>
  <c r="AJ5" i="58"/>
  <c r="AI5" i="58"/>
  <c r="AH5" i="58"/>
  <c r="AG5" i="58"/>
  <c r="AD5" i="58"/>
  <c r="AC5" i="58"/>
  <c r="AB5" i="58"/>
  <c r="AA5" i="58"/>
  <c r="X5" i="58"/>
  <c r="W5" i="58"/>
  <c r="V5" i="58"/>
  <c r="U5" i="58"/>
  <c r="R5" i="58"/>
  <c r="Q5" i="58"/>
  <c r="P5" i="58"/>
  <c r="O5" i="58"/>
  <c r="L5" i="58"/>
  <c r="BM4" i="58"/>
  <c r="BH4" i="58"/>
  <c r="BG4" i="58"/>
  <c r="BF4" i="58"/>
  <c r="BE4" i="58"/>
  <c r="BB4" i="58"/>
  <c r="BA4" i="58"/>
  <c r="AZ4" i="58"/>
  <c r="AY4" i="58"/>
  <c r="AV4" i="58"/>
  <c r="AU4" i="58"/>
  <c r="AT4" i="58"/>
  <c r="AS4" i="58"/>
  <c r="AP4" i="58"/>
  <c r="AO4" i="58"/>
  <c r="AN4" i="58"/>
  <c r="AM4" i="58"/>
  <c r="AJ4" i="58"/>
  <c r="AI4" i="58"/>
  <c r="AH4" i="58"/>
  <c r="AG4" i="58"/>
  <c r="AD4" i="58"/>
  <c r="AC4" i="58"/>
  <c r="AB4" i="58"/>
  <c r="AA4" i="58"/>
  <c r="X4" i="58"/>
  <c r="W4" i="58"/>
  <c r="V4" i="58"/>
  <c r="U4" i="58"/>
  <c r="R4" i="58"/>
  <c r="Q4" i="58"/>
  <c r="P4" i="58"/>
  <c r="O4" i="58"/>
  <c r="L4" i="58"/>
  <c r="BM3" i="58"/>
  <c r="BH3" i="58"/>
  <c r="BG3" i="58"/>
  <c r="BF3" i="58"/>
  <c r="BE3" i="58"/>
  <c r="BB3" i="58"/>
  <c r="BA3" i="58"/>
  <c r="AZ3" i="58"/>
  <c r="AY3" i="58"/>
  <c r="AV3" i="58"/>
  <c r="AU3" i="58"/>
  <c r="AT3" i="58"/>
  <c r="AS3" i="58"/>
  <c r="AP3" i="58"/>
  <c r="AO3" i="58"/>
  <c r="AN3" i="58"/>
  <c r="AM3" i="58"/>
  <c r="AJ3" i="58"/>
  <c r="AI3" i="58"/>
  <c r="AH3" i="58"/>
  <c r="AG3" i="58"/>
  <c r="AD3" i="58"/>
  <c r="AC3" i="58"/>
  <c r="AB3" i="58"/>
  <c r="AA3" i="58"/>
  <c r="X3" i="58"/>
  <c r="W3" i="58"/>
  <c r="V3" i="58"/>
  <c r="U3" i="58"/>
  <c r="R3" i="58"/>
  <c r="Q3" i="58"/>
  <c r="P3" i="58"/>
  <c r="O3" i="58"/>
  <c r="L3" i="58"/>
  <c r="BM62" i="68"/>
  <c r="BH62" i="68"/>
  <c r="BG62" i="68"/>
  <c r="BF62" i="68"/>
  <c r="BE62" i="68"/>
  <c r="BD62" i="68"/>
  <c r="BC62" i="68"/>
  <c r="BB62" i="68"/>
  <c r="BA62" i="68"/>
  <c r="AZ62" i="68"/>
  <c r="AY62" i="68"/>
  <c r="AX62" i="68"/>
  <c r="AW62" i="68"/>
  <c r="AV62" i="68"/>
  <c r="AU62" i="68"/>
  <c r="AT62" i="68"/>
  <c r="AS62" i="68"/>
  <c r="AR62" i="68"/>
  <c r="AQ62" i="68"/>
  <c r="AP62" i="68"/>
  <c r="AO62" i="68"/>
  <c r="AN62" i="68"/>
  <c r="AM62" i="68"/>
  <c r="AL62" i="68"/>
  <c r="AK62" i="68"/>
  <c r="AJ62" i="68"/>
  <c r="AI62" i="68"/>
  <c r="AH62" i="68"/>
  <c r="AG62" i="68"/>
  <c r="AF62" i="68"/>
  <c r="AE62" i="68"/>
  <c r="AD62" i="68"/>
  <c r="AC62" i="68"/>
  <c r="AB62" i="68"/>
  <c r="AA62" i="68"/>
  <c r="Z62" i="68"/>
  <c r="Y62" i="68"/>
  <c r="X62" i="68"/>
  <c r="W62" i="68"/>
  <c r="V62" i="68"/>
  <c r="U62" i="68"/>
  <c r="T62" i="68"/>
  <c r="S62" i="68"/>
  <c r="R62" i="68"/>
  <c r="Q62" i="68"/>
  <c r="P62" i="68"/>
  <c r="O62" i="68"/>
  <c r="N62" i="68"/>
  <c r="M62" i="68"/>
  <c r="L62" i="68"/>
  <c r="K62" i="68"/>
  <c r="J62" i="68"/>
  <c r="I62" i="68"/>
  <c r="BM61" i="68"/>
  <c r="BH61" i="68"/>
  <c r="BG61" i="68"/>
  <c r="BF61" i="68"/>
  <c r="BE61" i="68"/>
  <c r="BB61" i="68"/>
  <c r="BA61" i="68"/>
  <c r="AZ61" i="68"/>
  <c r="AY61" i="68"/>
  <c r="BM60" i="68"/>
  <c r="BH60" i="68"/>
  <c r="BG60" i="68"/>
  <c r="BF60" i="68"/>
  <c r="BE60" i="68"/>
  <c r="BB60" i="68"/>
  <c r="BA60" i="68"/>
  <c r="AZ60" i="68"/>
  <c r="AY60" i="68"/>
  <c r="AV60" i="68"/>
  <c r="AU60" i="68"/>
  <c r="AT60" i="68"/>
  <c r="AS60" i="68"/>
  <c r="BM59" i="68"/>
  <c r="BH59" i="68"/>
  <c r="BG59" i="68"/>
  <c r="BF59" i="68"/>
  <c r="BE59" i="68"/>
  <c r="BB59" i="68"/>
  <c r="BA59" i="68"/>
  <c r="AZ59" i="68"/>
  <c r="AY59" i="68"/>
  <c r="AV59" i="68"/>
  <c r="AU59" i="68"/>
  <c r="AT59" i="68"/>
  <c r="AS59" i="68"/>
  <c r="BM58" i="68"/>
  <c r="BH58" i="68"/>
  <c r="BG58" i="68"/>
  <c r="BF58" i="68"/>
  <c r="BE58" i="68"/>
  <c r="BB58" i="68"/>
  <c r="BA58" i="68"/>
  <c r="AZ58" i="68"/>
  <c r="AY58" i="68"/>
  <c r="AV58" i="68"/>
  <c r="AU58" i="68"/>
  <c r="AT58" i="68"/>
  <c r="AS58" i="68"/>
  <c r="BM57" i="68"/>
  <c r="BH57" i="68"/>
  <c r="BG57" i="68"/>
  <c r="BF57" i="68"/>
  <c r="BE57" i="68"/>
  <c r="BB57" i="68"/>
  <c r="BA57" i="68"/>
  <c r="AZ57" i="68"/>
  <c r="AY57" i="68"/>
  <c r="AV57" i="68"/>
  <c r="AU57" i="68"/>
  <c r="AT57" i="68"/>
  <c r="AS57" i="68"/>
  <c r="BM56" i="68"/>
  <c r="BH56" i="68"/>
  <c r="BG56" i="68"/>
  <c r="BF56" i="68"/>
  <c r="BE56" i="68"/>
  <c r="BB56" i="68"/>
  <c r="BA56" i="68"/>
  <c r="AZ56" i="68"/>
  <c r="AY56" i="68"/>
  <c r="AV56" i="68"/>
  <c r="AU56" i="68"/>
  <c r="AT56" i="68"/>
  <c r="AS56" i="68"/>
  <c r="BM55" i="68"/>
  <c r="BH55" i="68"/>
  <c r="BG55" i="68"/>
  <c r="BF55" i="68"/>
  <c r="BE55" i="68"/>
  <c r="BB55" i="68"/>
  <c r="BA55" i="68"/>
  <c r="AZ55" i="68"/>
  <c r="AY55" i="68"/>
  <c r="AV55" i="68"/>
  <c r="AU55" i="68"/>
  <c r="AT55" i="68"/>
  <c r="AS55" i="68"/>
  <c r="AP55" i="68"/>
  <c r="AO55" i="68"/>
  <c r="AN55" i="68"/>
  <c r="AM55" i="68"/>
  <c r="AJ55" i="68"/>
  <c r="AI55" i="68"/>
  <c r="AH55" i="68"/>
  <c r="AG55" i="68"/>
  <c r="AD55" i="68"/>
  <c r="AC55" i="68"/>
  <c r="AB55" i="68"/>
  <c r="AA55" i="68"/>
  <c r="X55" i="68"/>
  <c r="W55" i="68"/>
  <c r="V55" i="68"/>
  <c r="U55" i="68"/>
  <c r="BM54" i="68"/>
  <c r="BH54" i="68"/>
  <c r="BG54" i="68"/>
  <c r="BF54" i="68"/>
  <c r="BE54" i="68"/>
  <c r="BB54" i="68"/>
  <c r="BA54" i="68"/>
  <c r="AZ54" i="68"/>
  <c r="AY54" i="68"/>
  <c r="AV54" i="68"/>
  <c r="AU54" i="68"/>
  <c r="AT54" i="68"/>
  <c r="AS54" i="68"/>
  <c r="AP54" i="68"/>
  <c r="AO54" i="68"/>
  <c r="AN54" i="68"/>
  <c r="AM54" i="68"/>
  <c r="AJ54" i="68"/>
  <c r="AI54" i="68"/>
  <c r="AH54" i="68"/>
  <c r="AG54" i="68"/>
  <c r="BM53" i="68"/>
  <c r="BH53" i="68"/>
  <c r="BG53" i="68"/>
  <c r="BF53" i="68"/>
  <c r="BE53" i="68"/>
  <c r="BB53" i="68"/>
  <c r="BA53" i="68"/>
  <c r="AZ53" i="68"/>
  <c r="AY53" i="68"/>
  <c r="AV53" i="68"/>
  <c r="AU53" i="68"/>
  <c r="AT53" i="68"/>
  <c r="AS53" i="68"/>
  <c r="AP53" i="68"/>
  <c r="AO53" i="68"/>
  <c r="AN53" i="68"/>
  <c r="AM53" i="68"/>
  <c r="AJ53" i="68"/>
  <c r="AI53" i="68"/>
  <c r="AH53" i="68"/>
  <c r="AG53" i="68"/>
  <c r="BM52" i="68"/>
  <c r="BH52" i="68"/>
  <c r="BG52" i="68"/>
  <c r="BF52" i="68"/>
  <c r="BE52" i="68"/>
  <c r="BB52" i="68"/>
  <c r="BA52" i="68"/>
  <c r="AZ52" i="68"/>
  <c r="AY52" i="68"/>
  <c r="AV52" i="68"/>
  <c r="AU52" i="68"/>
  <c r="AT52" i="68"/>
  <c r="AS52" i="68"/>
  <c r="AP52" i="68"/>
  <c r="AO52" i="68"/>
  <c r="AN52" i="68"/>
  <c r="AM52" i="68"/>
  <c r="AJ52" i="68"/>
  <c r="AI52" i="68"/>
  <c r="AH52" i="68"/>
  <c r="AG52" i="68"/>
  <c r="AD52" i="68"/>
  <c r="AC52" i="68"/>
  <c r="AB52" i="68"/>
  <c r="AA52" i="68"/>
  <c r="BM51" i="68"/>
  <c r="BH51" i="68"/>
  <c r="BG51" i="68"/>
  <c r="BF51" i="68"/>
  <c r="BE51" i="68"/>
  <c r="BB51" i="68"/>
  <c r="BA51" i="68"/>
  <c r="AZ51" i="68"/>
  <c r="AY51" i="68"/>
  <c r="AV51" i="68"/>
  <c r="AU51" i="68"/>
  <c r="AT51" i="68"/>
  <c r="AS51" i="68"/>
  <c r="AP51" i="68"/>
  <c r="AO51" i="68"/>
  <c r="AN51" i="68"/>
  <c r="AM51" i="68"/>
  <c r="AJ51" i="68"/>
  <c r="AI51" i="68"/>
  <c r="AH51" i="68"/>
  <c r="AG51" i="68"/>
  <c r="AD51" i="68"/>
  <c r="AC51" i="68"/>
  <c r="AB51" i="68"/>
  <c r="AA51" i="68"/>
  <c r="X51" i="68"/>
  <c r="W51" i="68"/>
  <c r="V51" i="68"/>
  <c r="U51" i="68"/>
  <c r="BM50" i="68"/>
  <c r="BH50" i="68"/>
  <c r="BG50" i="68"/>
  <c r="BF50" i="68"/>
  <c r="BE50" i="68"/>
  <c r="BB50" i="68"/>
  <c r="BA50" i="68"/>
  <c r="AZ50" i="68"/>
  <c r="AY50" i="68"/>
  <c r="AV50" i="68"/>
  <c r="AU50" i="68"/>
  <c r="AT50" i="68"/>
  <c r="AS50" i="68"/>
  <c r="AP50" i="68"/>
  <c r="AO50" i="68"/>
  <c r="AN50" i="68"/>
  <c r="AM50" i="68"/>
  <c r="AJ50" i="68"/>
  <c r="AI50" i="68"/>
  <c r="AH50" i="68"/>
  <c r="AG50" i="68"/>
  <c r="AD50" i="68"/>
  <c r="AC50" i="68"/>
  <c r="AB50" i="68"/>
  <c r="AA50" i="68"/>
  <c r="X50" i="68"/>
  <c r="W50" i="68"/>
  <c r="V50" i="68"/>
  <c r="U50" i="68"/>
  <c r="R50" i="68"/>
  <c r="Q50" i="68"/>
  <c r="P50" i="68"/>
  <c r="O50" i="68"/>
  <c r="L50" i="68"/>
  <c r="BM49" i="68"/>
  <c r="BH49" i="68"/>
  <c r="BG49" i="68"/>
  <c r="BF49" i="68"/>
  <c r="BE49" i="68"/>
  <c r="BB49" i="68"/>
  <c r="BA49" i="68"/>
  <c r="AZ49" i="68"/>
  <c r="AY49" i="68"/>
  <c r="AV49" i="68"/>
  <c r="AU49" i="68"/>
  <c r="AT49" i="68"/>
  <c r="AS49" i="68"/>
  <c r="AP49" i="68"/>
  <c r="AO49" i="68"/>
  <c r="AN49" i="68"/>
  <c r="AM49" i="68"/>
  <c r="AJ49" i="68"/>
  <c r="AI49" i="68"/>
  <c r="AH49" i="68"/>
  <c r="AG49" i="68"/>
  <c r="AD49" i="68"/>
  <c r="AC49" i="68"/>
  <c r="AB49" i="68"/>
  <c r="AA49" i="68"/>
  <c r="X49" i="68"/>
  <c r="W49" i="68"/>
  <c r="V49" i="68"/>
  <c r="U49" i="68"/>
  <c r="R49" i="68"/>
  <c r="Q49" i="68"/>
  <c r="P49" i="68"/>
  <c r="O49" i="68"/>
  <c r="L49" i="68"/>
  <c r="BM48" i="68"/>
  <c r="BH48" i="68"/>
  <c r="BG48" i="68"/>
  <c r="BF48" i="68"/>
  <c r="BE48" i="68"/>
  <c r="BB48" i="68"/>
  <c r="BA48" i="68"/>
  <c r="AZ48" i="68"/>
  <c r="AY48" i="68"/>
  <c r="AV48" i="68"/>
  <c r="AU48" i="68"/>
  <c r="AT48" i="68"/>
  <c r="AS48" i="68"/>
  <c r="AP48" i="68"/>
  <c r="AO48" i="68"/>
  <c r="AN48" i="68"/>
  <c r="AM48" i="68"/>
  <c r="AJ48" i="68"/>
  <c r="AI48" i="68"/>
  <c r="AH48" i="68"/>
  <c r="AG48" i="68"/>
  <c r="AD48" i="68"/>
  <c r="AC48" i="68"/>
  <c r="AB48" i="68"/>
  <c r="AA48" i="68"/>
  <c r="X48" i="68"/>
  <c r="W48" i="68"/>
  <c r="V48" i="68"/>
  <c r="U48" i="68"/>
  <c r="R48" i="68"/>
  <c r="Q48" i="68"/>
  <c r="P48" i="68"/>
  <c r="O48" i="68"/>
  <c r="L48" i="68"/>
  <c r="BM47" i="68"/>
  <c r="BH47" i="68"/>
  <c r="BG47" i="68"/>
  <c r="BF47" i="68"/>
  <c r="BE47" i="68"/>
  <c r="BB47" i="68"/>
  <c r="BA47" i="68"/>
  <c r="AZ47" i="68"/>
  <c r="AY47" i="68"/>
  <c r="AV47" i="68"/>
  <c r="AU47" i="68"/>
  <c r="AT47" i="68"/>
  <c r="AS47" i="68"/>
  <c r="AP47" i="68"/>
  <c r="AO47" i="68"/>
  <c r="AN47" i="68"/>
  <c r="AM47" i="68"/>
  <c r="AJ47" i="68"/>
  <c r="AI47" i="68"/>
  <c r="AH47" i="68"/>
  <c r="AG47" i="68"/>
  <c r="AD47" i="68"/>
  <c r="AC47" i="68"/>
  <c r="AB47" i="68"/>
  <c r="AA47" i="68"/>
  <c r="X47" i="68"/>
  <c r="W47" i="68"/>
  <c r="V47" i="68"/>
  <c r="U47" i="68"/>
  <c r="R47" i="68"/>
  <c r="Q47" i="68"/>
  <c r="P47" i="68"/>
  <c r="O47" i="68"/>
  <c r="L47" i="68"/>
  <c r="BM46" i="68"/>
  <c r="BH46" i="68"/>
  <c r="BG46" i="68"/>
  <c r="BF46" i="68"/>
  <c r="BE46" i="68"/>
  <c r="BB46" i="68"/>
  <c r="BA46" i="68"/>
  <c r="AZ46" i="68"/>
  <c r="AY46" i="68"/>
  <c r="AV46" i="68"/>
  <c r="AU46" i="68"/>
  <c r="AT46" i="68"/>
  <c r="AS46" i="68"/>
  <c r="AP46" i="68"/>
  <c r="AO46" i="68"/>
  <c r="AN46" i="68"/>
  <c r="AM46" i="68"/>
  <c r="AJ46" i="68"/>
  <c r="AI46" i="68"/>
  <c r="AH46" i="68"/>
  <c r="AG46" i="68"/>
  <c r="AD46" i="68"/>
  <c r="AC46" i="68"/>
  <c r="AB46" i="68"/>
  <c r="AA46" i="68"/>
  <c r="X46" i="68"/>
  <c r="W46" i="68"/>
  <c r="V46" i="68"/>
  <c r="U46" i="68"/>
  <c r="R46" i="68"/>
  <c r="Q46" i="68"/>
  <c r="P46" i="68"/>
  <c r="O46" i="68"/>
  <c r="L46" i="68"/>
  <c r="BM45" i="68"/>
  <c r="BH45" i="68"/>
  <c r="BG45" i="68"/>
  <c r="BF45" i="68"/>
  <c r="BE45" i="68"/>
  <c r="BB45" i="68"/>
  <c r="BA45" i="68"/>
  <c r="AZ45" i="68"/>
  <c r="AY45" i="68"/>
  <c r="AV45" i="68"/>
  <c r="AU45" i="68"/>
  <c r="AT45" i="68"/>
  <c r="AS45" i="68"/>
  <c r="AP45" i="68"/>
  <c r="AO45" i="68"/>
  <c r="AN45" i="68"/>
  <c r="AM45" i="68"/>
  <c r="AJ45" i="68"/>
  <c r="AI45" i="68"/>
  <c r="AH45" i="68"/>
  <c r="AG45" i="68"/>
  <c r="AD45" i="68"/>
  <c r="AC45" i="68"/>
  <c r="AB45" i="68"/>
  <c r="AA45" i="68"/>
  <c r="X45" i="68"/>
  <c r="W45" i="68"/>
  <c r="V45" i="68"/>
  <c r="U45" i="68"/>
  <c r="R45" i="68"/>
  <c r="Q45" i="68"/>
  <c r="P45" i="68"/>
  <c r="O45" i="68"/>
  <c r="L45" i="68"/>
  <c r="BM44" i="68"/>
  <c r="BH44" i="68"/>
  <c r="BG44" i="68"/>
  <c r="BF44" i="68"/>
  <c r="BE44" i="68"/>
  <c r="BB44" i="68"/>
  <c r="BA44" i="68"/>
  <c r="AZ44" i="68"/>
  <c r="AY44" i="68"/>
  <c r="AV44" i="68"/>
  <c r="AU44" i="68"/>
  <c r="AT44" i="68"/>
  <c r="AS44" i="68"/>
  <c r="AP44" i="68"/>
  <c r="AO44" i="68"/>
  <c r="AN44" i="68"/>
  <c r="AM44" i="68"/>
  <c r="AJ44" i="68"/>
  <c r="AI44" i="68"/>
  <c r="AH44" i="68"/>
  <c r="AG44" i="68"/>
  <c r="AD44" i="68"/>
  <c r="AC44" i="68"/>
  <c r="AB44" i="68"/>
  <c r="AA44" i="68"/>
  <c r="X44" i="68"/>
  <c r="W44" i="68"/>
  <c r="V44" i="68"/>
  <c r="U44" i="68"/>
  <c r="R44" i="68"/>
  <c r="Q44" i="68"/>
  <c r="P44" i="68"/>
  <c r="O44" i="68"/>
  <c r="L44" i="68"/>
  <c r="BM43" i="68"/>
  <c r="BH43" i="68"/>
  <c r="BG43" i="68"/>
  <c r="BF43" i="68"/>
  <c r="BE43" i="68"/>
  <c r="BB43" i="68"/>
  <c r="BA43" i="68"/>
  <c r="AZ43" i="68"/>
  <c r="AY43" i="68"/>
  <c r="AV43" i="68"/>
  <c r="AU43" i="68"/>
  <c r="AT43" i="68"/>
  <c r="AS43" i="68"/>
  <c r="AP43" i="68"/>
  <c r="AO43" i="68"/>
  <c r="AN43" i="68"/>
  <c r="AM43" i="68"/>
  <c r="AJ43" i="68"/>
  <c r="AI43" i="68"/>
  <c r="AH43" i="68"/>
  <c r="AG43" i="68"/>
  <c r="AD43" i="68"/>
  <c r="AC43" i="68"/>
  <c r="AB43" i="68"/>
  <c r="AA43" i="68"/>
  <c r="X43" i="68"/>
  <c r="W43" i="68"/>
  <c r="V43" i="68"/>
  <c r="U43" i="68"/>
  <c r="R43" i="68"/>
  <c r="Q43" i="68"/>
  <c r="P43" i="68"/>
  <c r="O43" i="68"/>
  <c r="L43" i="68"/>
  <c r="BM42" i="68"/>
  <c r="BH42" i="68"/>
  <c r="BG42" i="68"/>
  <c r="BF42" i="68"/>
  <c r="BE42" i="68"/>
  <c r="BB42" i="68"/>
  <c r="BA42" i="68"/>
  <c r="AZ42" i="68"/>
  <c r="AY42" i="68"/>
  <c r="AV42" i="68"/>
  <c r="AU42" i="68"/>
  <c r="AT42" i="68"/>
  <c r="AS42" i="68"/>
  <c r="AP42" i="68"/>
  <c r="AO42" i="68"/>
  <c r="AN42" i="68"/>
  <c r="AM42" i="68"/>
  <c r="AJ42" i="68"/>
  <c r="AI42" i="68"/>
  <c r="AH42" i="68"/>
  <c r="AG42" i="68"/>
  <c r="AD42" i="68"/>
  <c r="AC42" i="68"/>
  <c r="AB42" i="68"/>
  <c r="AA42" i="68"/>
  <c r="X42" i="68"/>
  <c r="W42" i="68"/>
  <c r="V42" i="68"/>
  <c r="U42" i="68"/>
  <c r="R42" i="68"/>
  <c r="Q42" i="68"/>
  <c r="P42" i="68"/>
  <c r="O42" i="68"/>
  <c r="L42" i="68"/>
  <c r="BM41" i="68"/>
  <c r="BH41" i="68"/>
  <c r="BG41" i="68"/>
  <c r="BF41" i="68"/>
  <c r="BE41" i="68"/>
  <c r="BB41" i="68"/>
  <c r="BA41" i="68"/>
  <c r="AZ41" i="68"/>
  <c r="AY41" i="68"/>
  <c r="AV41" i="68"/>
  <c r="AU41" i="68"/>
  <c r="AT41" i="68"/>
  <c r="AS41" i="68"/>
  <c r="AP41" i="68"/>
  <c r="AO41" i="68"/>
  <c r="AN41" i="68"/>
  <c r="AM41" i="68"/>
  <c r="AJ41" i="68"/>
  <c r="AI41" i="68"/>
  <c r="AH41" i="68"/>
  <c r="AG41" i="68"/>
  <c r="AD41" i="68"/>
  <c r="AC41" i="68"/>
  <c r="AB41" i="68"/>
  <c r="AA41" i="68"/>
  <c r="X41" i="68"/>
  <c r="W41" i="68"/>
  <c r="V41" i="68"/>
  <c r="U41" i="68"/>
  <c r="R41" i="68"/>
  <c r="Q41" i="68"/>
  <c r="P41" i="68"/>
  <c r="O41" i="68"/>
  <c r="L41" i="68"/>
  <c r="BM40" i="68"/>
  <c r="BH40" i="68"/>
  <c r="BG40" i="68"/>
  <c r="BF40" i="68"/>
  <c r="BE40" i="68"/>
  <c r="BB40" i="68"/>
  <c r="BA40" i="68"/>
  <c r="AZ40" i="68"/>
  <c r="AY40" i="68"/>
  <c r="AV40" i="68"/>
  <c r="AU40" i="68"/>
  <c r="AT40" i="68"/>
  <c r="AS40" i="68"/>
  <c r="AP40" i="68"/>
  <c r="AO40" i="68"/>
  <c r="AN40" i="68"/>
  <c r="AM40" i="68"/>
  <c r="AJ40" i="68"/>
  <c r="AI40" i="68"/>
  <c r="AH40" i="68"/>
  <c r="AG40" i="68"/>
  <c r="AD40" i="68"/>
  <c r="AC40" i="68"/>
  <c r="AB40" i="68"/>
  <c r="AA40" i="68"/>
  <c r="X40" i="68"/>
  <c r="W40" i="68"/>
  <c r="V40" i="68"/>
  <c r="U40" i="68"/>
  <c r="R40" i="68"/>
  <c r="Q40" i="68"/>
  <c r="P40" i="68"/>
  <c r="O40" i="68"/>
  <c r="L40" i="68"/>
  <c r="BM39" i="68"/>
  <c r="BH39" i="68"/>
  <c r="BG39" i="68"/>
  <c r="BF39" i="68"/>
  <c r="BE39" i="68"/>
  <c r="BB39" i="68"/>
  <c r="BA39" i="68"/>
  <c r="AZ39" i="68"/>
  <c r="AY39" i="68"/>
  <c r="AV39" i="68"/>
  <c r="AU39" i="68"/>
  <c r="AT39" i="68"/>
  <c r="AS39" i="68"/>
  <c r="AP39" i="68"/>
  <c r="AO39" i="68"/>
  <c r="AN39" i="68"/>
  <c r="AM39" i="68"/>
  <c r="AJ39" i="68"/>
  <c r="AI39" i="68"/>
  <c r="AH39" i="68"/>
  <c r="AG39" i="68"/>
  <c r="AD39" i="68"/>
  <c r="AC39" i="68"/>
  <c r="AB39" i="68"/>
  <c r="AA39" i="68"/>
  <c r="X39" i="68"/>
  <c r="W39" i="68"/>
  <c r="V39" i="68"/>
  <c r="U39" i="68"/>
  <c r="R39" i="68"/>
  <c r="Q39" i="68"/>
  <c r="P39" i="68"/>
  <c r="O39" i="68"/>
  <c r="L39" i="68"/>
  <c r="BM38" i="68"/>
  <c r="BH38" i="68"/>
  <c r="BG38" i="68"/>
  <c r="BF38" i="68"/>
  <c r="BE38" i="68"/>
  <c r="BB38" i="68"/>
  <c r="BA38" i="68"/>
  <c r="AZ38" i="68"/>
  <c r="AY38" i="68"/>
  <c r="AV38" i="68"/>
  <c r="AU38" i="68"/>
  <c r="AT38" i="68"/>
  <c r="AS38" i="68"/>
  <c r="AP38" i="68"/>
  <c r="AO38" i="68"/>
  <c r="AN38" i="68"/>
  <c r="AM38" i="68"/>
  <c r="AJ38" i="68"/>
  <c r="AI38" i="68"/>
  <c r="AH38" i="68"/>
  <c r="AG38" i="68"/>
  <c r="AD38" i="68"/>
  <c r="AC38" i="68"/>
  <c r="AB38" i="68"/>
  <c r="AA38" i="68"/>
  <c r="X38" i="68"/>
  <c r="W38" i="68"/>
  <c r="V38" i="68"/>
  <c r="U38" i="68"/>
  <c r="R38" i="68"/>
  <c r="Q38" i="68"/>
  <c r="P38" i="68"/>
  <c r="O38" i="68"/>
  <c r="L38" i="68"/>
  <c r="BM37" i="68"/>
  <c r="BH37" i="68"/>
  <c r="BG37" i="68"/>
  <c r="BF37" i="68"/>
  <c r="BE37" i="68"/>
  <c r="BB37" i="68"/>
  <c r="BA37" i="68"/>
  <c r="AZ37" i="68"/>
  <c r="AY37" i="68"/>
  <c r="AV37" i="68"/>
  <c r="AU37" i="68"/>
  <c r="AT37" i="68"/>
  <c r="AS37" i="68"/>
  <c r="AP37" i="68"/>
  <c r="AO37" i="68"/>
  <c r="AN37" i="68"/>
  <c r="AM37" i="68"/>
  <c r="AJ37" i="68"/>
  <c r="AI37" i="68"/>
  <c r="AH37" i="68"/>
  <c r="AG37" i="68"/>
  <c r="AD37" i="68"/>
  <c r="AC37" i="68"/>
  <c r="AB37" i="68"/>
  <c r="AA37" i="68"/>
  <c r="X37" i="68"/>
  <c r="W37" i="68"/>
  <c r="V37" i="68"/>
  <c r="U37" i="68"/>
  <c r="R37" i="68"/>
  <c r="Q37" i="68"/>
  <c r="P37" i="68"/>
  <c r="O37" i="68"/>
  <c r="L37" i="68"/>
  <c r="BM36" i="68"/>
  <c r="BH36" i="68"/>
  <c r="BG36" i="68"/>
  <c r="BF36" i="68"/>
  <c r="BE36" i="68"/>
  <c r="BB36" i="68"/>
  <c r="BA36" i="68"/>
  <c r="AZ36" i="68"/>
  <c r="AY36" i="68"/>
  <c r="AV36" i="68"/>
  <c r="AU36" i="68"/>
  <c r="AT36" i="68"/>
  <c r="AS36" i="68"/>
  <c r="AP36" i="68"/>
  <c r="AO36" i="68"/>
  <c r="AN36" i="68"/>
  <c r="AM36" i="68"/>
  <c r="AJ36" i="68"/>
  <c r="AI36" i="68"/>
  <c r="AH36" i="68"/>
  <c r="AG36" i="68"/>
  <c r="AD36" i="68"/>
  <c r="AC36" i="68"/>
  <c r="AB36" i="68"/>
  <c r="AA36" i="68"/>
  <c r="X36" i="68"/>
  <c r="W36" i="68"/>
  <c r="V36" i="68"/>
  <c r="U36" i="68"/>
  <c r="R36" i="68"/>
  <c r="Q36" i="68"/>
  <c r="P36" i="68"/>
  <c r="O36" i="68"/>
  <c r="L36" i="68"/>
  <c r="BM35" i="68"/>
  <c r="BH35" i="68"/>
  <c r="BG35" i="68"/>
  <c r="BF35" i="68"/>
  <c r="BE35" i="68"/>
  <c r="BB35" i="68"/>
  <c r="BA35" i="68"/>
  <c r="AZ35" i="68"/>
  <c r="AY35" i="68"/>
  <c r="AV35" i="68"/>
  <c r="AU35" i="68"/>
  <c r="AT35" i="68"/>
  <c r="AS35" i="68"/>
  <c r="AP35" i="68"/>
  <c r="AO35" i="68"/>
  <c r="AN35" i="68"/>
  <c r="AM35" i="68"/>
  <c r="AJ35" i="68"/>
  <c r="AI35" i="68"/>
  <c r="AH35" i="68"/>
  <c r="AG35" i="68"/>
  <c r="AD35" i="68"/>
  <c r="AC35" i="68"/>
  <c r="AB35" i="68"/>
  <c r="AA35" i="68"/>
  <c r="X35" i="68"/>
  <c r="W35" i="68"/>
  <c r="V35" i="68"/>
  <c r="U35" i="68"/>
  <c r="R35" i="68"/>
  <c r="Q35" i="68"/>
  <c r="P35" i="68"/>
  <c r="O35" i="68"/>
  <c r="L35" i="68"/>
  <c r="BM34" i="68"/>
  <c r="BH34" i="68"/>
  <c r="BG34" i="68"/>
  <c r="BF34" i="68"/>
  <c r="BE34" i="68"/>
  <c r="BB34" i="68"/>
  <c r="BA34" i="68"/>
  <c r="AZ34" i="68"/>
  <c r="AY34" i="68"/>
  <c r="AV34" i="68"/>
  <c r="AU34" i="68"/>
  <c r="AT34" i="68"/>
  <c r="AS34" i="68"/>
  <c r="AP34" i="68"/>
  <c r="AO34" i="68"/>
  <c r="AN34" i="68"/>
  <c r="AM34" i="68"/>
  <c r="AJ34" i="68"/>
  <c r="AI34" i="68"/>
  <c r="AH34" i="68"/>
  <c r="AG34" i="68"/>
  <c r="AD34" i="68"/>
  <c r="AC34" i="68"/>
  <c r="AB34" i="68"/>
  <c r="AA34" i="68"/>
  <c r="X34" i="68"/>
  <c r="W34" i="68"/>
  <c r="V34" i="68"/>
  <c r="U34" i="68"/>
  <c r="R34" i="68"/>
  <c r="Q34" i="68"/>
  <c r="P34" i="68"/>
  <c r="O34" i="68"/>
  <c r="L34" i="68"/>
  <c r="BM33" i="68"/>
  <c r="BH33" i="68"/>
  <c r="BG33" i="68"/>
  <c r="BF33" i="68"/>
  <c r="BE33" i="68"/>
  <c r="BB33" i="68"/>
  <c r="BA33" i="68"/>
  <c r="AZ33" i="68"/>
  <c r="AY33" i="68"/>
  <c r="AV33" i="68"/>
  <c r="AU33" i="68"/>
  <c r="AT33" i="68"/>
  <c r="AS33" i="68"/>
  <c r="AP33" i="68"/>
  <c r="AO33" i="68"/>
  <c r="AN33" i="68"/>
  <c r="AM33" i="68"/>
  <c r="AJ33" i="68"/>
  <c r="AI33" i="68"/>
  <c r="AH33" i="68"/>
  <c r="AG33" i="68"/>
  <c r="AD33" i="68"/>
  <c r="AC33" i="68"/>
  <c r="AB33" i="68"/>
  <c r="AA33" i="68"/>
  <c r="X33" i="68"/>
  <c r="W33" i="68"/>
  <c r="V33" i="68"/>
  <c r="U33" i="68"/>
  <c r="R33" i="68"/>
  <c r="Q33" i="68"/>
  <c r="P33" i="68"/>
  <c r="O33" i="68"/>
  <c r="L33" i="68"/>
  <c r="BM32" i="68"/>
  <c r="BH32" i="68"/>
  <c r="BG32" i="68"/>
  <c r="BF32" i="68"/>
  <c r="BE32" i="68"/>
  <c r="BB32" i="68"/>
  <c r="BA32" i="68"/>
  <c r="AZ32" i="68"/>
  <c r="AY32" i="68"/>
  <c r="AV32" i="68"/>
  <c r="AU32" i="68"/>
  <c r="AT32" i="68"/>
  <c r="AS32" i="68"/>
  <c r="AP32" i="68"/>
  <c r="AO32" i="68"/>
  <c r="AN32" i="68"/>
  <c r="AM32" i="68"/>
  <c r="AJ32" i="68"/>
  <c r="AI32" i="68"/>
  <c r="AH32" i="68"/>
  <c r="AG32" i="68"/>
  <c r="AD32" i="68"/>
  <c r="AC32" i="68"/>
  <c r="AB32" i="68"/>
  <c r="AA32" i="68"/>
  <c r="X32" i="68"/>
  <c r="W32" i="68"/>
  <c r="V32" i="68"/>
  <c r="U32" i="68"/>
  <c r="R32" i="68"/>
  <c r="Q32" i="68"/>
  <c r="P32" i="68"/>
  <c r="O32" i="68"/>
  <c r="L32" i="68"/>
  <c r="BM31" i="68"/>
  <c r="BH31" i="68"/>
  <c r="BG31" i="68"/>
  <c r="BF31" i="68"/>
  <c r="BE31" i="68"/>
  <c r="BB31" i="68"/>
  <c r="BA31" i="68"/>
  <c r="AZ31" i="68"/>
  <c r="AY31" i="68"/>
  <c r="AV31" i="68"/>
  <c r="AU31" i="68"/>
  <c r="AT31" i="68"/>
  <c r="AS31" i="68"/>
  <c r="AP31" i="68"/>
  <c r="AO31" i="68"/>
  <c r="AN31" i="68"/>
  <c r="AM31" i="68"/>
  <c r="AJ31" i="68"/>
  <c r="AI31" i="68"/>
  <c r="AH31" i="68"/>
  <c r="AG31" i="68"/>
  <c r="AD31" i="68"/>
  <c r="AC31" i="68"/>
  <c r="AB31" i="68"/>
  <c r="AA31" i="68"/>
  <c r="X31" i="68"/>
  <c r="W31" i="68"/>
  <c r="V31" i="68"/>
  <c r="U31" i="68"/>
  <c r="R31" i="68"/>
  <c r="Q31" i="68"/>
  <c r="P31" i="68"/>
  <c r="O31" i="68"/>
  <c r="L31" i="68"/>
  <c r="BM30" i="68"/>
  <c r="BH30" i="68"/>
  <c r="BG30" i="68"/>
  <c r="BF30" i="68"/>
  <c r="BE30" i="68"/>
  <c r="BB30" i="68"/>
  <c r="BA30" i="68"/>
  <c r="AZ30" i="68"/>
  <c r="AY30" i="68"/>
  <c r="AV30" i="68"/>
  <c r="AU30" i="68"/>
  <c r="AT30" i="68"/>
  <c r="AS30" i="68"/>
  <c r="AP30" i="68"/>
  <c r="AO30" i="68"/>
  <c r="AN30" i="68"/>
  <c r="AM30" i="68"/>
  <c r="AJ30" i="68"/>
  <c r="AI30" i="68"/>
  <c r="AH30" i="68"/>
  <c r="AG30" i="68"/>
  <c r="AD30" i="68"/>
  <c r="AC30" i="68"/>
  <c r="AB30" i="68"/>
  <c r="AA30" i="68"/>
  <c r="X30" i="68"/>
  <c r="W30" i="68"/>
  <c r="V30" i="68"/>
  <c r="U30" i="68"/>
  <c r="R30" i="68"/>
  <c r="Q30" i="68"/>
  <c r="P30" i="68"/>
  <c r="O30" i="68"/>
  <c r="L30" i="68"/>
  <c r="BM29" i="68"/>
  <c r="BH29" i="68"/>
  <c r="BG29" i="68"/>
  <c r="BF29" i="68"/>
  <c r="BE29" i="68"/>
  <c r="BB29" i="68"/>
  <c r="BA29" i="68"/>
  <c r="AZ29" i="68"/>
  <c r="AY29" i="68"/>
  <c r="AV29" i="68"/>
  <c r="AU29" i="68"/>
  <c r="AT29" i="68"/>
  <c r="AS29" i="68"/>
  <c r="AP29" i="68"/>
  <c r="AO29" i="68"/>
  <c r="AN29" i="68"/>
  <c r="AM29" i="68"/>
  <c r="AJ29" i="68"/>
  <c r="AI29" i="68"/>
  <c r="AH29" i="68"/>
  <c r="AG29" i="68"/>
  <c r="AD29" i="68"/>
  <c r="AC29" i="68"/>
  <c r="AB29" i="68"/>
  <c r="AA29" i="68"/>
  <c r="X29" i="68"/>
  <c r="W29" i="68"/>
  <c r="V29" i="68"/>
  <c r="U29" i="68"/>
  <c r="R29" i="68"/>
  <c r="Q29" i="68"/>
  <c r="P29" i="68"/>
  <c r="O29" i="68"/>
  <c r="L29" i="68"/>
  <c r="BM28" i="68"/>
  <c r="BH28" i="68"/>
  <c r="BG28" i="68"/>
  <c r="BF28" i="68"/>
  <c r="BE28" i="68"/>
  <c r="BB28" i="68"/>
  <c r="BA28" i="68"/>
  <c r="AZ28" i="68"/>
  <c r="AY28" i="68"/>
  <c r="AV28" i="68"/>
  <c r="AU28" i="68"/>
  <c r="AT28" i="68"/>
  <c r="AS28" i="68"/>
  <c r="AP28" i="68"/>
  <c r="AO28" i="68"/>
  <c r="AN28" i="68"/>
  <c r="AM28" i="68"/>
  <c r="AJ28" i="68"/>
  <c r="AI28" i="68"/>
  <c r="AH28" i="68"/>
  <c r="AG28" i="68"/>
  <c r="AD28" i="68"/>
  <c r="AC28" i="68"/>
  <c r="AB28" i="68"/>
  <c r="AA28" i="68"/>
  <c r="X28" i="68"/>
  <c r="W28" i="68"/>
  <c r="V28" i="68"/>
  <c r="U28" i="68"/>
  <c r="R28" i="68"/>
  <c r="Q28" i="68"/>
  <c r="P28" i="68"/>
  <c r="O28" i="68"/>
  <c r="L28" i="68"/>
  <c r="BM27" i="68"/>
  <c r="BH27" i="68"/>
  <c r="BG27" i="68"/>
  <c r="BF27" i="68"/>
  <c r="BE27" i="68"/>
  <c r="BB27" i="68"/>
  <c r="BA27" i="68"/>
  <c r="AZ27" i="68"/>
  <c r="AY27" i="68"/>
  <c r="AV27" i="68"/>
  <c r="AU27" i="68"/>
  <c r="AT27" i="68"/>
  <c r="AS27" i="68"/>
  <c r="AP27" i="68"/>
  <c r="AO27" i="68"/>
  <c r="AN27" i="68"/>
  <c r="AM27" i="68"/>
  <c r="AJ27" i="68"/>
  <c r="AI27" i="68"/>
  <c r="AH27" i="68"/>
  <c r="AG27" i="68"/>
  <c r="AD27" i="68"/>
  <c r="AC27" i="68"/>
  <c r="AB27" i="68"/>
  <c r="AA27" i="68"/>
  <c r="X27" i="68"/>
  <c r="W27" i="68"/>
  <c r="V27" i="68"/>
  <c r="U27" i="68"/>
  <c r="R27" i="68"/>
  <c r="Q27" i="68"/>
  <c r="P27" i="68"/>
  <c r="O27" i="68"/>
  <c r="L27" i="68"/>
  <c r="BM26" i="68"/>
  <c r="BH26" i="68"/>
  <c r="BG26" i="68"/>
  <c r="BF26" i="68"/>
  <c r="BE26" i="68"/>
  <c r="BB26" i="68"/>
  <c r="BA26" i="68"/>
  <c r="AZ26" i="68"/>
  <c r="AY26" i="68"/>
  <c r="AV26" i="68"/>
  <c r="AU26" i="68"/>
  <c r="AT26" i="68"/>
  <c r="AS26" i="68"/>
  <c r="AP26" i="68"/>
  <c r="AO26" i="68"/>
  <c r="AN26" i="68"/>
  <c r="AM26" i="68"/>
  <c r="AJ26" i="68"/>
  <c r="AI26" i="68"/>
  <c r="AH26" i="68"/>
  <c r="AG26" i="68"/>
  <c r="AD26" i="68"/>
  <c r="AC26" i="68"/>
  <c r="AB26" i="68"/>
  <c r="AA26" i="68"/>
  <c r="X26" i="68"/>
  <c r="W26" i="68"/>
  <c r="V26" i="68"/>
  <c r="U26" i="68"/>
  <c r="R26" i="68"/>
  <c r="Q26" i="68"/>
  <c r="P26" i="68"/>
  <c r="O26" i="68"/>
  <c r="L26" i="68"/>
  <c r="BM25" i="68"/>
  <c r="BH25" i="68"/>
  <c r="BG25" i="68"/>
  <c r="BF25" i="68"/>
  <c r="BE25" i="68"/>
  <c r="BB25" i="68"/>
  <c r="BA25" i="68"/>
  <c r="AZ25" i="68"/>
  <c r="AY25" i="68"/>
  <c r="AV25" i="68"/>
  <c r="AU25" i="68"/>
  <c r="AT25" i="68"/>
  <c r="AS25" i="68"/>
  <c r="AP25" i="68"/>
  <c r="AO25" i="68"/>
  <c r="AN25" i="68"/>
  <c r="AM25" i="68"/>
  <c r="AJ25" i="68"/>
  <c r="AI25" i="68"/>
  <c r="AH25" i="68"/>
  <c r="AG25" i="68"/>
  <c r="AD25" i="68"/>
  <c r="AC25" i="68"/>
  <c r="AB25" i="68"/>
  <c r="AA25" i="68"/>
  <c r="X25" i="68"/>
  <c r="W25" i="68"/>
  <c r="V25" i="68"/>
  <c r="U25" i="68"/>
  <c r="R25" i="68"/>
  <c r="Q25" i="68"/>
  <c r="P25" i="68"/>
  <c r="O25" i="68"/>
  <c r="L25" i="68"/>
  <c r="BM24" i="68"/>
  <c r="BH24" i="68"/>
  <c r="BG24" i="68"/>
  <c r="BF24" i="68"/>
  <c r="BE24" i="68"/>
  <c r="BB24" i="68"/>
  <c r="BA24" i="68"/>
  <c r="AZ24" i="68"/>
  <c r="AY24" i="68"/>
  <c r="AV24" i="68"/>
  <c r="AU24" i="68"/>
  <c r="AT24" i="68"/>
  <c r="AS24" i="68"/>
  <c r="AP24" i="68"/>
  <c r="AO24" i="68"/>
  <c r="AN24" i="68"/>
  <c r="AM24" i="68"/>
  <c r="AJ24" i="68"/>
  <c r="AI24" i="68"/>
  <c r="AH24" i="68"/>
  <c r="AG24" i="68"/>
  <c r="AD24" i="68"/>
  <c r="AC24" i="68"/>
  <c r="AB24" i="68"/>
  <c r="AA24" i="68"/>
  <c r="X24" i="68"/>
  <c r="W24" i="68"/>
  <c r="V24" i="68"/>
  <c r="U24" i="68"/>
  <c r="R24" i="68"/>
  <c r="Q24" i="68"/>
  <c r="P24" i="68"/>
  <c r="O24" i="68"/>
  <c r="L24" i="68"/>
  <c r="BM23" i="68"/>
  <c r="BH23" i="68"/>
  <c r="BG23" i="68"/>
  <c r="BF23" i="68"/>
  <c r="BE23" i="68"/>
  <c r="BB23" i="68"/>
  <c r="BA23" i="68"/>
  <c r="AZ23" i="68"/>
  <c r="AY23" i="68"/>
  <c r="AV23" i="68"/>
  <c r="AU23" i="68"/>
  <c r="AT23" i="68"/>
  <c r="AS23" i="68"/>
  <c r="AP23" i="68"/>
  <c r="AO23" i="68"/>
  <c r="AN23" i="68"/>
  <c r="AM23" i="68"/>
  <c r="AJ23" i="68"/>
  <c r="AI23" i="68"/>
  <c r="AH23" i="68"/>
  <c r="AG23" i="68"/>
  <c r="AD23" i="68"/>
  <c r="AC23" i="68"/>
  <c r="AB23" i="68"/>
  <c r="AA23" i="68"/>
  <c r="X23" i="68"/>
  <c r="W23" i="68"/>
  <c r="V23" i="68"/>
  <c r="U23" i="68"/>
  <c r="R23" i="68"/>
  <c r="Q23" i="68"/>
  <c r="P23" i="68"/>
  <c r="O23" i="68"/>
  <c r="L23" i="68"/>
  <c r="BM22" i="68"/>
  <c r="BH22" i="68"/>
  <c r="BG22" i="68"/>
  <c r="BF22" i="68"/>
  <c r="BE22" i="68"/>
  <c r="BB22" i="68"/>
  <c r="BA22" i="68"/>
  <c r="AZ22" i="68"/>
  <c r="AY22" i="68"/>
  <c r="AV22" i="68"/>
  <c r="AU22" i="68"/>
  <c r="AT22" i="68"/>
  <c r="AS22" i="68"/>
  <c r="AP22" i="68"/>
  <c r="AO22" i="68"/>
  <c r="AN22" i="68"/>
  <c r="AM22" i="68"/>
  <c r="AJ22" i="68"/>
  <c r="AI22" i="68"/>
  <c r="AH22" i="68"/>
  <c r="AG22" i="68"/>
  <c r="AD22" i="68"/>
  <c r="AC22" i="68"/>
  <c r="AB22" i="68"/>
  <c r="AA22" i="68"/>
  <c r="X22" i="68"/>
  <c r="W22" i="68"/>
  <c r="V22" i="68"/>
  <c r="U22" i="68"/>
  <c r="R22" i="68"/>
  <c r="Q22" i="68"/>
  <c r="P22" i="68"/>
  <c r="O22" i="68"/>
  <c r="L22" i="68"/>
  <c r="BM21" i="68"/>
  <c r="BH21" i="68"/>
  <c r="BG21" i="68"/>
  <c r="BF21" i="68"/>
  <c r="BE21" i="68"/>
  <c r="BB21" i="68"/>
  <c r="BA21" i="68"/>
  <c r="AZ21" i="68"/>
  <c r="AY21" i="68"/>
  <c r="AV21" i="68"/>
  <c r="AU21" i="68"/>
  <c r="AT21" i="68"/>
  <c r="AS21" i="68"/>
  <c r="AP21" i="68"/>
  <c r="AO21" i="68"/>
  <c r="AN21" i="68"/>
  <c r="AM21" i="68"/>
  <c r="AJ21" i="68"/>
  <c r="AI21" i="68"/>
  <c r="AH21" i="68"/>
  <c r="AG21" i="68"/>
  <c r="AD21" i="68"/>
  <c r="AC21" i="68"/>
  <c r="AB21" i="68"/>
  <c r="AA21" i="68"/>
  <c r="X21" i="68"/>
  <c r="W21" i="68"/>
  <c r="V21" i="68"/>
  <c r="U21" i="68"/>
  <c r="R21" i="68"/>
  <c r="Q21" i="68"/>
  <c r="P21" i="68"/>
  <c r="O21" i="68"/>
  <c r="L21" i="68"/>
  <c r="BM20" i="68"/>
  <c r="BH20" i="68"/>
  <c r="BG20" i="68"/>
  <c r="BF20" i="68"/>
  <c r="BE20" i="68"/>
  <c r="BB20" i="68"/>
  <c r="BA20" i="68"/>
  <c r="AZ20" i="68"/>
  <c r="AY20" i="68"/>
  <c r="AV20" i="68"/>
  <c r="AU20" i="68"/>
  <c r="AT20" i="68"/>
  <c r="AS20" i="68"/>
  <c r="AP20" i="68"/>
  <c r="AO20" i="68"/>
  <c r="AN20" i="68"/>
  <c r="AM20" i="68"/>
  <c r="AJ20" i="68"/>
  <c r="AI20" i="68"/>
  <c r="AH20" i="68"/>
  <c r="AG20" i="68"/>
  <c r="AD20" i="68"/>
  <c r="AC20" i="68"/>
  <c r="AB20" i="68"/>
  <c r="AA20" i="68"/>
  <c r="X20" i="68"/>
  <c r="W20" i="68"/>
  <c r="V20" i="68"/>
  <c r="U20" i="68"/>
  <c r="R20" i="68"/>
  <c r="Q20" i="68"/>
  <c r="P20" i="68"/>
  <c r="O20" i="68"/>
  <c r="L20" i="68"/>
  <c r="BM19" i="68"/>
  <c r="BH19" i="68"/>
  <c r="BG19" i="68"/>
  <c r="BF19" i="68"/>
  <c r="BE19" i="68"/>
  <c r="BB19" i="68"/>
  <c r="BA19" i="68"/>
  <c r="AZ19" i="68"/>
  <c r="AY19" i="68"/>
  <c r="AV19" i="68"/>
  <c r="AU19" i="68"/>
  <c r="AT19" i="68"/>
  <c r="AS19" i="68"/>
  <c r="AP19" i="68"/>
  <c r="AO19" i="68"/>
  <c r="AN19" i="68"/>
  <c r="AM19" i="68"/>
  <c r="AJ19" i="68"/>
  <c r="AI19" i="68"/>
  <c r="AH19" i="68"/>
  <c r="AG19" i="68"/>
  <c r="AD19" i="68"/>
  <c r="AC19" i="68"/>
  <c r="AB19" i="68"/>
  <c r="AA19" i="68"/>
  <c r="X19" i="68"/>
  <c r="W19" i="68"/>
  <c r="V19" i="68"/>
  <c r="U19" i="68"/>
  <c r="R19" i="68"/>
  <c r="Q19" i="68"/>
  <c r="P19" i="68"/>
  <c r="O19" i="68"/>
  <c r="L19" i="68"/>
  <c r="BM18" i="68"/>
  <c r="BH18" i="68"/>
  <c r="BG18" i="68"/>
  <c r="BF18" i="68"/>
  <c r="BE18" i="68"/>
  <c r="BB18" i="68"/>
  <c r="BA18" i="68"/>
  <c r="AZ18" i="68"/>
  <c r="AY18" i="68"/>
  <c r="AV18" i="68"/>
  <c r="AU18" i="68"/>
  <c r="AT18" i="68"/>
  <c r="AS18" i="68"/>
  <c r="AP18" i="68"/>
  <c r="AO18" i="68"/>
  <c r="AN18" i="68"/>
  <c r="AM18" i="68"/>
  <c r="AJ18" i="68"/>
  <c r="AI18" i="68"/>
  <c r="AH18" i="68"/>
  <c r="AG18" i="68"/>
  <c r="AD18" i="68"/>
  <c r="AC18" i="68"/>
  <c r="AB18" i="68"/>
  <c r="AA18" i="68"/>
  <c r="X18" i="68"/>
  <c r="W18" i="68"/>
  <c r="V18" i="68"/>
  <c r="U18" i="68"/>
  <c r="R18" i="68"/>
  <c r="Q18" i="68"/>
  <c r="P18" i="68"/>
  <c r="O18" i="68"/>
  <c r="L18" i="68"/>
  <c r="BM17" i="68"/>
  <c r="BH17" i="68"/>
  <c r="BG17" i="68"/>
  <c r="BF17" i="68"/>
  <c r="BE17" i="68"/>
  <c r="BB17" i="68"/>
  <c r="BA17" i="68"/>
  <c r="AZ17" i="68"/>
  <c r="AY17" i="68"/>
  <c r="AV17" i="68"/>
  <c r="AU17" i="68"/>
  <c r="AT17" i="68"/>
  <c r="AS17" i="68"/>
  <c r="AP17" i="68"/>
  <c r="AO17" i="68"/>
  <c r="AN17" i="68"/>
  <c r="AM17" i="68"/>
  <c r="AJ17" i="68"/>
  <c r="AI17" i="68"/>
  <c r="AH17" i="68"/>
  <c r="AG17" i="68"/>
  <c r="AD17" i="68"/>
  <c r="AC17" i="68"/>
  <c r="AB17" i="68"/>
  <c r="AA17" i="68"/>
  <c r="X17" i="68"/>
  <c r="W17" i="68"/>
  <c r="V17" i="68"/>
  <c r="U17" i="68"/>
  <c r="R17" i="68"/>
  <c r="Q17" i="68"/>
  <c r="P17" i="68"/>
  <c r="O17" i="68"/>
  <c r="L17" i="68"/>
  <c r="BM16" i="68"/>
  <c r="BH16" i="68"/>
  <c r="BG16" i="68"/>
  <c r="BF16" i="68"/>
  <c r="BE16" i="68"/>
  <c r="BB16" i="68"/>
  <c r="BA16" i="68"/>
  <c r="AZ16" i="68"/>
  <c r="AY16" i="68"/>
  <c r="AV16" i="68"/>
  <c r="AU16" i="68"/>
  <c r="AT16" i="68"/>
  <c r="AS16" i="68"/>
  <c r="AP16" i="68"/>
  <c r="AO16" i="68"/>
  <c r="AN16" i="68"/>
  <c r="AM16" i="68"/>
  <c r="AJ16" i="68"/>
  <c r="AI16" i="68"/>
  <c r="AH16" i="68"/>
  <c r="AG16" i="68"/>
  <c r="AD16" i="68"/>
  <c r="AC16" i="68"/>
  <c r="AB16" i="68"/>
  <c r="AA16" i="68"/>
  <c r="X16" i="68"/>
  <c r="W16" i="68"/>
  <c r="V16" i="68"/>
  <c r="U16" i="68"/>
  <c r="R16" i="68"/>
  <c r="Q16" i="68"/>
  <c r="P16" i="68"/>
  <c r="O16" i="68"/>
  <c r="L16" i="68"/>
  <c r="BM15" i="68"/>
  <c r="BH15" i="68"/>
  <c r="BG15" i="68"/>
  <c r="BF15" i="68"/>
  <c r="BE15" i="68"/>
  <c r="BB15" i="68"/>
  <c r="BA15" i="68"/>
  <c r="AZ15" i="68"/>
  <c r="AY15" i="68"/>
  <c r="AV15" i="68"/>
  <c r="AU15" i="68"/>
  <c r="AT15" i="68"/>
  <c r="AS15" i="68"/>
  <c r="AP15" i="68"/>
  <c r="AO15" i="68"/>
  <c r="AN15" i="68"/>
  <c r="AM15" i="68"/>
  <c r="AJ15" i="68"/>
  <c r="AI15" i="68"/>
  <c r="AH15" i="68"/>
  <c r="AG15" i="68"/>
  <c r="AD15" i="68"/>
  <c r="AC15" i="68"/>
  <c r="AB15" i="68"/>
  <c r="AA15" i="68"/>
  <c r="X15" i="68"/>
  <c r="W15" i="68"/>
  <c r="V15" i="68"/>
  <c r="U15" i="68"/>
  <c r="R15" i="68"/>
  <c r="Q15" i="68"/>
  <c r="P15" i="68"/>
  <c r="O15" i="68"/>
  <c r="L15" i="68"/>
  <c r="BM14" i="68"/>
  <c r="BH14" i="68"/>
  <c r="BG14" i="68"/>
  <c r="BF14" i="68"/>
  <c r="BE14" i="68"/>
  <c r="BB14" i="68"/>
  <c r="BA14" i="68"/>
  <c r="AZ14" i="68"/>
  <c r="AY14" i="68"/>
  <c r="AV14" i="68"/>
  <c r="AU14" i="68"/>
  <c r="AT14" i="68"/>
  <c r="AS14" i="68"/>
  <c r="AP14" i="68"/>
  <c r="AO14" i="68"/>
  <c r="AN14" i="68"/>
  <c r="AM14" i="68"/>
  <c r="AJ14" i="68"/>
  <c r="AI14" i="68"/>
  <c r="AH14" i="68"/>
  <c r="AG14" i="68"/>
  <c r="AD14" i="68"/>
  <c r="AC14" i="68"/>
  <c r="AB14" i="68"/>
  <c r="AA14" i="68"/>
  <c r="X14" i="68"/>
  <c r="W14" i="68"/>
  <c r="V14" i="68"/>
  <c r="U14" i="68"/>
  <c r="R14" i="68"/>
  <c r="Q14" i="68"/>
  <c r="P14" i="68"/>
  <c r="O14" i="68"/>
  <c r="L14" i="68"/>
  <c r="BM13" i="68"/>
  <c r="BH13" i="68"/>
  <c r="BG13" i="68"/>
  <c r="BF13" i="68"/>
  <c r="BE13" i="68"/>
  <c r="BB13" i="68"/>
  <c r="BA13" i="68"/>
  <c r="AZ13" i="68"/>
  <c r="AY13" i="68"/>
  <c r="AV13" i="68"/>
  <c r="AU13" i="68"/>
  <c r="AT13" i="68"/>
  <c r="AS13" i="68"/>
  <c r="AP13" i="68"/>
  <c r="AO13" i="68"/>
  <c r="AN13" i="68"/>
  <c r="AM13" i="68"/>
  <c r="AL13" i="68"/>
  <c r="AJ13" i="68"/>
  <c r="AI13" i="68"/>
  <c r="AH13" i="68"/>
  <c r="AG13" i="68"/>
  <c r="AD13" i="68"/>
  <c r="AC13" i="68"/>
  <c r="AB13" i="68"/>
  <c r="AA13" i="68"/>
  <c r="X13" i="68"/>
  <c r="W13" i="68"/>
  <c r="V13" i="68"/>
  <c r="U13" i="68"/>
  <c r="R13" i="68"/>
  <c r="Q13" i="68"/>
  <c r="P13" i="68"/>
  <c r="O13" i="68"/>
  <c r="L13" i="68"/>
  <c r="BM12" i="68"/>
  <c r="BH12" i="68"/>
  <c r="BG12" i="68"/>
  <c r="BF12" i="68"/>
  <c r="BE12" i="68"/>
  <c r="BB12" i="68"/>
  <c r="BA12" i="68"/>
  <c r="AZ12" i="68"/>
  <c r="AY12" i="68"/>
  <c r="AV12" i="68"/>
  <c r="AU12" i="68"/>
  <c r="AT12" i="68"/>
  <c r="AS12" i="68"/>
  <c r="AP12" i="68"/>
  <c r="AO12" i="68"/>
  <c r="AN12" i="68"/>
  <c r="AM12" i="68"/>
  <c r="AJ12" i="68"/>
  <c r="AI12" i="68"/>
  <c r="AH12" i="68"/>
  <c r="AG12" i="68"/>
  <c r="AD12" i="68"/>
  <c r="AC12" i="68"/>
  <c r="AB12" i="68"/>
  <c r="AA12" i="68"/>
  <c r="X12" i="68"/>
  <c r="W12" i="68"/>
  <c r="V12" i="68"/>
  <c r="U12" i="68"/>
  <c r="R12" i="68"/>
  <c r="Q12" i="68"/>
  <c r="P12" i="68"/>
  <c r="O12" i="68"/>
  <c r="L12" i="68"/>
  <c r="BM11" i="68"/>
  <c r="BH11" i="68"/>
  <c r="BG11" i="68"/>
  <c r="BF11" i="68"/>
  <c r="BE11" i="68"/>
  <c r="BB11" i="68"/>
  <c r="BA11" i="68"/>
  <c r="AZ11" i="68"/>
  <c r="AY11" i="68"/>
  <c r="AV11" i="68"/>
  <c r="AU11" i="68"/>
  <c r="AT11" i="68"/>
  <c r="AS11" i="68"/>
  <c r="AP11" i="68"/>
  <c r="AO11" i="68"/>
  <c r="AN11" i="68"/>
  <c r="AM11" i="68"/>
  <c r="AJ11" i="68"/>
  <c r="AI11" i="68"/>
  <c r="AH11" i="68"/>
  <c r="AG11" i="68"/>
  <c r="AD11" i="68"/>
  <c r="AC11" i="68"/>
  <c r="AB11" i="68"/>
  <c r="AA11" i="68"/>
  <c r="X11" i="68"/>
  <c r="W11" i="68"/>
  <c r="V11" i="68"/>
  <c r="U11" i="68"/>
  <c r="R11" i="68"/>
  <c r="Q11" i="68"/>
  <c r="P11" i="68"/>
  <c r="O11" i="68"/>
  <c r="L11" i="68"/>
  <c r="BM10" i="68"/>
  <c r="BH10" i="68"/>
  <c r="BG10" i="68"/>
  <c r="BF10" i="68"/>
  <c r="BE10" i="68"/>
  <c r="BB10" i="68"/>
  <c r="BA10" i="68"/>
  <c r="AZ10" i="68"/>
  <c r="AY10" i="68"/>
  <c r="AV10" i="68"/>
  <c r="AU10" i="68"/>
  <c r="AT10" i="68"/>
  <c r="AS10" i="68"/>
  <c r="AP10" i="68"/>
  <c r="AO10" i="68"/>
  <c r="AN10" i="68"/>
  <c r="AM10" i="68"/>
  <c r="AJ10" i="68"/>
  <c r="AI10" i="68"/>
  <c r="AH10" i="68"/>
  <c r="AG10" i="68"/>
  <c r="AD10" i="68"/>
  <c r="AC10" i="68"/>
  <c r="AB10" i="68"/>
  <c r="AA10" i="68"/>
  <c r="X10" i="68"/>
  <c r="W10" i="68"/>
  <c r="V10" i="68"/>
  <c r="U10" i="68"/>
  <c r="R10" i="68"/>
  <c r="Q10" i="68"/>
  <c r="P10" i="68"/>
  <c r="O10" i="68"/>
  <c r="L10" i="68"/>
  <c r="BM9" i="68"/>
  <c r="BH9" i="68"/>
  <c r="BG9" i="68"/>
  <c r="BF9" i="68"/>
  <c r="BE9" i="68"/>
  <c r="BB9" i="68"/>
  <c r="BA9" i="68"/>
  <c r="AZ9" i="68"/>
  <c r="AY9" i="68"/>
  <c r="AV9" i="68"/>
  <c r="AU9" i="68"/>
  <c r="AT9" i="68"/>
  <c r="AS9" i="68"/>
  <c r="AP9" i="68"/>
  <c r="AO9" i="68"/>
  <c r="AN9" i="68"/>
  <c r="AM9" i="68"/>
  <c r="AJ9" i="68"/>
  <c r="AI9" i="68"/>
  <c r="AH9" i="68"/>
  <c r="AG9" i="68"/>
  <c r="AD9" i="68"/>
  <c r="AC9" i="68"/>
  <c r="AB9" i="68"/>
  <c r="AA9" i="68"/>
  <c r="X9" i="68"/>
  <c r="W9" i="68"/>
  <c r="V9" i="68"/>
  <c r="U9" i="68"/>
  <c r="R9" i="68"/>
  <c r="Q9" i="68"/>
  <c r="P9" i="68"/>
  <c r="O9" i="68"/>
  <c r="L9" i="68"/>
  <c r="BM8" i="68"/>
  <c r="BH8" i="68"/>
  <c r="BG8" i="68"/>
  <c r="BF8" i="68"/>
  <c r="BE8" i="68"/>
  <c r="BB8" i="68"/>
  <c r="BA8" i="68"/>
  <c r="AZ8" i="68"/>
  <c r="AY8" i="68"/>
  <c r="AV8" i="68"/>
  <c r="AU8" i="68"/>
  <c r="AT8" i="68"/>
  <c r="AS8" i="68"/>
  <c r="AP8" i="68"/>
  <c r="AO8" i="68"/>
  <c r="AN8" i="68"/>
  <c r="AM8" i="68"/>
  <c r="AJ8" i="68"/>
  <c r="AI8" i="68"/>
  <c r="AH8" i="68"/>
  <c r="AG8" i="68"/>
  <c r="AD8" i="68"/>
  <c r="AC8" i="68"/>
  <c r="AB8" i="68"/>
  <c r="AA8" i="68"/>
  <c r="X8" i="68"/>
  <c r="W8" i="68"/>
  <c r="V8" i="68"/>
  <c r="U8" i="68"/>
  <c r="R8" i="68"/>
  <c r="Q8" i="68"/>
  <c r="P8" i="68"/>
  <c r="O8" i="68"/>
  <c r="L8" i="68"/>
  <c r="BM7" i="68"/>
  <c r="BH7" i="68"/>
  <c r="BG7" i="68"/>
  <c r="BF7" i="68"/>
  <c r="BE7" i="68"/>
  <c r="BB7" i="68"/>
  <c r="BA7" i="68"/>
  <c r="AZ7" i="68"/>
  <c r="AY7" i="68"/>
  <c r="AV7" i="68"/>
  <c r="AU7" i="68"/>
  <c r="AT7" i="68"/>
  <c r="AS7" i="68"/>
  <c r="AP7" i="68"/>
  <c r="AO7" i="68"/>
  <c r="AN7" i="68"/>
  <c r="AM7" i="68"/>
  <c r="AJ7" i="68"/>
  <c r="AI7" i="68"/>
  <c r="AH7" i="68"/>
  <c r="AG7" i="68"/>
  <c r="AD7" i="68"/>
  <c r="AC7" i="68"/>
  <c r="AB7" i="68"/>
  <c r="AA7" i="68"/>
  <c r="X7" i="68"/>
  <c r="W7" i="68"/>
  <c r="V7" i="68"/>
  <c r="U7" i="68"/>
  <c r="R7" i="68"/>
  <c r="Q7" i="68"/>
  <c r="P7" i="68"/>
  <c r="O7" i="68"/>
  <c r="L7" i="68"/>
  <c r="BM6" i="68"/>
  <c r="BH6" i="68"/>
  <c r="BG6" i="68"/>
  <c r="BF6" i="68"/>
  <c r="BE6" i="68"/>
  <c r="BB6" i="68"/>
  <c r="BA6" i="68"/>
  <c r="AZ6" i="68"/>
  <c r="AY6" i="68"/>
  <c r="AV6" i="68"/>
  <c r="AU6" i="68"/>
  <c r="AT6" i="68"/>
  <c r="AS6" i="68"/>
  <c r="AP6" i="68"/>
  <c r="AO6" i="68"/>
  <c r="AN6" i="68"/>
  <c r="AM6" i="68"/>
  <c r="AJ6" i="68"/>
  <c r="AI6" i="68"/>
  <c r="AH6" i="68"/>
  <c r="AG6" i="68"/>
  <c r="AD6" i="68"/>
  <c r="AC6" i="68"/>
  <c r="AB6" i="68"/>
  <c r="AA6" i="68"/>
  <c r="X6" i="68"/>
  <c r="W6" i="68"/>
  <c r="V6" i="68"/>
  <c r="U6" i="68"/>
  <c r="R6" i="68"/>
  <c r="Q6" i="68"/>
  <c r="P6" i="68"/>
  <c r="O6" i="68"/>
  <c r="L6" i="68"/>
  <c r="BM5" i="68"/>
  <c r="BH5" i="68"/>
  <c r="BG5" i="68"/>
  <c r="BF5" i="68"/>
  <c r="BE5" i="68"/>
  <c r="BB5" i="68"/>
  <c r="BA5" i="68"/>
  <c r="AZ5" i="68"/>
  <c r="AY5" i="68"/>
  <c r="AV5" i="68"/>
  <c r="AU5" i="68"/>
  <c r="AT5" i="68"/>
  <c r="AS5" i="68"/>
  <c r="AP5" i="68"/>
  <c r="AO5" i="68"/>
  <c r="AN5" i="68"/>
  <c r="AM5" i="68"/>
  <c r="AJ5" i="68"/>
  <c r="AI5" i="68"/>
  <c r="AH5" i="68"/>
  <c r="AG5" i="68"/>
  <c r="AD5" i="68"/>
  <c r="AC5" i="68"/>
  <c r="AB5" i="68"/>
  <c r="AA5" i="68"/>
  <c r="X5" i="68"/>
  <c r="W5" i="68"/>
  <c r="V5" i="68"/>
  <c r="U5" i="68"/>
  <c r="R5" i="68"/>
  <c r="Q5" i="68"/>
  <c r="P5" i="68"/>
  <c r="O5" i="68"/>
  <c r="L5" i="68"/>
  <c r="BM4" i="68"/>
  <c r="BH4" i="68"/>
  <c r="BG4" i="68"/>
  <c r="BF4" i="68"/>
  <c r="BE4" i="68"/>
  <c r="BB4" i="68"/>
  <c r="BA4" i="68"/>
  <c r="AZ4" i="68"/>
  <c r="AY4" i="68"/>
  <c r="AV4" i="68"/>
  <c r="AU4" i="68"/>
  <c r="AT4" i="68"/>
  <c r="AS4" i="68"/>
  <c r="AP4" i="68"/>
  <c r="AO4" i="68"/>
  <c r="AN4" i="68"/>
  <c r="AM4" i="68"/>
  <c r="AJ4" i="68"/>
  <c r="AI4" i="68"/>
  <c r="AH4" i="68"/>
  <c r="AG4" i="68"/>
  <c r="AD4" i="68"/>
  <c r="AC4" i="68"/>
  <c r="AB4" i="68"/>
  <c r="AA4" i="68"/>
  <c r="X4" i="68"/>
  <c r="W4" i="68"/>
  <c r="V4" i="68"/>
  <c r="U4" i="68"/>
  <c r="R4" i="68"/>
  <c r="Q4" i="68"/>
  <c r="P4" i="68"/>
  <c r="O4" i="68"/>
  <c r="L4" i="68"/>
  <c r="BM3" i="68"/>
  <c r="BH3" i="68"/>
  <c r="BG3" i="68"/>
  <c r="BF3" i="68"/>
  <c r="BE3" i="68"/>
  <c r="BB3" i="68"/>
  <c r="BA3" i="68"/>
  <c r="AZ3" i="68"/>
  <c r="AY3" i="68"/>
  <c r="AV3" i="68"/>
  <c r="AU3" i="68"/>
  <c r="AT3" i="68"/>
  <c r="AS3" i="68"/>
  <c r="AP3" i="68"/>
  <c r="AO3" i="68"/>
  <c r="AN3" i="68"/>
  <c r="AM3" i="68"/>
  <c r="AJ3" i="68"/>
  <c r="AI3" i="68"/>
  <c r="AH3" i="68"/>
  <c r="AG3" i="68"/>
  <c r="AD3" i="68"/>
  <c r="AC3" i="68"/>
  <c r="AB3" i="68"/>
  <c r="AA3" i="68"/>
  <c r="X3" i="68"/>
  <c r="W3" i="68"/>
  <c r="V3" i="68"/>
  <c r="U3" i="68"/>
  <c r="R3" i="68"/>
  <c r="Q3" i="68"/>
  <c r="P3" i="68"/>
  <c r="O3" i="68"/>
  <c r="L3" i="68"/>
  <c r="BM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BM34" i="5"/>
  <c r="BH34" i="5"/>
  <c r="BG34" i="5"/>
  <c r="BF34" i="5"/>
  <c r="BE34" i="5"/>
  <c r="BM33" i="5"/>
  <c r="BH33" i="5"/>
  <c r="BG33" i="5"/>
  <c r="BF33" i="5"/>
  <c r="BE33" i="5"/>
  <c r="BB33" i="5"/>
  <c r="BA33" i="5"/>
  <c r="AZ33" i="5"/>
  <c r="AY33" i="5"/>
  <c r="AV33" i="5"/>
  <c r="AU33" i="5"/>
  <c r="AT33" i="5"/>
  <c r="AS33" i="5"/>
  <c r="AP33" i="5"/>
  <c r="AO33" i="5"/>
  <c r="AN33" i="5"/>
  <c r="AM33" i="5"/>
  <c r="AJ33" i="5"/>
  <c r="AI33" i="5"/>
  <c r="AH33" i="5"/>
  <c r="AG33" i="5"/>
  <c r="AD33" i="5"/>
  <c r="AC33" i="5"/>
  <c r="AB33" i="5"/>
  <c r="AA33" i="5"/>
  <c r="X33" i="5"/>
  <c r="W33" i="5"/>
  <c r="V33" i="5"/>
  <c r="U33" i="5"/>
  <c r="R33" i="5"/>
  <c r="Q33" i="5"/>
  <c r="P33" i="5"/>
  <c r="O33" i="5"/>
  <c r="L33" i="5"/>
  <c r="BM32" i="5"/>
  <c r="BH32" i="5"/>
  <c r="BG32" i="5"/>
  <c r="BF32" i="5"/>
  <c r="BE32" i="5"/>
  <c r="BB32" i="5"/>
  <c r="BA32" i="5"/>
  <c r="AZ32" i="5"/>
  <c r="AY32" i="5"/>
  <c r="AV32" i="5"/>
  <c r="AU32" i="5"/>
  <c r="AT32" i="5"/>
  <c r="AS32" i="5"/>
  <c r="AP32" i="5"/>
  <c r="AO32" i="5"/>
  <c r="AN32" i="5"/>
  <c r="AM32" i="5"/>
  <c r="AJ32" i="5"/>
  <c r="AI32" i="5"/>
  <c r="AH32" i="5"/>
  <c r="AG32" i="5"/>
  <c r="AD32" i="5"/>
  <c r="AC32" i="5"/>
  <c r="AB32" i="5"/>
  <c r="AA32" i="5"/>
  <c r="X32" i="5"/>
  <c r="W32" i="5"/>
  <c r="V32" i="5"/>
  <c r="U32" i="5"/>
  <c r="R32" i="5"/>
  <c r="Q32" i="5"/>
  <c r="P32" i="5"/>
  <c r="O32" i="5"/>
  <c r="L32" i="5"/>
  <c r="BM31" i="5"/>
  <c r="BH31" i="5"/>
  <c r="BG31" i="5"/>
  <c r="BF31" i="5"/>
  <c r="BE31" i="5"/>
  <c r="BB31" i="5"/>
  <c r="BA31" i="5"/>
  <c r="AZ31" i="5"/>
  <c r="AY31" i="5"/>
  <c r="AV31" i="5"/>
  <c r="AU31" i="5"/>
  <c r="AT31" i="5"/>
  <c r="AS31" i="5"/>
  <c r="AP31" i="5"/>
  <c r="AO31" i="5"/>
  <c r="AN31" i="5"/>
  <c r="AM31" i="5"/>
  <c r="AJ31" i="5"/>
  <c r="AI31" i="5"/>
  <c r="AH31" i="5"/>
  <c r="AG31" i="5"/>
  <c r="AD31" i="5"/>
  <c r="AC31" i="5"/>
  <c r="AB31" i="5"/>
  <c r="AA31" i="5"/>
  <c r="X31" i="5"/>
  <c r="W31" i="5"/>
  <c r="V31" i="5"/>
  <c r="U31" i="5"/>
  <c r="R31" i="5"/>
  <c r="Q31" i="5"/>
  <c r="P31" i="5"/>
  <c r="O31" i="5"/>
  <c r="L31" i="5"/>
  <c r="BM30" i="5"/>
  <c r="BH30" i="5"/>
  <c r="BG30" i="5"/>
  <c r="BF30" i="5"/>
  <c r="BE30" i="5"/>
  <c r="BB30" i="5"/>
  <c r="BA30" i="5"/>
  <c r="AZ30" i="5"/>
  <c r="AY30" i="5"/>
  <c r="AV30" i="5"/>
  <c r="AU30" i="5"/>
  <c r="AT30" i="5"/>
  <c r="AS30" i="5"/>
  <c r="AP30" i="5"/>
  <c r="AO30" i="5"/>
  <c r="AN30" i="5"/>
  <c r="AM30" i="5"/>
  <c r="AJ30" i="5"/>
  <c r="AI30" i="5"/>
  <c r="AH30" i="5"/>
  <c r="AG30" i="5"/>
  <c r="AD30" i="5"/>
  <c r="AC30" i="5"/>
  <c r="AB30" i="5"/>
  <c r="AA30" i="5"/>
  <c r="X30" i="5"/>
  <c r="W30" i="5"/>
  <c r="V30" i="5"/>
  <c r="U30" i="5"/>
  <c r="R30" i="5"/>
  <c r="Q30" i="5"/>
  <c r="P30" i="5"/>
  <c r="O30" i="5"/>
  <c r="L30" i="5"/>
  <c r="BM29" i="5"/>
  <c r="BH29" i="5"/>
  <c r="BG29" i="5"/>
  <c r="BF29" i="5"/>
  <c r="BE29" i="5"/>
  <c r="BB29" i="5"/>
  <c r="BA29" i="5"/>
  <c r="AZ29" i="5"/>
  <c r="AY29" i="5"/>
  <c r="AV29" i="5"/>
  <c r="AU29" i="5"/>
  <c r="AT29" i="5"/>
  <c r="AS29" i="5"/>
  <c r="AP29" i="5"/>
  <c r="AO29" i="5"/>
  <c r="AN29" i="5"/>
  <c r="AM29" i="5"/>
  <c r="AJ29" i="5"/>
  <c r="AI29" i="5"/>
  <c r="AH29" i="5"/>
  <c r="AG29" i="5"/>
  <c r="AD29" i="5"/>
  <c r="AC29" i="5"/>
  <c r="AB29" i="5"/>
  <c r="AA29" i="5"/>
  <c r="X29" i="5"/>
  <c r="W29" i="5"/>
  <c r="V29" i="5"/>
  <c r="U29" i="5"/>
  <c r="R29" i="5"/>
  <c r="Q29" i="5"/>
  <c r="P29" i="5"/>
  <c r="O29" i="5"/>
  <c r="L29" i="5"/>
  <c r="BM28" i="5"/>
  <c r="BH28" i="5"/>
  <c r="BG28" i="5"/>
  <c r="BF28" i="5"/>
  <c r="BE28" i="5"/>
  <c r="BB28" i="5"/>
  <c r="BA28" i="5"/>
  <c r="AZ28" i="5"/>
  <c r="AY28" i="5"/>
  <c r="AV28" i="5"/>
  <c r="AU28" i="5"/>
  <c r="AT28" i="5"/>
  <c r="AS28" i="5"/>
  <c r="AP28" i="5"/>
  <c r="AO28" i="5"/>
  <c r="AN28" i="5"/>
  <c r="AM28" i="5"/>
  <c r="AJ28" i="5"/>
  <c r="AI28" i="5"/>
  <c r="AH28" i="5"/>
  <c r="AG28" i="5"/>
  <c r="AD28" i="5"/>
  <c r="AC28" i="5"/>
  <c r="AB28" i="5"/>
  <c r="AA28" i="5"/>
  <c r="X28" i="5"/>
  <c r="W28" i="5"/>
  <c r="V28" i="5"/>
  <c r="U28" i="5"/>
  <c r="R28" i="5"/>
  <c r="Q28" i="5"/>
  <c r="P28" i="5"/>
  <c r="O28" i="5"/>
  <c r="L28" i="5"/>
  <c r="BM27" i="5"/>
  <c r="BH27" i="5"/>
  <c r="BG27" i="5"/>
  <c r="BF27" i="5"/>
  <c r="BE27" i="5"/>
  <c r="BB27" i="5"/>
  <c r="BA27" i="5"/>
  <c r="AZ27" i="5"/>
  <c r="AY27" i="5"/>
  <c r="AV27" i="5"/>
  <c r="AU27" i="5"/>
  <c r="AT27" i="5"/>
  <c r="AS27" i="5"/>
  <c r="AP27" i="5"/>
  <c r="AO27" i="5"/>
  <c r="AN27" i="5"/>
  <c r="AM27" i="5"/>
  <c r="AJ27" i="5"/>
  <c r="AI27" i="5"/>
  <c r="AH27" i="5"/>
  <c r="AG27" i="5"/>
  <c r="AD27" i="5"/>
  <c r="AC27" i="5"/>
  <c r="AB27" i="5"/>
  <c r="AA27" i="5"/>
  <c r="X27" i="5"/>
  <c r="W27" i="5"/>
  <c r="V27" i="5"/>
  <c r="U27" i="5"/>
  <c r="R27" i="5"/>
  <c r="Q27" i="5"/>
  <c r="P27" i="5"/>
  <c r="O27" i="5"/>
  <c r="L27" i="5"/>
  <c r="BM26" i="5"/>
  <c r="BH26" i="5"/>
  <c r="BG26" i="5"/>
  <c r="BF26" i="5"/>
  <c r="BE26" i="5"/>
  <c r="BB26" i="5"/>
  <c r="BA26" i="5"/>
  <c r="AZ26" i="5"/>
  <c r="AY26" i="5"/>
  <c r="AV26" i="5"/>
  <c r="AU26" i="5"/>
  <c r="AT26" i="5"/>
  <c r="AS26" i="5"/>
  <c r="AP26" i="5"/>
  <c r="AO26" i="5"/>
  <c r="AN26" i="5"/>
  <c r="AM26" i="5"/>
  <c r="AJ26" i="5"/>
  <c r="AI26" i="5"/>
  <c r="AH26" i="5"/>
  <c r="AG26" i="5"/>
  <c r="AD26" i="5"/>
  <c r="AC26" i="5"/>
  <c r="AB26" i="5"/>
  <c r="AA26" i="5"/>
  <c r="X26" i="5"/>
  <c r="W26" i="5"/>
  <c r="V26" i="5"/>
  <c r="U26" i="5"/>
  <c r="R26" i="5"/>
  <c r="Q26" i="5"/>
  <c r="P26" i="5"/>
  <c r="O26" i="5"/>
  <c r="L26" i="5"/>
  <c r="BM25" i="5"/>
  <c r="BH25" i="5"/>
  <c r="BG25" i="5"/>
  <c r="BF25" i="5"/>
  <c r="BE25" i="5"/>
  <c r="BB25" i="5"/>
  <c r="BA25" i="5"/>
  <c r="AZ25" i="5"/>
  <c r="AY25" i="5"/>
  <c r="AV25" i="5"/>
  <c r="AU25" i="5"/>
  <c r="AT25" i="5"/>
  <c r="AS25" i="5"/>
  <c r="AP25" i="5"/>
  <c r="AO25" i="5"/>
  <c r="AN25" i="5"/>
  <c r="AM25" i="5"/>
  <c r="AJ25" i="5"/>
  <c r="AI25" i="5"/>
  <c r="AH25" i="5"/>
  <c r="AG25" i="5"/>
  <c r="AF25" i="5"/>
  <c r="AD25" i="5"/>
  <c r="AC25" i="5"/>
  <c r="AB25" i="5"/>
  <c r="AA25" i="5"/>
  <c r="X25" i="5"/>
  <c r="W25" i="5"/>
  <c r="V25" i="5"/>
  <c r="U25" i="5"/>
  <c r="R25" i="5"/>
  <c r="Q25" i="5"/>
  <c r="P25" i="5"/>
  <c r="O25" i="5"/>
  <c r="L25" i="5"/>
  <c r="BM24" i="5"/>
  <c r="BH24" i="5"/>
  <c r="BG24" i="5"/>
  <c r="BF24" i="5"/>
  <c r="BE24" i="5"/>
  <c r="BB24" i="5"/>
  <c r="BA24" i="5"/>
  <c r="AZ24" i="5"/>
  <c r="AY24" i="5"/>
  <c r="AV24" i="5"/>
  <c r="AU24" i="5"/>
  <c r="AT24" i="5"/>
  <c r="AS24" i="5"/>
  <c r="AP24" i="5"/>
  <c r="AO24" i="5"/>
  <c r="AN24" i="5"/>
  <c r="AM24" i="5"/>
  <c r="AJ24" i="5"/>
  <c r="AI24" i="5"/>
  <c r="AH24" i="5"/>
  <c r="AG24" i="5"/>
  <c r="AD24" i="5"/>
  <c r="AC24" i="5"/>
  <c r="AB24" i="5"/>
  <c r="AA24" i="5"/>
  <c r="X24" i="5"/>
  <c r="W24" i="5"/>
  <c r="V24" i="5"/>
  <c r="U24" i="5"/>
  <c r="R24" i="5"/>
  <c r="Q24" i="5"/>
  <c r="P24" i="5"/>
  <c r="O24" i="5"/>
  <c r="L24" i="5"/>
  <c r="BM23" i="5"/>
  <c r="BH23" i="5"/>
  <c r="BG23" i="5"/>
  <c r="BF23" i="5"/>
  <c r="BE23" i="5"/>
  <c r="BB23" i="5"/>
  <c r="BA23" i="5"/>
  <c r="AZ23" i="5"/>
  <c r="AY23" i="5"/>
  <c r="AV23" i="5"/>
  <c r="AU23" i="5"/>
  <c r="AT23" i="5"/>
  <c r="AS23" i="5"/>
  <c r="AP23" i="5"/>
  <c r="AO23" i="5"/>
  <c r="AN23" i="5"/>
  <c r="AM23" i="5"/>
  <c r="AJ23" i="5"/>
  <c r="AI23" i="5"/>
  <c r="AH23" i="5"/>
  <c r="AG23" i="5"/>
  <c r="AD23" i="5"/>
  <c r="AC23" i="5"/>
  <c r="AB23" i="5"/>
  <c r="AA23" i="5"/>
  <c r="X23" i="5"/>
  <c r="W23" i="5"/>
  <c r="V23" i="5"/>
  <c r="U23" i="5"/>
  <c r="R23" i="5"/>
  <c r="Q23" i="5"/>
  <c r="P23" i="5"/>
  <c r="O23" i="5"/>
  <c r="L23" i="5"/>
  <c r="BM22" i="5"/>
  <c r="BH22" i="5"/>
  <c r="BG22" i="5"/>
  <c r="BF22" i="5"/>
  <c r="BE22" i="5"/>
  <c r="BB22" i="5"/>
  <c r="BA22" i="5"/>
  <c r="AZ22" i="5"/>
  <c r="AY22" i="5"/>
  <c r="AX22" i="5"/>
  <c r="AV22" i="5"/>
  <c r="AU22" i="5"/>
  <c r="AT22" i="5"/>
  <c r="AS22" i="5"/>
  <c r="AP22" i="5"/>
  <c r="AO22" i="5"/>
  <c r="AN22" i="5"/>
  <c r="AM22" i="5"/>
  <c r="AL22" i="5"/>
  <c r="AJ22" i="5"/>
  <c r="AI22" i="5"/>
  <c r="AH22" i="5"/>
  <c r="AG22" i="5"/>
  <c r="AF22" i="5"/>
  <c r="AD22" i="5"/>
  <c r="AC22" i="5"/>
  <c r="AB22" i="5"/>
  <c r="AA22" i="5"/>
  <c r="X22" i="5"/>
  <c r="W22" i="5"/>
  <c r="V22" i="5"/>
  <c r="U22" i="5"/>
  <c r="R22" i="5"/>
  <c r="Q22" i="5"/>
  <c r="P22" i="5"/>
  <c r="O22" i="5"/>
  <c r="L22" i="5"/>
  <c r="BM21" i="5"/>
  <c r="BH21" i="5"/>
  <c r="BG21" i="5"/>
  <c r="BF21" i="5"/>
  <c r="BE21" i="5"/>
  <c r="BB21" i="5"/>
  <c r="BA21" i="5"/>
  <c r="AZ21" i="5"/>
  <c r="AY21" i="5"/>
  <c r="AV21" i="5"/>
  <c r="AU21" i="5"/>
  <c r="AT21" i="5"/>
  <c r="AS21" i="5"/>
  <c r="AP21" i="5"/>
  <c r="AO21" i="5"/>
  <c r="AN21" i="5"/>
  <c r="AM21" i="5"/>
  <c r="AJ21" i="5"/>
  <c r="AI21" i="5"/>
  <c r="AH21" i="5"/>
  <c r="AG21" i="5"/>
  <c r="AD21" i="5"/>
  <c r="AC21" i="5"/>
  <c r="AB21" i="5"/>
  <c r="AA21" i="5"/>
  <c r="X21" i="5"/>
  <c r="W21" i="5"/>
  <c r="V21" i="5"/>
  <c r="U21" i="5"/>
  <c r="R21" i="5"/>
  <c r="Q21" i="5"/>
  <c r="P21" i="5"/>
  <c r="O21" i="5"/>
  <c r="L21" i="5"/>
  <c r="BM20" i="5"/>
  <c r="BH20" i="5"/>
  <c r="BG20" i="5"/>
  <c r="BF20" i="5"/>
  <c r="BE20" i="5"/>
  <c r="BB20" i="5"/>
  <c r="BA20" i="5"/>
  <c r="AZ20" i="5"/>
  <c r="AY20" i="5"/>
  <c r="AV20" i="5"/>
  <c r="AU20" i="5"/>
  <c r="AT20" i="5"/>
  <c r="AS20" i="5"/>
  <c r="AP20" i="5"/>
  <c r="AO20" i="5"/>
  <c r="AN20" i="5"/>
  <c r="AM20" i="5"/>
  <c r="AJ20" i="5"/>
  <c r="AI20" i="5"/>
  <c r="AH20" i="5"/>
  <c r="AG20" i="5"/>
  <c r="AF20" i="5"/>
  <c r="AD20" i="5"/>
  <c r="AC20" i="5"/>
  <c r="AB20" i="5"/>
  <c r="AA20" i="5"/>
  <c r="X20" i="5"/>
  <c r="W20" i="5"/>
  <c r="V20" i="5"/>
  <c r="U20" i="5"/>
  <c r="R20" i="5"/>
  <c r="Q20" i="5"/>
  <c r="P20" i="5"/>
  <c r="O20" i="5"/>
  <c r="L20" i="5"/>
  <c r="BM19" i="5"/>
  <c r="BH19" i="5"/>
  <c r="BG19" i="5"/>
  <c r="BF19" i="5"/>
  <c r="BE19" i="5"/>
  <c r="BB19" i="5"/>
  <c r="BA19" i="5"/>
  <c r="AZ19" i="5"/>
  <c r="AY19" i="5"/>
  <c r="AV19" i="5"/>
  <c r="AU19" i="5"/>
  <c r="AT19" i="5"/>
  <c r="AS19" i="5"/>
  <c r="AP19" i="5"/>
  <c r="AO19" i="5"/>
  <c r="AN19" i="5"/>
  <c r="AM19" i="5"/>
  <c r="AJ19" i="5"/>
  <c r="AI19" i="5"/>
  <c r="AH19" i="5"/>
  <c r="AG19" i="5"/>
  <c r="AD19" i="5"/>
  <c r="AC19" i="5"/>
  <c r="AB19" i="5"/>
  <c r="AA19" i="5"/>
  <c r="X19" i="5"/>
  <c r="W19" i="5"/>
  <c r="V19" i="5"/>
  <c r="U19" i="5"/>
  <c r="R19" i="5"/>
  <c r="Q19" i="5"/>
  <c r="P19" i="5"/>
  <c r="O19" i="5"/>
  <c r="L19" i="5"/>
  <c r="BM18" i="5"/>
  <c r="BH18" i="5"/>
  <c r="BG18" i="5"/>
  <c r="BF18" i="5"/>
  <c r="BE18" i="5"/>
  <c r="BB18" i="5"/>
  <c r="BA18" i="5"/>
  <c r="AZ18" i="5"/>
  <c r="AY18" i="5"/>
  <c r="AV18" i="5"/>
  <c r="AU18" i="5"/>
  <c r="AT18" i="5"/>
  <c r="AS18" i="5"/>
  <c r="AP18" i="5"/>
  <c r="AO18" i="5"/>
  <c r="AN18" i="5"/>
  <c r="AM18" i="5"/>
  <c r="AJ18" i="5"/>
  <c r="AI18" i="5"/>
  <c r="AH18" i="5"/>
  <c r="AG18" i="5"/>
  <c r="AD18" i="5"/>
  <c r="AC18" i="5"/>
  <c r="AB18" i="5"/>
  <c r="AA18" i="5"/>
  <c r="X18" i="5"/>
  <c r="W18" i="5"/>
  <c r="V18" i="5"/>
  <c r="U18" i="5"/>
  <c r="R18" i="5"/>
  <c r="Q18" i="5"/>
  <c r="P18" i="5"/>
  <c r="O18" i="5"/>
  <c r="L18" i="5"/>
  <c r="BM17" i="5"/>
  <c r="BH17" i="5"/>
  <c r="BG17" i="5"/>
  <c r="BF17" i="5"/>
  <c r="BE17" i="5"/>
  <c r="BB17" i="5"/>
  <c r="BA17" i="5"/>
  <c r="AZ17" i="5"/>
  <c r="AY17" i="5"/>
  <c r="AV17" i="5"/>
  <c r="AU17" i="5"/>
  <c r="AT17" i="5"/>
  <c r="AS17" i="5"/>
  <c r="AP17" i="5"/>
  <c r="AO17" i="5"/>
  <c r="AN17" i="5"/>
  <c r="AM17" i="5"/>
  <c r="AJ17" i="5"/>
  <c r="AI17" i="5"/>
  <c r="AH17" i="5"/>
  <c r="AG17" i="5"/>
  <c r="AD17" i="5"/>
  <c r="AC17" i="5"/>
  <c r="AB17" i="5"/>
  <c r="AA17" i="5"/>
  <c r="X17" i="5"/>
  <c r="W17" i="5"/>
  <c r="V17" i="5"/>
  <c r="U17" i="5"/>
  <c r="R17" i="5"/>
  <c r="Q17" i="5"/>
  <c r="P17" i="5"/>
  <c r="O17" i="5"/>
  <c r="L17" i="5"/>
  <c r="BM16" i="5"/>
  <c r="BH16" i="5"/>
  <c r="BG16" i="5"/>
  <c r="BF16" i="5"/>
  <c r="BE16" i="5"/>
  <c r="BB16" i="5"/>
  <c r="BA16" i="5"/>
  <c r="AZ16" i="5"/>
  <c r="AY16" i="5"/>
  <c r="AV16" i="5"/>
  <c r="AU16" i="5"/>
  <c r="AT16" i="5"/>
  <c r="AS16" i="5"/>
  <c r="AP16" i="5"/>
  <c r="AO16" i="5"/>
  <c r="AN16" i="5"/>
  <c r="AM16" i="5"/>
  <c r="AJ16" i="5"/>
  <c r="AI16" i="5"/>
  <c r="AH16" i="5"/>
  <c r="AG16" i="5"/>
  <c r="AF16" i="5"/>
  <c r="AD16" i="5"/>
  <c r="AC16" i="5"/>
  <c r="AB16" i="5"/>
  <c r="AA16" i="5"/>
  <c r="X16" i="5"/>
  <c r="W16" i="5"/>
  <c r="V16" i="5"/>
  <c r="U16" i="5"/>
  <c r="R16" i="5"/>
  <c r="Q16" i="5"/>
  <c r="P16" i="5"/>
  <c r="O16" i="5"/>
  <c r="L16" i="5"/>
  <c r="BM15" i="5"/>
  <c r="BH15" i="5"/>
  <c r="BG15" i="5"/>
  <c r="BF15" i="5"/>
  <c r="BE15" i="5"/>
  <c r="BB15" i="5"/>
  <c r="BA15" i="5"/>
  <c r="AZ15" i="5"/>
  <c r="AY15" i="5"/>
  <c r="AV15" i="5"/>
  <c r="AU15" i="5"/>
  <c r="AT15" i="5"/>
  <c r="AS15" i="5"/>
  <c r="AP15" i="5"/>
  <c r="AO15" i="5"/>
  <c r="AN15" i="5"/>
  <c r="AM15" i="5"/>
  <c r="AJ15" i="5"/>
  <c r="AI15" i="5"/>
  <c r="AH15" i="5"/>
  <c r="AG15" i="5"/>
  <c r="AD15" i="5"/>
  <c r="AC15" i="5"/>
  <c r="AB15" i="5"/>
  <c r="AA15" i="5"/>
  <c r="X15" i="5"/>
  <c r="W15" i="5"/>
  <c r="V15" i="5"/>
  <c r="U15" i="5"/>
  <c r="T15" i="5"/>
  <c r="R15" i="5"/>
  <c r="Q15" i="5"/>
  <c r="P15" i="5"/>
  <c r="O15" i="5"/>
  <c r="L15" i="5"/>
  <c r="BM14" i="5"/>
  <c r="BH14" i="5"/>
  <c r="BG14" i="5"/>
  <c r="BF14" i="5"/>
  <c r="BE14" i="5"/>
  <c r="BB14" i="5"/>
  <c r="BA14" i="5"/>
  <c r="AZ14" i="5"/>
  <c r="AY14" i="5"/>
  <c r="AV14" i="5"/>
  <c r="AU14" i="5"/>
  <c r="AT14" i="5"/>
  <c r="AS14" i="5"/>
  <c r="AP14" i="5"/>
  <c r="AO14" i="5"/>
  <c r="AN14" i="5"/>
  <c r="AM14" i="5"/>
  <c r="AJ14" i="5"/>
  <c r="AI14" i="5"/>
  <c r="AH14" i="5"/>
  <c r="AG14" i="5"/>
  <c r="AD14" i="5"/>
  <c r="AC14" i="5"/>
  <c r="AB14" i="5"/>
  <c r="AA14" i="5"/>
  <c r="X14" i="5"/>
  <c r="W14" i="5"/>
  <c r="V14" i="5"/>
  <c r="U14" i="5"/>
  <c r="R14" i="5"/>
  <c r="Q14" i="5"/>
  <c r="P14" i="5"/>
  <c r="O14" i="5"/>
  <c r="L14" i="5"/>
  <c r="BM13" i="5"/>
  <c r="BH13" i="5"/>
  <c r="BG13" i="5"/>
  <c r="BF13" i="5"/>
  <c r="BE13" i="5"/>
  <c r="BB13" i="5"/>
  <c r="BA13" i="5"/>
  <c r="AZ13" i="5"/>
  <c r="AY13" i="5"/>
  <c r="AV13" i="5"/>
  <c r="AU13" i="5"/>
  <c r="AT13" i="5"/>
  <c r="AS13" i="5"/>
  <c r="AP13" i="5"/>
  <c r="AO13" i="5"/>
  <c r="AN13" i="5"/>
  <c r="AM13" i="5"/>
  <c r="AJ13" i="5"/>
  <c r="AI13" i="5"/>
  <c r="AH13" i="5"/>
  <c r="AG13" i="5"/>
  <c r="AD13" i="5"/>
  <c r="AC13" i="5"/>
  <c r="AB13" i="5"/>
  <c r="AA13" i="5"/>
  <c r="X13" i="5"/>
  <c r="W13" i="5"/>
  <c r="V13" i="5"/>
  <c r="U13" i="5"/>
  <c r="R13" i="5"/>
  <c r="Q13" i="5"/>
  <c r="P13" i="5"/>
  <c r="O13" i="5"/>
  <c r="L13" i="5"/>
  <c r="BM12" i="5"/>
  <c r="BH12" i="5"/>
  <c r="BG12" i="5"/>
  <c r="BF12" i="5"/>
  <c r="BE12" i="5"/>
  <c r="BB12" i="5"/>
  <c r="BA12" i="5"/>
  <c r="AZ12" i="5"/>
  <c r="AY12" i="5"/>
  <c r="AV12" i="5"/>
  <c r="AU12" i="5"/>
  <c r="AT12" i="5"/>
  <c r="AS12" i="5"/>
  <c r="AP12" i="5"/>
  <c r="AO12" i="5"/>
  <c r="AN12" i="5"/>
  <c r="AM12" i="5"/>
  <c r="AJ12" i="5"/>
  <c r="AI12" i="5"/>
  <c r="AH12" i="5"/>
  <c r="AG12" i="5"/>
  <c r="AD12" i="5"/>
  <c r="AC12" i="5"/>
  <c r="AB12" i="5"/>
  <c r="AA12" i="5"/>
  <c r="X12" i="5"/>
  <c r="W12" i="5"/>
  <c r="V12" i="5"/>
  <c r="U12" i="5"/>
  <c r="R12" i="5"/>
  <c r="Q12" i="5"/>
  <c r="P12" i="5"/>
  <c r="O12" i="5"/>
  <c r="L12" i="5"/>
  <c r="BM11" i="5"/>
  <c r="BH11" i="5"/>
  <c r="BG11" i="5"/>
  <c r="BF11" i="5"/>
  <c r="BE11" i="5"/>
  <c r="BB11" i="5"/>
  <c r="BA11" i="5"/>
  <c r="AZ11" i="5"/>
  <c r="AY11" i="5"/>
  <c r="AX11" i="5"/>
  <c r="AV11" i="5"/>
  <c r="AU11" i="5"/>
  <c r="AT11" i="5"/>
  <c r="AS11" i="5"/>
  <c r="AR11" i="5"/>
  <c r="AP11" i="5"/>
  <c r="AO11" i="5"/>
  <c r="AN11" i="5"/>
  <c r="AM11" i="5"/>
  <c r="AL11" i="5"/>
  <c r="AJ11" i="5"/>
  <c r="AI11" i="5"/>
  <c r="AH11" i="5"/>
  <c r="AG11" i="5"/>
  <c r="AD11" i="5"/>
  <c r="AC11" i="5"/>
  <c r="AB11" i="5"/>
  <c r="AA11" i="5"/>
  <c r="X11" i="5"/>
  <c r="W11" i="5"/>
  <c r="V11" i="5"/>
  <c r="U11" i="5"/>
  <c r="R11" i="5"/>
  <c r="Q11" i="5"/>
  <c r="P11" i="5"/>
  <c r="O11" i="5"/>
  <c r="N11" i="5"/>
  <c r="L11" i="5"/>
  <c r="K11" i="5"/>
  <c r="BM10" i="5"/>
  <c r="BH10" i="5"/>
  <c r="BG10" i="5"/>
  <c r="BF10" i="5"/>
  <c r="BE10" i="5"/>
  <c r="BB10" i="5"/>
  <c r="BA10" i="5"/>
  <c r="AZ10" i="5"/>
  <c r="AY10" i="5"/>
  <c r="AV10" i="5"/>
  <c r="AU10" i="5"/>
  <c r="AT10" i="5"/>
  <c r="AS10" i="5"/>
  <c r="AP10" i="5"/>
  <c r="AO10" i="5"/>
  <c r="AN10" i="5"/>
  <c r="AM10" i="5"/>
  <c r="AL10" i="5"/>
  <c r="AJ10" i="5"/>
  <c r="AI10" i="5"/>
  <c r="AH10" i="5"/>
  <c r="AG10" i="5"/>
  <c r="AD10" i="5"/>
  <c r="AC10" i="5"/>
  <c r="AB10" i="5"/>
  <c r="AA10" i="5"/>
  <c r="X10" i="5"/>
  <c r="W10" i="5"/>
  <c r="V10" i="5"/>
  <c r="U10" i="5"/>
  <c r="R10" i="5"/>
  <c r="Q10" i="5"/>
  <c r="P10" i="5"/>
  <c r="O10" i="5"/>
  <c r="L10" i="5"/>
  <c r="BM9" i="5"/>
  <c r="BH9" i="5"/>
  <c r="BG9" i="5"/>
  <c r="BF9" i="5"/>
  <c r="BE9" i="5"/>
  <c r="BB9" i="5"/>
  <c r="BA9" i="5"/>
  <c r="AZ9" i="5"/>
  <c r="AY9" i="5"/>
  <c r="AV9" i="5"/>
  <c r="AU9" i="5"/>
  <c r="AT9" i="5"/>
  <c r="AS9" i="5"/>
  <c r="AP9" i="5"/>
  <c r="AO9" i="5"/>
  <c r="AN9" i="5"/>
  <c r="AM9" i="5"/>
  <c r="AJ9" i="5"/>
  <c r="AI9" i="5"/>
  <c r="AH9" i="5"/>
  <c r="AG9" i="5"/>
  <c r="AD9" i="5"/>
  <c r="AC9" i="5"/>
  <c r="AB9" i="5"/>
  <c r="AA9" i="5"/>
  <c r="X9" i="5"/>
  <c r="W9" i="5"/>
  <c r="V9" i="5"/>
  <c r="U9" i="5"/>
  <c r="R9" i="5"/>
  <c r="Q9" i="5"/>
  <c r="P9" i="5"/>
  <c r="O9" i="5"/>
  <c r="L9" i="5"/>
  <c r="BM8" i="5"/>
  <c r="BH8" i="5"/>
  <c r="BG8" i="5"/>
  <c r="BF8" i="5"/>
  <c r="BE8" i="5"/>
  <c r="BD8" i="5"/>
  <c r="BB8" i="5"/>
  <c r="BA8" i="5"/>
  <c r="AZ8" i="5"/>
  <c r="AY8" i="5"/>
  <c r="AV8" i="5"/>
  <c r="AU8" i="5"/>
  <c r="AT8" i="5"/>
  <c r="AS8" i="5"/>
  <c r="AP8" i="5"/>
  <c r="AO8" i="5"/>
  <c r="AN8" i="5"/>
  <c r="AM8" i="5"/>
  <c r="AJ8" i="5"/>
  <c r="AI8" i="5"/>
  <c r="AH8" i="5"/>
  <c r="AG8" i="5"/>
  <c r="AD8" i="5"/>
  <c r="AC8" i="5"/>
  <c r="AB8" i="5"/>
  <c r="AA8" i="5"/>
  <c r="X8" i="5"/>
  <c r="W8" i="5"/>
  <c r="V8" i="5"/>
  <c r="U8" i="5"/>
  <c r="T8" i="5"/>
  <c r="R8" i="5"/>
  <c r="Q8" i="5"/>
  <c r="P8" i="5"/>
  <c r="O8" i="5"/>
  <c r="L8" i="5"/>
  <c r="K8" i="5"/>
  <c r="BM7" i="5"/>
  <c r="BH7" i="5"/>
  <c r="BG7" i="5"/>
  <c r="BF7" i="5"/>
  <c r="BE7" i="5"/>
  <c r="BB7" i="5"/>
  <c r="BA7" i="5"/>
  <c r="AZ7" i="5"/>
  <c r="AY7" i="5"/>
  <c r="AV7" i="5"/>
  <c r="AU7" i="5"/>
  <c r="AT7" i="5"/>
  <c r="AS7" i="5"/>
  <c r="AP7" i="5"/>
  <c r="AO7" i="5"/>
  <c r="AN7" i="5"/>
  <c r="AM7" i="5"/>
  <c r="AJ7" i="5"/>
  <c r="AI7" i="5"/>
  <c r="AH7" i="5"/>
  <c r="AG7" i="5"/>
  <c r="AD7" i="5"/>
  <c r="AC7" i="5"/>
  <c r="AB7" i="5"/>
  <c r="AA7" i="5"/>
  <c r="X7" i="5"/>
  <c r="W7" i="5"/>
  <c r="V7" i="5"/>
  <c r="U7" i="5"/>
  <c r="R7" i="5"/>
  <c r="Q7" i="5"/>
  <c r="P7" i="5"/>
  <c r="O7" i="5"/>
  <c r="L7" i="5"/>
  <c r="BM6" i="5"/>
  <c r="BH6" i="5"/>
  <c r="BG6" i="5"/>
  <c r="BF6" i="5"/>
  <c r="BE6" i="5"/>
  <c r="BB6" i="5"/>
  <c r="BA6" i="5"/>
  <c r="AZ6" i="5"/>
  <c r="AY6" i="5"/>
  <c r="AV6" i="5"/>
  <c r="AU6" i="5"/>
  <c r="AT6" i="5"/>
  <c r="AS6" i="5"/>
  <c r="AP6" i="5"/>
  <c r="AO6" i="5"/>
  <c r="AN6" i="5"/>
  <c r="AM6" i="5"/>
  <c r="AJ6" i="5"/>
  <c r="AI6" i="5"/>
  <c r="AH6" i="5"/>
  <c r="AG6" i="5"/>
  <c r="AD6" i="5"/>
  <c r="AC6" i="5"/>
  <c r="AB6" i="5"/>
  <c r="AA6" i="5"/>
  <c r="X6" i="5"/>
  <c r="W6" i="5"/>
  <c r="V6" i="5"/>
  <c r="U6" i="5"/>
  <c r="R6" i="5"/>
  <c r="Q6" i="5"/>
  <c r="P6" i="5"/>
  <c r="O6" i="5"/>
  <c r="L6" i="5"/>
  <c r="BM5" i="5"/>
  <c r="BH5" i="5"/>
  <c r="BG5" i="5"/>
  <c r="BF5" i="5"/>
  <c r="BE5" i="5"/>
  <c r="BB5" i="5"/>
  <c r="BA5" i="5"/>
  <c r="AZ5" i="5"/>
  <c r="AY5" i="5"/>
  <c r="AV5" i="5"/>
  <c r="AU5" i="5"/>
  <c r="AT5" i="5"/>
  <c r="AS5" i="5"/>
  <c r="AP5" i="5"/>
  <c r="AO5" i="5"/>
  <c r="AN5" i="5"/>
  <c r="AM5" i="5"/>
  <c r="AL5" i="5"/>
  <c r="AJ5" i="5"/>
  <c r="AI5" i="5"/>
  <c r="AH5" i="5"/>
  <c r="AG5" i="5"/>
  <c r="AD5" i="5"/>
  <c r="AC5" i="5"/>
  <c r="AB5" i="5"/>
  <c r="AA5" i="5"/>
  <c r="X5" i="5"/>
  <c r="W5" i="5"/>
  <c r="V5" i="5"/>
  <c r="U5" i="5"/>
  <c r="T5" i="5"/>
  <c r="R5" i="5"/>
  <c r="Q5" i="5"/>
  <c r="P5" i="5"/>
  <c r="O5" i="5"/>
  <c r="L5" i="5"/>
  <c r="BM4" i="5"/>
  <c r="BH4" i="5"/>
  <c r="BG4" i="5"/>
  <c r="BF4" i="5"/>
  <c r="BE4" i="5"/>
  <c r="BB4" i="5"/>
  <c r="BA4" i="5"/>
  <c r="AZ4" i="5"/>
  <c r="AY4" i="5"/>
  <c r="AV4" i="5"/>
  <c r="AU4" i="5"/>
  <c r="AT4" i="5"/>
  <c r="AS4" i="5"/>
  <c r="AP4" i="5"/>
  <c r="AO4" i="5"/>
  <c r="AN4" i="5"/>
  <c r="AM4" i="5"/>
  <c r="AJ4" i="5"/>
  <c r="AI4" i="5"/>
  <c r="AH4" i="5"/>
  <c r="AG4" i="5"/>
  <c r="AD4" i="5"/>
  <c r="AC4" i="5"/>
  <c r="AB4" i="5"/>
  <c r="AA4" i="5"/>
  <c r="X4" i="5"/>
  <c r="W4" i="5"/>
  <c r="V4" i="5"/>
  <c r="U4" i="5"/>
  <c r="R4" i="5"/>
  <c r="Q4" i="5"/>
  <c r="P4" i="5"/>
  <c r="O4" i="5"/>
  <c r="L4" i="5"/>
  <c r="BM3" i="5"/>
  <c r="BH3" i="5"/>
  <c r="BG3" i="5"/>
  <c r="BF3" i="5"/>
  <c r="BE3" i="5"/>
  <c r="BB3" i="5"/>
  <c r="BA3" i="5"/>
  <c r="AZ3" i="5"/>
  <c r="AY3" i="5"/>
  <c r="AV3" i="5"/>
  <c r="AU3" i="5"/>
  <c r="AT3" i="5"/>
  <c r="AS3" i="5"/>
  <c r="AP3" i="5"/>
  <c r="AO3" i="5"/>
  <c r="AN3" i="5"/>
  <c r="AM3" i="5"/>
  <c r="AJ3" i="5"/>
  <c r="AI3" i="5"/>
  <c r="AH3" i="5"/>
  <c r="AG3" i="5"/>
  <c r="AD3" i="5"/>
  <c r="AC3" i="5"/>
  <c r="AB3" i="5"/>
  <c r="AA3" i="5"/>
  <c r="X3" i="5"/>
  <c r="W3" i="5"/>
  <c r="V3" i="5"/>
  <c r="U3" i="5"/>
  <c r="R3" i="5"/>
  <c r="Q3" i="5"/>
  <c r="P3" i="5"/>
  <c r="O3" i="5"/>
  <c r="L3" i="5"/>
  <c r="BM79" i="67"/>
  <c r="BH79" i="67"/>
  <c r="BG79" i="67"/>
  <c r="BF79" i="67"/>
  <c r="BE79" i="67"/>
  <c r="BD79" i="67"/>
  <c r="BC79" i="67"/>
  <c r="BB79" i="67"/>
  <c r="BA79" i="67"/>
  <c r="AZ79" i="67"/>
  <c r="AY79" i="67"/>
  <c r="AX79" i="67"/>
  <c r="AW79" i="67"/>
  <c r="AV79" i="67"/>
  <c r="AU79" i="67"/>
  <c r="AT79" i="67"/>
  <c r="AS79" i="67"/>
  <c r="AR79" i="67"/>
  <c r="AQ79" i="67"/>
  <c r="AP79" i="67"/>
  <c r="AO79" i="67"/>
  <c r="AN79" i="67"/>
  <c r="AM79" i="67"/>
  <c r="AL79" i="67"/>
  <c r="AK79" i="67"/>
  <c r="AJ79" i="67"/>
  <c r="AI79" i="67"/>
  <c r="AH79" i="67"/>
  <c r="AG79" i="67"/>
  <c r="AF79" i="67"/>
  <c r="AE79" i="67"/>
  <c r="AD79" i="67"/>
  <c r="AC79" i="67"/>
  <c r="AB79" i="67"/>
  <c r="AA79" i="67"/>
  <c r="Z79" i="67"/>
  <c r="Y79" i="67"/>
  <c r="X79" i="67"/>
  <c r="W79" i="67"/>
  <c r="V79" i="67"/>
  <c r="U79" i="67"/>
  <c r="T79" i="67"/>
  <c r="S79" i="67"/>
  <c r="R79" i="67"/>
  <c r="Q79" i="67"/>
  <c r="P79" i="67"/>
  <c r="O79" i="67"/>
  <c r="N79" i="67"/>
  <c r="M79" i="67"/>
  <c r="L79" i="67"/>
  <c r="K79" i="67"/>
  <c r="J79" i="67"/>
  <c r="I79" i="67"/>
  <c r="BM78" i="67"/>
  <c r="BH78" i="67"/>
  <c r="BG78" i="67"/>
  <c r="BF78" i="67"/>
  <c r="BE78" i="67"/>
  <c r="BB78" i="67"/>
  <c r="BA78" i="67"/>
  <c r="AZ78" i="67"/>
  <c r="AY78" i="67"/>
  <c r="BM77" i="67"/>
  <c r="BH77" i="67"/>
  <c r="BG77" i="67"/>
  <c r="BF77" i="67"/>
  <c r="BE77" i="67"/>
  <c r="BM76" i="67"/>
  <c r="BH76" i="67"/>
  <c r="BG76" i="67"/>
  <c r="BF76" i="67"/>
  <c r="BE76" i="67"/>
  <c r="BM75" i="67"/>
  <c r="BH75" i="67"/>
  <c r="BG75" i="67"/>
  <c r="BF75" i="67"/>
  <c r="BE75" i="67"/>
  <c r="BB75" i="67"/>
  <c r="BA75" i="67"/>
  <c r="AZ75" i="67"/>
  <c r="AY75" i="67"/>
  <c r="AV75" i="67"/>
  <c r="AU75" i="67"/>
  <c r="AT75" i="67"/>
  <c r="AS75" i="67"/>
  <c r="BM74" i="67"/>
  <c r="BH74" i="67"/>
  <c r="BG74" i="67"/>
  <c r="BF74" i="67"/>
  <c r="BE74" i="67"/>
  <c r="BB74" i="67"/>
  <c r="BA74" i="67"/>
  <c r="AZ74" i="67"/>
  <c r="AY74" i="67"/>
  <c r="AV74" i="67"/>
  <c r="AU74" i="67"/>
  <c r="AT74" i="67"/>
  <c r="AS74" i="67"/>
  <c r="AP74" i="67"/>
  <c r="AO74" i="67"/>
  <c r="AN74" i="67"/>
  <c r="AM74" i="67"/>
  <c r="AJ74" i="67"/>
  <c r="AI74" i="67"/>
  <c r="AH74" i="67"/>
  <c r="AG74" i="67"/>
  <c r="AD74" i="67"/>
  <c r="AC74" i="67"/>
  <c r="AB74" i="67"/>
  <c r="AA74" i="67"/>
  <c r="BM73" i="67"/>
  <c r="BH73" i="67"/>
  <c r="BG73" i="67"/>
  <c r="BF73" i="67"/>
  <c r="BE73" i="67"/>
  <c r="BB73" i="67"/>
  <c r="BA73" i="67"/>
  <c r="AZ73" i="67"/>
  <c r="AY73" i="67"/>
  <c r="AV73" i="67"/>
  <c r="AU73" i="67"/>
  <c r="AT73" i="67"/>
  <c r="AS73" i="67"/>
  <c r="AP73" i="67"/>
  <c r="AO73" i="67"/>
  <c r="AN73" i="67"/>
  <c r="AM73" i="67"/>
  <c r="AJ73" i="67"/>
  <c r="AI73" i="67"/>
  <c r="AH73" i="67"/>
  <c r="AG73" i="67"/>
  <c r="BM72" i="67"/>
  <c r="BH72" i="67"/>
  <c r="BG72" i="67"/>
  <c r="BF72" i="67"/>
  <c r="BE72" i="67"/>
  <c r="BB72" i="67"/>
  <c r="BA72" i="67"/>
  <c r="AZ72" i="67"/>
  <c r="AY72" i="67"/>
  <c r="AV72" i="67"/>
  <c r="AU72" i="67"/>
  <c r="AT72" i="67"/>
  <c r="AS72" i="67"/>
  <c r="AP72" i="67"/>
  <c r="AO72" i="67"/>
  <c r="AN72" i="67"/>
  <c r="AM72" i="67"/>
  <c r="AJ72" i="67"/>
  <c r="AI72" i="67"/>
  <c r="AH72" i="67"/>
  <c r="AG72" i="67"/>
  <c r="BM71" i="67"/>
  <c r="BH71" i="67"/>
  <c r="BG71" i="67"/>
  <c r="BF71" i="67"/>
  <c r="BE71" i="67"/>
  <c r="BB71" i="67"/>
  <c r="BA71" i="67"/>
  <c r="AZ71" i="67"/>
  <c r="AY71" i="67"/>
  <c r="AV71" i="67"/>
  <c r="AU71" i="67"/>
  <c r="AT71" i="67"/>
  <c r="AS71" i="67"/>
  <c r="AP71" i="67"/>
  <c r="AO71" i="67"/>
  <c r="AN71" i="67"/>
  <c r="AM71" i="67"/>
  <c r="AJ71" i="67"/>
  <c r="AI71" i="67"/>
  <c r="AH71" i="67"/>
  <c r="AG71" i="67"/>
  <c r="BM70" i="67"/>
  <c r="BH70" i="67"/>
  <c r="BG70" i="67"/>
  <c r="BF70" i="67"/>
  <c r="BE70" i="67"/>
  <c r="BB70" i="67"/>
  <c r="BA70" i="67"/>
  <c r="AZ70" i="67"/>
  <c r="AY70" i="67"/>
  <c r="AV70" i="67"/>
  <c r="AU70" i="67"/>
  <c r="AT70" i="67"/>
  <c r="AS70" i="67"/>
  <c r="AP70" i="67"/>
  <c r="AO70" i="67"/>
  <c r="AN70" i="67"/>
  <c r="AM70" i="67"/>
  <c r="AJ70" i="67"/>
  <c r="AI70" i="67"/>
  <c r="AH70" i="67"/>
  <c r="AG70" i="67"/>
  <c r="AD70" i="67"/>
  <c r="AC70" i="67"/>
  <c r="AB70" i="67"/>
  <c r="AA70" i="67"/>
  <c r="X70" i="67"/>
  <c r="W70" i="67"/>
  <c r="V70" i="67"/>
  <c r="U70" i="67"/>
  <c r="BM69" i="67"/>
  <c r="BH69" i="67"/>
  <c r="BG69" i="67"/>
  <c r="BF69" i="67"/>
  <c r="BE69" i="67"/>
  <c r="BB69" i="67"/>
  <c r="BA69" i="67"/>
  <c r="AZ69" i="67"/>
  <c r="AY69" i="67"/>
  <c r="AV69" i="67"/>
  <c r="AU69" i="67"/>
  <c r="AT69" i="67"/>
  <c r="AS69" i="67"/>
  <c r="AP69" i="67"/>
  <c r="AO69" i="67"/>
  <c r="AN69" i="67"/>
  <c r="AM69" i="67"/>
  <c r="AJ69" i="67"/>
  <c r="AI69" i="67"/>
  <c r="AH69" i="67"/>
  <c r="AG69" i="67"/>
  <c r="AD69" i="67"/>
  <c r="AC69" i="67"/>
  <c r="AB69" i="67"/>
  <c r="AA69" i="67"/>
  <c r="X69" i="67"/>
  <c r="W69" i="67"/>
  <c r="V69" i="67"/>
  <c r="U69" i="67"/>
  <c r="BM68" i="67"/>
  <c r="BH68" i="67"/>
  <c r="BG68" i="67"/>
  <c r="BF68" i="67"/>
  <c r="BE68" i="67"/>
  <c r="BB68" i="67"/>
  <c r="BA68" i="67"/>
  <c r="AZ68" i="67"/>
  <c r="AY68" i="67"/>
  <c r="AV68" i="67"/>
  <c r="AU68" i="67"/>
  <c r="AT68" i="67"/>
  <c r="AS68" i="67"/>
  <c r="AP68" i="67"/>
  <c r="AO68" i="67"/>
  <c r="AN68" i="67"/>
  <c r="AM68" i="67"/>
  <c r="AJ68" i="67"/>
  <c r="AI68" i="67"/>
  <c r="AH68" i="67"/>
  <c r="AG68" i="67"/>
  <c r="AD68" i="67"/>
  <c r="AC68" i="67"/>
  <c r="AB68" i="67"/>
  <c r="AA68" i="67"/>
  <c r="X68" i="67"/>
  <c r="W68" i="67"/>
  <c r="V68" i="67"/>
  <c r="U68" i="67"/>
  <c r="R68" i="67"/>
  <c r="Q68" i="67"/>
  <c r="P68" i="67"/>
  <c r="O68" i="67"/>
  <c r="L68" i="67"/>
  <c r="BM67" i="67"/>
  <c r="BH67" i="67"/>
  <c r="BG67" i="67"/>
  <c r="BF67" i="67"/>
  <c r="BE67" i="67"/>
  <c r="BB67" i="67"/>
  <c r="BA67" i="67"/>
  <c r="AZ67" i="67"/>
  <c r="AY67" i="67"/>
  <c r="AV67" i="67"/>
  <c r="AU67" i="67"/>
  <c r="AT67" i="67"/>
  <c r="AS67" i="67"/>
  <c r="AP67" i="67"/>
  <c r="AO67" i="67"/>
  <c r="AN67" i="67"/>
  <c r="AM67" i="67"/>
  <c r="AJ67" i="67"/>
  <c r="AI67" i="67"/>
  <c r="AH67" i="67"/>
  <c r="AG67" i="67"/>
  <c r="AD67" i="67"/>
  <c r="AC67" i="67"/>
  <c r="AB67" i="67"/>
  <c r="AA67" i="67"/>
  <c r="X67" i="67"/>
  <c r="W67" i="67"/>
  <c r="V67" i="67"/>
  <c r="U67" i="67"/>
  <c r="BM66" i="67"/>
  <c r="BH66" i="67"/>
  <c r="BG66" i="67"/>
  <c r="BF66" i="67"/>
  <c r="BE66" i="67"/>
  <c r="BB66" i="67"/>
  <c r="BA66" i="67"/>
  <c r="AZ66" i="67"/>
  <c r="AY66" i="67"/>
  <c r="AV66" i="67"/>
  <c r="AU66" i="67"/>
  <c r="AT66" i="67"/>
  <c r="AS66" i="67"/>
  <c r="AP66" i="67"/>
  <c r="AO66" i="67"/>
  <c r="AN66" i="67"/>
  <c r="AM66" i="67"/>
  <c r="AJ66" i="67"/>
  <c r="AI66" i="67"/>
  <c r="AH66" i="67"/>
  <c r="AG66" i="67"/>
  <c r="AD66" i="67"/>
  <c r="AC66" i="67"/>
  <c r="AB66" i="67"/>
  <c r="AA66" i="67"/>
  <c r="X66" i="67"/>
  <c r="W66" i="67"/>
  <c r="V66" i="67"/>
  <c r="U66" i="67"/>
  <c r="R66" i="67"/>
  <c r="Q66" i="67"/>
  <c r="P66" i="67"/>
  <c r="O66" i="67"/>
  <c r="L66" i="67"/>
  <c r="BM65" i="67"/>
  <c r="BH65" i="67"/>
  <c r="BG65" i="67"/>
  <c r="BF65" i="67"/>
  <c r="BE65" i="67"/>
  <c r="BB65" i="67"/>
  <c r="BA65" i="67"/>
  <c r="AZ65" i="67"/>
  <c r="AY65" i="67"/>
  <c r="AV65" i="67"/>
  <c r="AU65" i="67"/>
  <c r="AT65" i="67"/>
  <c r="AS65" i="67"/>
  <c r="AP65" i="67"/>
  <c r="AO65" i="67"/>
  <c r="AN65" i="67"/>
  <c r="AM65" i="67"/>
  <c r="AJ65" i="67"/>
  <c r="AI65" i="67"/>
  <c r="AH65" i="67"/>
  <c r="AG65" i="67"/>
  <c r="AD65" i="67"/>
  <c r="AC65" i="67"/>
  <c r="AB65" i="67"/>
  <c r="AA65" i="67"/>
  <c r="X65" i="67"/>
  <c r="W65" i="67"/>
  <c r="V65" i="67"/>
  <c r="U65" i="67"/>
  <c r="R65" i="67"/>
  <c r="Q65" i="67"/>
  <c r="P65" i="67"/>
  <c r="O65" i="67"/>
  <c r="L65" i="67"/>
  <c r="BM64" i="67"/>
  <c r="BH64" i="67"/>
  <c r="BG64" i="67"/>
  <c r="BF64" i="67"/>
  <c r="BE64" i="67"/>
  <c r="BB64" i="67"/>
  <c r="BA64" i="67"/>
  <c r="AZ64" i="67"/>
  <c r="AY64" i="67"/>
  <c r="AV64" i="67"/>
  <c r="AU64" i="67"/>
  <c r="AT64" i="67"/>
  <c r="AS64" i="67"/>
  <c r="AP64" i="67"/>
  <c r="AO64" i="67"/>
  <c r="AN64" i="67"/>
  <c r="AM64" i="67"/>
  <c r="AJ64" i="67"/>
  <c r="AI64" i="67"/>
  <c r="AH64" i="67"/>
  <c r="AG64" i="67"/>
  <c r="AD64" i="67"/>
  <c r="AC64" i="67"/>
  <c r="AB64" i="67"/>
  <c r="AA64" i="67"/>
  <c r="X64" i="67"/>
  <c r="W64" i="67"/>
  <c r="V64" i="67"/>
  <c r="U64" i="67"/>
  <c r="R64" i="67"/>
  <c r="Q64" i="67"/>
  <c r="P64" i="67"/>
  <c r="O64" i="67"/>
  <c r="L64" i="67"/>
  <c r="BM63" i="67"/>
  <c r="BH63" i="67"/>
  <c r="BG63" i="67"/>
  <c r="BF63" i="67"/>
  <c r="BE63" i="67"/>
  <c r="BB63" i="67"/>
  <c r="BA63" i="67"/>
  <c r="AZ63" i="67"/>
  <c r="AY63" i="67"/>
  <c r="AV63" i="67"/>
  <c r="AU63" i="67"/>
  <c r="AT63" i="67"/>
  <c r="AS63" i="67"/>
  <c r="AP63" i="67"/>
  <c r="AO63" i="67"/>
  <c r="AN63" i="67"/>
  <c r="AM63" i="67"/>
  <c r="AJ63" i="67"/>
  <c r="AI63" i="67"/>
  <c r="AH63" i="67"/>
  <c r="AG63" i="67"/>
  <c r="AD63" i="67"/>
  <c r="AC63" i="67"/>
  <c r="AB63" i="67"/>
  <c r="AA63" i="67"/>
  <c r="X63" i="67"/>
  <c r="W63" i="67"/>
  <c r="V63" i="67"/>
  <c r="U63" i="67"/>
  <c r="R63" i="67"/>
  <c r="Q63" i="67"/>
  <c r="P63" i="67"/>
  <c r="O63" i="67"/>
  <c r="L63" i="67"/>
  <c r="BM62" i="67"/>
  <c r="BH62" i="67"/>
  <c r="BG62" i="67"/>
  <c r="BF62" i="67"/>
  <c r="BE62" i="67"/>
  <c r="BB62" i="67"/>
  <c r="BA62" i="67"/>
  <c r="AZ62" i="67"/>
  <c r="AY62" i="67"/>
  <c r="AV62" i="67"/>
  <c r="AU62" i="67"/>
  <c r="AT62" i="67"/>
  <c r="AS62" i="67"/>
  <c r="AP62" i="67"/>
  <c r="AO62" i="67"/>
  <c r="AN62" i="67"/>
  <c r="AM62" i="67"/>
  <c r="AJ62" i="67"/>
  <c r="AI62" i="67"/>
  <c r="AH62" i="67"/>
  <c r="AG62" i="67"/>
  <c r="AD62" i="67"/>
  <c r="AC62" i="67"/>
  <c r="AB62" i="67"/>
  <c r="AA62" i="67"/>
  <c r="X62" i="67"/>
  <c r="W62" i="67"/>
  <c r="V62" i="67"/>
  <c r="U62" i="67"/>
  <c r="R62" i="67"/>
  <c r="Q62" i="67"/>
  <c r="P62" i="67"/>
  <c r="O62" i="67"/>
  <c r="L62" i="67"/>
  <c r="BM61" i="67"/>
  <c r="BH61" i="67"/>
  <c r="BG61" i="67"/>
  <c r="BF61" i="67"/>
  <c r="BE61" i="67"/>
  <c r="BB61" i="67"/>
  <c r="BA61" i="67"/>
  <c r="AZ61" i="67"/>
  <c r="AY61" i="67"/>
  <c r="AV61" i="67"/>
  <c r="AU61" i="67"/>
  <c r="AT61" i="67"/>
  <c r="AS61" i="67"/>
  <c r="AP61" i="67"/>
  <c r="AO61" i="67"/>
  <c r="AN61" i="67"/>
  <c r="AM61" i="67"/>
  <c r="AJ61" i="67"/>
  <c r="AI61" i="67"/>
  <c r="AH61" i="67"/>
  <c r="AG61" i="67"/>
  <c r="AD61" i="67"/>
  <c r="AC61" i="67"/>
  <c r="AB61" i="67"/>
  <c r="AA61" i="67"/>
  <c r="X61" i="67"/>
  <c r="W61" i="67"/>
  <c r="V61" i="67"/>
  <c r="U61" i="67"/>
  <c r="R61" i="67"/>
  <c r="Q61" i="67"/>
  <c r="P61" i="67"/>
  <c r="O61" i="67"/>
  <c r="L61" i="67"/>
  <c r="BM60" i="67"/>
  <c r="BH60" i="67"/>
  <c r="BG60" i="67"/>
  <c r="BF60" i="67"/>
  <c r="BE60" i="67"/>
  <c r="BB60" i="67"/>
  <c r="BA60" i="67"/>
  <c r="AZ60" i="67"/>
  <c r="AY60" i="67"/>
  <c r="AV60" i="67"/>
  <c r="AU60" i="67"/>
  <c r="AT60" i="67"/>
  <c r="AS60" i="67"/>
  <c r="AP60" i="67"/>
  <c r="AO60" i="67"/>
  <c r="AN60" i="67"/>
  <c r="AM60" i="67"/>
  <c r="AJ60" i="67"/>
  <c r="AI60" i="67"/>
  <c r="AH60" i="67"/>
  <c r="AG60" i="67"/>
  <c r="AD60" i="67"/>
  <c r="AC60" i="67"/>
  <c r="AB60" i="67"/>
  <c r="AA60" i="67"/>
  <c r="X60" i="67"/>
  <c r="W60" i="67"/>
  <c r="V60" i="67"/>
  <c r="U60" i="67"/>
  <c r="R60" i="67"/>
  <c r="Q60" i="67"/>
  <c r="P60" i="67"/>
  <c r="O60" i="67"/>
  <c r="L60" i="67"/>
  <c r="BM59" i="67"/>
  <c r="BH59" i="67"/>
  <c r="BG59" i="67"/>
  <c r="BF59" i="67"/>
  <c r="BE59" i="67"/>
  <c r="BB59" i="67"/>
  <c r="BA59" i="67"/>
  <c r="AZ59" i="67"/>
  <c r="AY59" i="67"/>
  <c r="AV59" i="67"/>
  <c r="AU59" i="67"/>
  <c r="AT59" i="67"/>
  <c r="AS59" i="67"/>
  <c r="AP59" i="67"/>
  <c r="AO59" i="67"/>
  <c r="AN59" i="67"/>
  <c r="AM59" i="67"/>
  <c r="AJ59" i="67"/>
  <c r="AI59" i="67"/>
  <c r="AH59" i="67"/>
  <c r="AG59" i="67"/>
  <c r="AD59" i="67"/>
  <c r="AC59" i="67"/>
  <c r="AB59" i="67"/>
  <c r="AA59" i="67"/>
  <c r="X59" i="67"/>
  <c r="W59" i="67"/>
  <c r="V59" i="67"/>
  <c r="U59" i="67"/>
  <c r="R59" i="67"/>
  <c r="Q59" i="67"/>
  <c r="P59" i="67"/>
  <c r="O59" i="67"/>
  <c r="L59" i="67"/>
  <c r="BM58" i="67"/>
  <c r="BH58" i="67"/>
  <c r="BG58" i="67"/>
  <c r="BF58" i="67"/>
  <c r="BE58" i="67"/>
  <c r="BB58" i="67"/>
  <c r="BA58" i="67"/>
  <c r="AZ58" i="67"/>
  <c r="AY58" i="67"/>
  <c r="AV58" i="67"/>
  <c r="AU58" i="67"/>
  <c r="AT58" i="67"/>
  <c r="AS58" i="67"/>
  <c r="AP58" i="67"/>
  <c r="AO58" i="67"/>
  <c r="AN58" i="67"/>
  <c r="AM58" i="67"/>
  <c r="AJ58" i="67"/>
  <c r="AI58" i="67"/>
  <c r="AH58" i="67"/>
  <c r="AG58" i="67"/>
  <c r="AD58" i="67"/>
  <c r="AC58" i="67"/>
  <c r="AB58" i="67"/>
  <c r="AA58" i="67"/>
  <c r="X58" i="67"/>
  <c r="W58" i="67"/>
  <c r="V58" i="67"/>
  <c r="U58" i="67"/>
  <c r="R58" i="67"/>
  <c r="Q58" i="67"/>
  <c r="P58" i="67"/>
  <c r="O58" i="67"/>
  <c r="L58" i="67"/>
  <c r="BM57" i="67"/>
  <c r="BH57" i="67"/>
  <c r="BG57" i="67"/>
  <c r="BF57" i="67"/>
  <c r="BE57" i="67"/>
  <c r="BB57" i="67"/>
  <c r="BA57" i="67"/>
  <c r="AZ57" i="67"/>
  <c r="AY57" i="67"/>
  <c r="AV57" i="67"/>
  <c r="AU57" i="67"/>
  <c r="AT57" i="67"/>
  <c r="AS57" i="67"/>
  <c r="AP57" i="67"/>
  <c r="AO57" i="67"/>
  <c r="AN57" i="67"/>
  <c r="AM57" i="67"/>
  <c r="AJ57" i="67"/>
  <c r="AI57" i="67"/>
  <c r="AH57" i="67"/>
  <c r="AG57" i="67"/>
  <c r="AD57" i="67"/>
  <c r="AC57" i="67"/>
  <c r="AB57" i="67"/>
  <c r="AA57" i="67"/>
  <c r="X57" i="67"/>
  <c r="W57" i="67"/>
  <c r="V57" i="67"/>
  <c r="U57" i="67"/>
  <c r="R57" i="67"/>
  <c r="Q57" i="67"/>
  <c r="P57" i="67"/>
  <c r="O57" i="67"/>
  <c r="L57" i="67"/>
  <c r="BM56" i="67"/>
  <c r="BH56" i="67"/>
  <c r="BG56" i="67"/>
  <c r="BF56" i="67"/>
  <c r="BE56" i="67"/>
  <c r="BB56" i="67"/>
  <c r="BA56" i="67"/>
  <c r="AZ56" i="67"/>
  <c r="AY56" i="67"/>
  <c r="AV56" i="67"/>
  <c r="AU56" i="67"/>
  <c r="AT56" i="67"/>
  <c r="AS56" i="67"/>
  <c r="AP56" i="67"/>
  <c r="AO56" i="67"/>
  <c r="AN56" i="67"/>
  <c r="AM56" i="67"/>
  <c r="AJ56" i="67"/>
  <c r="AI56" i="67"/>
  <c r="AH56" i="67"/>
  <c r="AG56" i="67"/>
  <c r="AD56" i="67"/>
  <c r="AC56" i="67"/>
  <c r="AB56" i="67"/>
  <c r="AA56" i="67"/>
  <c r="X56" i="67"/>
  <c r="W56" i="67"/>
  <c r="V56" i="67"/>
  <c r="U56" i="67"/>
  <c r="R56" i="67"/>
  <c r="Q56" i="67"/>
  <c r="P56" i="67"/>
  <c r="O56" i="67"/>
  <c r="L56" i="67"/>
  <c r="BM55" i="67"/>
  <c r="BH55" i="67"/>
  <c r="BG55" i="67"/>
  <c r="BF55" i="67"/>
  <c r="BE55" i="67"/>
  <c r="BB55" i="67"/>
  <c r="BA55" i="67"/>
  <c r="AZ55" i="67"/>
  <c r="AY55" i="67"/>
  <c r="AV55" i="67"/>
  <c r="AU55" i="67"/>
  <c r="AT55" i="67"/>
  <c r="AS55" i="67"/>
  <c r="AP55" i="67"/>
  <c r="AO55" i="67"/>
  <c r="AN55" i="67"/>
  <c r="AM55" i="67"/>
  <c r="AJ55" i="67"/>
  <c r="AI55" i="67"/>
  <c r="AH55" i="67"/>
  <c r="AG55" i="67"/>
  <c r="AD55" i="67"/>
  <c r="AC55" i="67"/>
  <c r="AB55" i="67"/>
  <c r="AA55" i="67"/>
  <c r="X55" i="67"/>
  <c r="W55" i="67"/>
  <c r="V55" i="67"/>
  <c r="U55" i="67"/>
  <c r="R55" i="67"/>
  <c r="Q55" i="67"/>
  <c r="P55" i="67"/>
  <c r="O55" i="67"/>
  <c r="L55" i="67"/>
  <c r="BM54" i="67"/>
  <c r="BH54" i="67"/>
  <c r="BG54" i="67"/>
  <c r="BF54" i="67"/>
  <c r="BE54" i="67"/>
  <c r="BB54" i="67"/>
  <c r="BA54" i="67"/>
  <c r="AZ54" i="67"/>
  <c r="AY54" i="67"/>
  <c r="AV54" i="67"/>
  <c r="AU54" i="67"/>
  <c r="AT54" i="67"/>
  <c r="AS54" i="67"/>
  <c r="AP54" i="67"/>
  <c r="AO54" i="67"/>
  <c r="AN54" i="67"/>
  <c r="AM54" i="67"/>
  <c r="AJ54" i="67"/>
  <c r="AI54" i="67"/>
  <c r="AH54" i="67"/>
  <c r="AG54" i="67"/>
  <c r="AD54" i="67"/>
  <c r="AC54" i="67"/>
  <c r="AB54" i="67"/>
  <c r="AA54" i="67"/>
  <c r="X54" i="67"/>
  <c r="W54" i="67"/>
  <c r="V54" i="67"/>
  <c r="U54" i="67"/>
  <c r="R54" i="67"/>
  <c r="Q54" i="67"/>
  <c r="P54" i="67"/>
  <c r="O54" i="67"/>
  <c r="L54" i="67"/>
  <c r="BM53" i="67"/>
  <c r="BH53" i="67"/>
  <c r="BG53" i="67"/>
  <c r="BF53" i="67"/>
  <c r="BE53" i="67"/>
  <c r="BB53" i="67"/>
  <c r="BA53" i="67"/>
  <c r="AZ53" i="67"/>
  <c r="AY53" i="67"/>
  <c r="AV53" i="67"/>
  <c r="AU53" i="67"/>
  <c r="AT53" i="67"/>
  <c r="AS53" i="67"/>
  <c r="AP53" i="67"/>
  <c r="AO53" i="67"/>
  <c r="AN53" i="67"/>
  <c r="AM53" i="67"/>
  <c r="AJ53" i="67"/>
  <c r="AI53" i="67"/>
  <c r="AH53" i="67"/>
  <c r="AG53" i="67"/>
  <c r="AD53" i="67"/>
  <c r="AC53" i="67"/>
  <c r="AB53" i="67"/>
  <c r="AA53" i="67"/>
  <c r="X53" i="67"/>
  <c r="W53" i="67"/>
  <c r="V53" i="67"/>
  <c r="U53" i="67"/>
  <c r="R53" i="67"/>
  <c r="Q53" i="67"/>
  <c r="P53" i="67"/>
  <c r="O53" i="67"/>
  <c r="L53" i="67"/>
  <c r="BM52" i="67"/>
  <c r="BH52" i="67"/>
  <c r="BG52" i="67"/>
  <c r="BF52" i="67"/>
  <c r="BE52" i="67"/>
  <c r="BB52" i="67"/>
  <c r="BA52" i="67"/>
  <c r="AZ52" i="67"/>
  <c r="AY52" i="67"/>
  <c r="AV52" i="67"/>
  <c r="AU52" i="67"/>
  <c r="AT52" i="67"/>
  <c r="AS52" i="67"/>
  <c r="AP52" i="67"/>
  <c r="AO52" i="67"/>
  <c r="AN52" i="67"/>
  <c r="AM52" i="67"/>
  <c r="AJ52" i="67"/>
  <c r="AI52" i="67"/>
  <c r="AH52" i="67"/>
  <c r="AG52" i="67"/>
  <c r="AD52" i="67"/>
  <c r="AC52" i="67"/>
  <c r="AB52" i="67"/>
  <c r="AA52" i="67"/>
  <c r="X52" i="67"/>
  <c r="W52" i="67"/>
  <c r="V52" i="67"/>
  <c r="U52" i="67"/>
  <c r="R52" i="67"/>
  <c r="Q52" i="67"/>
  <c r="P52" i="67"/>
  <c r="O52" i="67"/>
  <c r="L52" i="67"/>
  <c r="BM51" i="67"/>
  <c r="BH51" i="67"/>
  <c r="BG51" i="67"/>
  <c r="BF51" i="67"/>
  <c r="BE51" i="67"/>
  <c r="BB51" i="67"/>
  <c r="BA51" i="67"/>
  <c r="AZ51" i="67"/>
  <c r="AY51" i="67"/>
  <c r="AV51" i="67"/>
  <c r="AU51" i="67"/>
  <c r="AT51" i="67"/>
  <c r="AS51" i="67"/>
  <c r="AP51" i="67"/>
  <c r="AO51" i="67"/>
  <c r="AN51" i="67"/>
  <c r="AM51" i="67"/>
  <c r="AJ51" i="67"/>
  <c r="AI51" i="67"/>
  <c r="AH51" i="67"/>
  <c r="AG51" i="67"/>
  <c r="AD51" i="67"/>
  <c r="AC51" i="67"/>
  <c r="AB51" i="67"/>
  <c r="AA51" i="67"/>
  <c r="X51" i="67"/>
  <c r="W51" i="67"/>
  <c r="V51" i="67"/>
  <c r="U51" i="67"/>
  <c r="R51" i="67"/>
  <c r="Q51" i="67"/>
  <c r="P51" i="67"/>
  <c r="O51" i="67"/>
  <c r="L51" i="67"/>
  <c r="BM50" i="67"/>
  <c r="BH50" i="67"/>
  <c r="BG50" i="67"/>
  <c r="BF50" i="67"/>
  <c r="BE50" i="67"/>
  <c r="BB50" i="67"/>
  <c r="BA50" i="67"/>
  <c r="AZ50" i="67"/>
  <c r="AY50" i="67"/>
  <c r="AV50" i="67"/>
  <c r="AU50" i="67"/>
  <c r="AT50" i="67"/>
  <c r="AS50" i="67"/>
  <c r="AP50" i="67"/>
  <c r="AO50" i="67"/>
  <c r="AN50" i="67"/>
  <c r="AM50" i="67"/>
  <c r="AJ50" i="67"/>
  <c r="AI50" i="67"/>
  <c r="AH50" i="67"/>
  <c r="AG50" i="67"/>
  <c r="AD50" i="67"/>
  <c r="AC50" i="67"/>
  <c r="AB50" i="67"/>
  <c r="AA50" i="67"/>
  <c r="X50" i="67"/>
  <c r="W50" i="67"/>
  <c r="V50" i="67"/>
  <c r="U50" i="67"/>
  <c r="R50" i="67"/>
  <c r="Q50" i="67"/>
  <c r="P50" i="67"/>
  <c r="O50" i="67"/>
  <c r="L50" i="67"/>
  <c r="BM49" i="67"/>
  <c r="BH49" i="67"/>
  <c r="BG49" i="67"/>
  <c r="BF49" i="67"/>
  <c r="BE49" i="67"/>
  <c r="BB49" i="67"/>
  <c r="BA49" i="67"/>
  <c r="AZ49" i="67"/>
  <c r="AY49" i="67"/>
  <c r="AV49" i="67"/>
  <c r="AU49" i="67"/>
  <c r="AT49" i="67"/>
  <c r="AS49" i="67"/>
  <c r="AP49" i="67"/>
  <c r="AO49" i="67"/>
  <c r="AN49" i="67"/>
  <c r="AM49" i="67"/>
  <c r="AJ49" i="67"/>
  <c r="AI49" i="67"/>
  <c r="AH49" i="67"/>
  <c r="AG49" i="67"/>
  <c r="AD49" i="67"/>
  <c r="AC49" i="67"/>
  <c r="AB49" i="67"/>
  <c r="AA49" i="67"/>
  <c r="X49" i="67"/>
  <c r="W49" i="67"/>
  <c r="V49" i="67"/>
  <c r="U49" i="67"/>
  <c r="R49" i="67"/>
  <c r="Q49" i="67"/>
  <c r="P49" i="67"/>
  <c r="O49" i="67"/>
  <c r="L49" i="67"/>
  <c r="BM48" i="67"/>
  <c r="BH48" i="67"/>
  <c r="BG48" i="67"/>
  <c r="BF48" i="67"/>
  <c r="BE48" i="67"/>
  <c r="BB48" i="67"/>
  <c r="BA48" i="67"/>
  <c r="AZ48" i="67"/>
  <c r="AY48" i="67"/>
  <c r="AV48" i="67"/>
  <c r="AU48" i="67"/>
  <c r="AT48" i="67"/>
  <c r="AS48" i="67"/>
  <c r="AP48" i="67"/>
  <c r="AO48" i="67"/>
  <c r="AN48" i="67"/>
  <c r="AM48" i="67"/>
  <c r="AJ48" i="67"/>
  <c r="AI48" i="67"/>
  <c r="AH48" i="67"/>
  <c r="AG48" i="67"/>
  <c r="AD48" i="67"/>
  <c r="AC48" i="67"/>
  <c r="AB48" i="67"/>
  <c r="AA48" i="67"/>
  <c r="X48" i="67"/>
  <c r="W48" i="67"/>
  <c r="V48" i="67"/>
  <c r="U48" i="67"/>
  <c r="R48" i="67"/>
  <c r="Q48" i="67"/>
  <c r="P48" i="67"/>
  <c r="O48" i="67"/>
  <c r="L48" i="67"/>
  <c r="BM47" i="67"/>
  <c r="BH47" i="67"/>
  <c r="BG47" i="67"/>
  <c r="BF47" i="67"/>
  <c r="BE47" i="67"/>
  <c r="BB47" i="67"/>
  <c r="BA47" i="67"/>
  <c r="AZ47" i="67"/>
  <c r="AY47" i="67"/>
  <c r="AV47" i="67"/>
  <c r="AU47" i="67"/>
  <c r="AT47" i="67"/>
  <c r="AS47" i="67"/>
  <c r="AP47" i="67"/>
  <c r="AO47" i="67"/>
  <c r="AN47" i="67"/>
  <c r="AM47" i="67"/>
  <c r="AJ47" i="67"/>
  <c r="AI47" i="67"/>
  <c r="AH47" i="67"/>
  <c r="AG47" i="67"/>
  <c r="AD47" i="67"/>
  <c r="AC47" i="67"/>
  <c r="AB47" i="67"/>
  <c r="AA47" i="67"/>
  <c r="X47" i="67"/>
  <c r="W47" i="67"/>
  <c r="V47" i="67"/>
  <c r="U47" i="67"/>
  <c r="R47" i="67"/>
  <c r="Q47" i="67"/>
  <c r="P47" i="67"/>
  <c r="O47" i="67"/>
  <c r="L47" i="67"/>
  <c r="BM46" i="67"/>
  <c r="BH46" i="67"/>
  <c r="BG46" i="67"/>
  <c r="BF46" i="67"/>
  <c r="BE46" i="67"/>
  <c r="BB46" i="67"/>
  <c r="BA46" i="67"/>
  <c r="AZ46" i="67"/>
  <c r="AY46" i="67"/>
  <c r="AV46" i="67"/>
  <c r="AU46" i="67"/>
  <c r="AT46" i="67"/>
  <c r="AS46" i="67"/>
  <c r="AP46" i="67"/>
  <c r="AO46" i="67"/>
  <c r="AN46" i="67"/>
  <c r="AM46" i="67"/>
  <c r="AJ46" i="67"/>
  <c r="AI46" i="67"/>
  <c r="AH46" i="67"/>
  <c r="AG46" i="67"/>
  <c r="AD46" i="67"/>
  <c r="AC46" i="67"/>
  <c r="AB46" i="67"/>
  <c r="AA46" i="67"/>
  <c r="X46" i="67"/>
  <c r="W46" i="67"/>
  <c r="V46" i="67"/>
  <c r="U46" i="67"/>
  <c r="R46" i="67"/>
  <c r="Q46" i="67"/>
  <c r="P46" i="67"/>
  <c r="O46" i="67"/>
  <c r="L46" i="67"/>
  <c r="BM45" i="67"/>
  <c r="BH45" i="67"/>
  <c r="BG45" i="67"/>
  <c r="BF45" i="67"/>
  <c r="BE45" i="67"/>
  <c r="BB45" i="67"/>
  <c r="BA45" i="67"/>
  <c r="AZ45" i="67"/>
  <c r="AY45" i="67"/>
  <c r="AV45" i="67"/>
  <c r="AU45" i="67"/>
  <c r="AT45" i="67"/>
  <c r="AS45" i="67"/>
  <c r="AP45" i="67"/>
  <c r="AO45" i="67"/>
  <c r="AN45" i="67"/>
  <c r="AM45" i="67"/>
  <c r="AJ45" i="67"/>
  <c r="AI45" i="67"/>
  <c r="AH45" i="67"/>
  <c r="AG45" i="67"/>
  <c r="AD45" i="67"/>
  <c r="AC45" i="67"/>
  <c r="AB45" i="67"/>
  <c r="AA45" i="67"/>
  <c r="X45" i="67"/>
  <c r="W45" i="67"/>
  <c r="V45" i="67"/>
  <c r="U45" i="67"/>
  <c r="R45" i="67"/>
  <c r="Q45" i="67"/>
  <c r="P45" i="67"/>
  <c r="O45" i="67"/>
  <c r="L45" i="67"/>
  <c r="BM44" i="67"/>
  <c r="BH44" i="67"/>
  <c r="BG44" i="67"/>
  <c r="BF44" i="67"/>
  <c r="BE44" i="67"/>
  <c r="BB44" i="67"/>
  <c r="BA44" i="67"/>
  <c r="AZ44" i="67"/>
  <c r="AY44" i="67"/>
  <c r="AV44" i="67"/>
  <c r="AU44" i="67"/>
  <c r="AT44" i="67"/>
  <c r="AS44" i="67"/>
  <c r="AP44" i="67"/>
  <c r="AO44" i="67"/>
  <c r="AN44" i="67"/>
  <c r="AM44" i="67"/>
  <c r="AJ44" i="67"/>
  <c r="AI44" i="67"/>
  <c r="AH44" i="67"/>
  <c r="AG44" i="67"/>
  <c r="AD44" i="67"/>
  <c r="AC44" i="67"/>
  <c r="AB44" i="67"/>
  <c r="AA44" i="67"/>
  <c r="X44" i="67"/>
  <c r="W44" i="67"/>
  <c r="V44" i="67"/>
  <c r="U44" i="67"/>
  <c r="R44" i="67"/>
  <c r="Q44" i="67"/>
  <c r="P44" i="67"/>
  <c r="O44" i="67"/>
  <c r="L44" i="67"/>
  <c r="BM43" i="67"/>
  <c r="BH43" i="67"/>
  <c r="BG43" i="67"/>
  <c r="BF43" i="67"/>
  <c r="BE43" i="67"/>
  <c r="BB43" i="67"/>
  <c r="BA43" i="67"/>
  <c r="AZ43" i="67"/>
  <c r="AY43" i="67"/>
  <c r="AV43" i="67"/>
  <c r="AU43" i="67"/>
  <c r="AT43" i="67"/>
  <c r="AS43" i="67"/>
  <c r="AP43" i="67"/>
  <c r="AO43" i="67"/>
  <c r="AN43" i="67"/>
  <c r="AM43" i="67"/>
  <c r="AJ43" i="67"/>
  <c r="AI43" i="67"/>
  <c r="AH43" i="67"/>
  <c r="AG43" i="67"/>
  <c r="AD43" i="67"/>
  <c r="AC43" i="67"/>
  <c r="AB43" i="67"/>
  <c r="AA43" i="67"/>
  <c r="X43" i="67"/>
  <c r="W43" i="67"/>
  <c r="V43" i="67"/>
  <c r="U43" i="67"/>
  <c r="R43" i="67"/>
  <c r="Q43" i="67"/>
  <c r="P43" i="67"/>
  <c r="O43" i="67"/>
  <c r="L43" i="67"/>
  <c r="BM42" i="67"/>
  <c r="BH42" i="67"/>
  <c r="BG42" i="67"/>
  <c r="BF42" i="67"/>
  <c r="BE42" i="67"/>
  <c r="BB42" i="67"/>
  <c r="BA42" i="67"/>
  <c r="AZ42" i="67"/>
  <c r="AY42" i="67"/>
  <c r="AV42" i="67"/>
  <c r="AU42" i="67"/>
  <c r="AT42" i="67"/>
  <c r="AS42" i="67"/>
  <c r="AP42" i="67"/>
  <c r="AO42" i="67"/>
  <c r="AN42" i="67"/>
  <c r="AM42" i="67"/>
  <c r="AJ42" i="67"/>
  <c r="AI42" i="67"/>
  <c r="AH42" i="67"/>
  <c r="AG42" i="67"/>
  <c r="AD42" i="67"/>
  <c r="AC42" i="67"/>
  <c r="AB42" i="67"/>
  <c r="AA42" i="67"/>
  <c r="X42" i="67"/>
  <c r="W42" i="67"/>
  <c r="V42" i="67"/>
  <c r="U42" i="67"/>
  <c r="R42" i="67"/>
  <c r="Q42" i="67"/>
  <c r="P42" i="67"/>
  <c r="O42" i="67"/>
  <c r="L42" i="67"/>
  <c r="BM41" i="67"/>
  <c r="BH41" i="67"/>
  <c r="BG41" i="67"/>
  <c r="BF41" i="67"/>
  <c r="BE41" i="67"/>
  <c r="BB41" i="67"/>
  <c r="BA41" i="67"/>
  <c r="AZ41" i="67"/>
  <c r="AY41" i="67"/>
  <c r="AV41" i="67"/>
  <c r="AU41" i="67"/>
  <c r="AT41" i="67"/>
  <c r="AS41" i="67"/>
  <c r="AP41" i="67"/>
  <c r="AO41" i="67"/>
  <c r="AN41" i="67"/>
  <c r="AM41" i="67"/>
  <c r="AJ41" i="67"/>
  <c r="AI41" i="67"/>
  <c r="AH41" i="67"/>
  <c r="AG41" i="67"/>
  <c r="AD41" i="67"/>
  <c r="AC41" i="67"/>
  <c r="AB41" i="67"/>
  <c r="AA41" i="67"/>
  <c r="X41" i="67"/>
  <c r="W41" i="67"/>
  <c r="V41" i="67"/>
  <c r="U41" i="67"/>
  <c r="R41" i="67"/>
  <c r="Q41" i="67"/>
  <c r="P41" i="67"/>
  <c r="O41" i="67"/>
  <c r="L41" i="67"/>
  <c r="BM40" i="67"/>
  <c r="BH40" i="67"/>
  <c r="BG40" i="67"/>
  <c r="BF40" i="67"/>
  <c r="BE40" i="67"/>
  <c r="BB40" i="67"/>
  <c r="BA40" i="67"/>
  <c r="AZ40" i="67"/>
  <c r="AY40" i="67"/>
  <c r="AV40" i="67"/>
  <c r="AU40" i="67"/>
  <c r="AT40" i="67"/>
  <c r="AS40" i="67"/>
  <c r="AP40" i="67"/>
  <c r="AO40" i="67"/>
  <c r="AN40" i="67"/>
  <c r="AM40" i="67"/>
  <c r="AJ40" i="67"/>
  <c r="AI40" i="67"/>
  <c r="AH40" i="67"/>
  <c r="AG40" i="67"/>
  <c r="AD40" i="67"/>
  <c r="AC40" i="67"/>
  <c r="AB40" i="67"/>
  <c r="AA40" i="67"/>
  <c r="X40" i="67"/>
  <c r="W40" i="67"/>
  <c r="V40" i="67"/>
  <c r="U40" i="67"/>
  <c r="R40" i="67"/>
  <c r="Q40" i="67"/>
  <c r="P40" i="67"/>
  <c r="O40" i="67"/>
  <c r="L40" i="67"/>
  <c r="BM39" i="67"/>
  <c r="BH39" i="67"/>
  <c r="BG39" i="67"/>
  <c r="BF39" i="67"/>
  <c r="BE39" i="67"/>
  <c r="BB39" i="67"/>
  <c r="BA39" i="67"/>
  <c r="AZ39" i="67"/>
  <c r="AY39" i="67"/>
  <c r="AV39" i="67"/>
  <c r="AU39" i="67"/>
  <c r="AT39" i="67"/>
  <c r="AS39" i="67"/>
  <c r="AP39" i="67"/>
  <c r="AO39" i="67"/>
  <c r="AN39" i="67"/>
  <c r="AM39" i="67"/>
  <c r="AJ39" i="67"/>
  <c r="AI39" i="67"/>
  <c r="AH39" i="67"/>
  <c r="AG39" i="67"/>
  <c r="AD39" i="67"/>
  <c r="AC39" i="67"/>
  <c r="AB39" i="67"/>
  <c r="AA39" i="67"/>
  <c r="X39" i="67"/>
  <c r="W39" i="67"/>
  <c r="V39" i="67"/>
  <c r="U39" i="67"/>
  <c r="R39" i="67"/>
  <c r="Q39" i="67"/>
  <c r="P39" i="67"/>
  <c r="O39" i="67"/>
  <c r="L39" i="67"/>
  <c r="BM38" i="67"/>
  <c r="BH38" i="67"/>
  <c r="BG38" i="67"/>
  <c r="BF38" i="67"/>
  <c r="BE38" i="67"/>
  <c r="BB38" i="67"/>
  <c r="BA38" i="67"/>
  <c r="AZ38" i="67"/>
  <c r="AY38" i="67"/>
  <c r="AV38" i="67"/>
  <c r="AU38" i="67"/>
  <c r="AT38" i="67"/>
  <c r="AS38" i="67"/>
  <c r="AP38" i="67"/>
  <c r="AO38" i="67"/>
  <c r="AN38" i="67"/>
  <c r="AM38" i="67"/>
  <c r="AJ38" i="67"/>
  <c r="AI38" i="67"/>
  <c r="AH38" i="67"/>
  <c r="AG38" i="67"/>
  <c r="AD38" i="67"/>
  <c r="AC38" i="67"/>
  <c r="AB38" i="67"/>
  <c r="AA38" i="67"/>
  <c r="X38" i="67"/>
  <c r="W38" i="67"/>
  <c r="V38" i="67"/>
  <c r="U38" i="67"/>
  <c r="R38" i="67"/>
  <c r="Q38" i="67"/>
  <c r="P38" i="67"/>
  <c r="O38" i="67"/>
  <c r="L38" i="67"/>
  <c r="BM37" i="67"/>
  <c r="BH37" i="67"/>
  <c r="BG37" i="67"/>
  <c r="BF37" i="67"/>
  <c r="BE37" i="67"/>
  <c r="BB37" i="67"/>
  <c r="BA37" i="67"/>
  <c r="AZ37" i="67"/>
  <c r="AY37" i="67"/>
  <c r="AV37" i="67"/>
  <c r="AU37" i="67"/>
  <c r="AT37" i="67"/>
  <c r="AS37" i="67"/>
  <c r="AP37" i="67"/>
  <c r="AO37" i="67"/>
  <c r="AN37" i="67"/>
  <c r="AM37" i="67"/>
  <c r="AJ37" i="67"/>
  <c r="AI37" i="67"/>
  <c r="AH37" i="67"/>
  <c r="AG37" i="67"/>
  <c r="AD37" i="67"/>
  <c r="AC37" i="67"/>
  <c r="AB37" i="67"/>
  <c r="AA37" i="67"/>
  <c r="X37" i="67"/>
  <c r="W37" i="67"/>
  <c r="V37" i="67"/>
  <c r="U37" i="67"/>
  <c r="R37" i="67"/>
  <c r="Q37" i="67"/>
  <c r="P37" i="67"/>
  <c r="O37" i="67"/>
  <c r="L37" i="67"/>
  <c r="BM36" i="67"/>
  <c r="BH36" i="67"/>
  <c r="BG36" i="67"/>
  <c r="BF36" i="67"/>
  <c r="BE36" i="67"/>
  <c r="BB36" i="67"/>
  <c r="BA36" i="67"/>
  <c r="AZ36" i="67"/>
  <c r="AY36" i="67"/>
  <c r="AV36" i="67"/>
  <c r="AU36" i="67"/>
  <c r="AT36" i="67"/>
  <c r="AS36" i="67"/>
  <c r="AP36" i="67"/>
  <c r="AO36" i="67"/>
  <c r="AN36" i="67"/>
  <c r="AM36" i="67"/>
  <c r="AJ36" i="67"/>
  <c r="AI36" i="67"/>
  <c r="AH36" i="67"/>
  <c r="AG36" i="67"/>
  <c r="AD36" i="67"/>
  <c r="AC36" i="67"/>
  <c r="AB36" i="67"/>
  <c r="AA36" i="67"/>
  <c r="X36" i="67"/>
  <c r="W36" i="67"/>
  <c r="V36" i="67"/>
  <c r="U36" i="67"/>
  <c r="R36" i="67"/>
  <c r="Q36" i="67"/>
  <c r="P36" i="67"/>
  <c r="O36" i="67"/>
  <c r="L36" i="67"/>
  <c r="BM35" i="67"/>
  <c r="BH35" i="67"/>
  <c r="BG35" i="67"/>
  <c r="BF35" i="67"/>
  <c r="BE35" i="67"/>
  <c r="BB35" i="67"/>
  <c r="BA35" i="67"/>
  <c r="AZ35" i="67"/>
  <c r="AY35" i="67"/>
  <c r="AV35" i="67"/>
  <c r="AU35" i="67"/>
  <c r="AT35" i="67"/>
  <c r="AS35" i="67"/>
  <c r="AP35" i="67"/>
  <c r="AO35" i="67"/>
  <c r="AN35" i="67"/>
  <c r="AM35" i="67"/>
  <c r="AJ35" i="67"/>
  <c r="AI35" i="67"/>
  <c r="AH35" i="67"/>
  <c r="AG35" i="67"/>
  <c r="AD35" i="67"/>
  <c r="AC35" i="67"/>
  <c r="AB35" i="67"/>
  <c r="AA35" i="67"/>
  <c r="X35" i="67"/>
  <c r="W35" i="67"/>
  <c r="V35" i="67"/>
  <c r="U35" i="67"/>
  <c r="R35" i="67"/>
  <c r="Q35" i="67"/>
  <c r="P35" i="67"/>
  <c r="O35" i="67"/>
  <c r="L35" i="67"/>
  <c r="BM34" i="67"/>
  <c r="BH34" i="67"/>
  <c r="BG34" i="67"/>
  <c r="BF34" i="67"/>
  <c r="BE34" i="67"/>
  <c r="BB34" i="67"/>
  <c r="BA34" i="67"/>
  <c r="AZ34" i="67"/>
  <c r="AY34" i="67"/>
  <c r="AV34" i="67"/>
  <c r="AU34" i="67"/>
  <c r="AT34" i="67"/>
  <c r="AS34" i="67"/>
  <c r="AP34" i="67"/>
  <c r="AO34" i="67"/>
  <c r="AN34" i="67"/>
  <c r="AM34" i="67"/>
  <c r="AJ34" i="67"/>
  <c r="AI34" i="67"/>
  <c r="AH34" i="67"/>
  <c r="AG34" i="67"/>
  <c r="AD34" i="67"/>
  <c r="AC34" i="67"/>
  <c r="AB34" i="67"/>
  <c r="AA34" i="67"/>
  <c r="X34" i="67"/>
  <c r="W34" i="67"/>
  <c r="V34" i="67"/>
  <c r="U34" i="67"/>
  <c r="R34" i="67"/>
  <c r="Q34" i="67"/>
  <c r="P34" i="67"/>
  <c r="O34" i="67"/>
  <c r="L34" i="67"/>
  <c r="BM33" i="67"/>
  <c r="BH33" i="67"/>
  <c r="BG33" i="67"/>
  <c r="BF33" i="67"/>
  <c r="BE33" i="67"/>
  <c r="BB33" i="67"/>
  <c r="BA33" i="67"/>
  <c r="AZ33" i="67"/>
  <c r="AY33" i="67"/>
  <c r="AV33" i="67"/>
  <c r="AU33" i="67"/>
  <c r="AT33" i="67"/>
  <c r="AS33" i="67"/>
  <c r="AP33" i="67"/>
  <c r="AO33" i="67"/>
  <c r="AN33" i="67"/>
  <c r="AM33" i="67"/>
  <c r="AJ33" i="67"/>
  <c r="AI33" i="67"/>
  <c r="AH33" i="67"/>
  <c r="AG33" i="67"/>
  <c r="AD33" i="67"/>
  <c r="AC33" i="67"/>
  <c r="AB33" i="67"/>
  <c r="AA33" i="67"/>
  <c r="X33" i="67"/>
  <c r="W33" i="67"/>
  <c r="V33" i="67"/>
  <c r="U33" i="67"/>
  <c r="R33" i="67"/>
  <c r="Q33" i="67"/>
  <c r="P33" i="67"/>
  <c r="O33" i="67"/>
  <c r="L33" i="67"/>
  <c r="BM32" i="67"/>
  <c r="BH32" i="67"/>
  <c r="BG32" i="67"/>
  <c r="BF32" i="67"/>
  <c r="BE32" i="67"/>
  <c r="BB32" i="67"/>
  <c r="BA32" i="67"/>
  <c r="AZ32" i="67"/>
  <c r="AY32" i="67"/>
  <c r="AV32" i="67"/>
  <c r="AU32" i="67"/>
  <c r="AT32" i="67"/>
  <c r="AS32" i="67"/>
  <c r="AP32" i="67"/>
  <c r="AO32" i="67"/>
  <c r="AN32" i="67"/>
  <c r="AM32" i="67"/>
  <c r="AJ32" i="67"/>
  <c r="AI32" i="67"/>
  <c r="AH32" i="67"/>
  <c r="AG32" i="67"/>
  <c r="AD32" i="67"/>
  <c r="AC32" i="67"/>
  <c r="AB32" i="67"/>
  <c r="AA32" i="67"/>
  <c r="X32" i="67"/>
  <c r="W32" i="67"/>
  <c r="V32" i="67"/>
  <c r="U32" i="67"/>
  <c r="R32" i="67"/>
  <c r="Q32" i="67"/>
  <c r="P32" i="67"/>
  <c r="O32" i="67"/>
  <c r="L32" i="67"/>
  <c r="BM31" i="67"/>
  <c r="BH31" i="67"/>
  <c r="BG31" i="67"/>
  <c r="BF31" i="67"/>
  <c r="BE31" i="67"/>
  <c r="BB31" i="67"/>
  <c r="BA31" i="67"/>
  <c r="AZ31" i="67"/>
  <c r="AY31" i="67"/>
  <c r="AV31" i="67"/>
  <c r="AU31" i="67"/>
  <c r="AT31" i="67"/>
  <c r="AS31" i="67"/>
  <c r="AP31" i="67"/>
  <c r="AO31" i="67"/>
  <c r="AN31" i="67"/>
  <c r="AM31" i="67"/>
  <c r="AJ31" i="67"/>
  <c r="AI31" i="67"/>
  <c r="AH31" i="67"/>
  <c r="AG31" i="67"/>
  <c r="AD31" i="67"/>
  <c r="AC31" i="67"/>
  <c r="AB31" i="67"/>
  <c r="AA31" i="67"/>
  <c r="X31" i="67"/>
  <c r="W31" i="67"/>
  <c r="V31" i="67"/>
  <c r="U31" i="67"/>
  <c r="R31" i="67"/>
  <c r="Q31" i="67"/>
  <c r="P31" i="67"/>
  <c r="O31" i="67"/>
  <c r="L31" i="67"/>
  <c r="BM30" i="67"/>
  <c r="BH30" i="67"/>
  <c r="BG30" i="67"/>
  <c r="BF30" i="67"/>
  <c r="BE30" i="67"/>
  <c r="BB30" i="67"/>
  <c r="BA30" i="67"/>
  <c r="AZ30" i="67"/>
  <c r="AY30" i="67"/>
  <c r="AV30" i="67"/>
  <c r="AU30" i="67"/>
  <c r="AT30" i="67"/>
  <c r="AS30" i="67"/>
  <c r="AP30" i="67"/>
  <c r="AO30" i="67"/>
  <c r="AN30" i="67"/>
  <c r="AM30" i="67"/>
  <c r="AJ30" i="67"/>
  <c r="AI30" i="67"/>
  <c r="AH30" i="67"/>
  <c r="AG30" i="67"/>
  <c r="AD30" i="67"/>
  <c r="AC30" i="67"/>
  <c r="AB30" i="67"/>
  <c r="AA30" i="67"/>
  <c r="X30" i="67"/>
  <c r="W30" i="67"/>
  <c r="V30" i="67"/>
  <c r="U30" i="67"/>
  <c r="R30" i="67"/>
  <c r="Q30" i="67"/>
  <c r="P30" i="67"/>
  <c r="O30" i="67"/>
  <c r="L30" i="67"/>
  <c r="BM29" i="67"/>
  <c r="BH29" i="67"/>
  <c r="BG29" i="67"/>
  <c r="BF29" i="67"/>
  <c r="BE29" i="67"/>
  <c r="BB29" i="67"/>
  <c r="BA29" i="67"/>
  <c r="AZ29" i="67"/>
  <c r="AY29" i="67"/>
  <c r="AV29" i="67"/>
  <c r="AU29" i="67"/>
  <c r="AT29" i="67"/>
  <c r="AS29" i="67"/>
  <c r="AP29" i="67"/>
  <c r="AO29" i="67"/>
  <c r="AN29" i="67"/>
  <c r="AM29" i="67"/>
  <c r="AJ29" i="67"/>
  <c r="AI29" i="67"/>
  <c r="AH29" i="67"/>
  <c r="AG29" i="67"/>
  <c r="AD29" i="67"/>
  <c r="AC29" i="67"/>
  <c r="AB29" i="67"/>
  <c r="AA29" i="67"/>
  <c r="X29" i="67"/>
  <c r="W29" i="67"/>
  <c r="V29" i="67"/>
  <c r="U29" i="67"/>
  <c r="R29" i="67"/>
  <c r="Q29" i="67"/>
  <c r="P29" i="67"/>
  <c r="O29" i="67"/>
  <c r="L29" i="67"/>
  <c r="BM28" i="67"/>
  <c r="BH28" i="67"/>
  <c r="BG28" i="67"/>
  <c r="BF28" i="67"/>
  <c r="BE28" i="67"/>
  <c r="BB28" i="67"/>
  <c r="BA28" i="67"/>
  <c r="AZ28" i="67"/>
  <c r="AY28" i="67"/>
  <c r="AV28" i="67"/>
  <c r="AU28" i="67"/>
  <c r="AT28" i="67"/>
  <c r="AS28" i="67"/>
  <c r="AP28" i="67"/>
  <c r="AO28" i="67"/>
  <c r="AN28" i="67"/>
  <c r="AM28" i="67"/>
  <c r="AJ28" i="67"/>
  <c r="AI28" i="67"/>
  <c r="AH28" i="67"/>
  <c r="AG28" i="67"/>
  <c r="AD28" i="67"/>
  <c r="AC28" i="67"/>
  <c r="AB28" i="67"/>
  <c r="AA28" i="67"/>
  <c r="X28" i="67"/>
  <c r="W28" i="67"/>
  <c r="V28" i="67"/>
  <c r="U28" i="67"/>
  <c r="R28" i="67"/>
  <c r="Q28" i="67"/>
  <c r="P28" i="67"/>
  <c r="O28" i="67"/>
  <c r="L28" i="67"/>
  <c r="BM27" i="67"/>
  <c r="BH27" i="67"/>
  <c r="BG27" i="67"/>
  <c r="BF27" i="67"/>
  <c r="BE27" i="67"/>
  <c r="BB27" i="67"/>
  <c r="BA27" i="67"/>
  <c r="AZ27" i="67"/>
  <c r="AY27" i="67"/>
  <c r="AV27" i="67"/>
  <c r="AU27" i="67"/>
  <c r="AT27" i="67"/>
  <c r="AS27" i="67"/>
  <c r="AP27" i="67"/>
  <c r="AO27" i="67"/>
  <c r="AN27" i="67"/>
  <c r="AM27" i="67"/>
  <c r="AJ27" i="67"/>
  <c r="AI27" i="67"/>
  <c r="AH27" i="67"/>
  <c r="AG27" i="67"/>
  <c r="AD27" i="67"/>
  <c r="AC27" i="67"/>
  <c r="AB27" i="67"/>
  <c r="AA27" i="67"/>
  <c r="X27" i="67"/>
  <c r="W27" i="67"/>
  <c r="V27" i="67"/>
  <c r="U27" i="67"/>
  <c r="R27" i="67"/>
  <c r="Q27" i="67"/>
  <c r="P27" i="67"/>
  <c r="O27" i="67"/>
  <c r="L27" i="67"/>
  <c r="BM26" i="67"/>
  <c r="BH26" i="67"/>
  <c r="BG26" i="67"/>
  <c r="BF26" i="67"/>
  <c r="BE26" i="67"/>
  <c r="BB26" i="67"/>
  <c r="BA26" i="67"/>
  <c r="AZ26" i="67"/>
  <c r="AY26" i="67"/>
  <c r="AV26" i="67"/>
  <c r="AU26" i="67"/>
  <c r="AT26" i="67"/>
  <c r="AS26" i="67"/>
  <c r="AP26" i="67"/>
  <c r="AO26" i="67"/>
  <c r="AN26" i="67"/>
  <c r="AM26" i="67"/>
  <c r="AJ26" i="67"/>
  <c r="AI26" i="67"/>
  <c r="AH26" i="67"/>
  <c r="AG26" i="67"/>
  <c r="AD26" i="67"/>
  <c r="AC26" i="67"/>
  <c r="AB26" i="67"/>
  <c r="AA26" i="67"/>
  <c r="X26" i="67"/>
  <c r="W26" i="67"/>
  <c r="V26" i="67"/>
  <c r="U26" i="67"/>
  <c r="R26" i="67"/>
  <c r="Q26" i="67"/>
  <c r="P26" i="67"/>
  <c r="O26" i="67"/>
  <c r="L26" i="67"/>
  <c r="BM25" i="67"/>
  <c r="BH25" i="67"/>
  <c r="BG25" i="67"/>
  <c r="BF25" i="67"/>
  <c r="BE25" i="67"/>
  <c r="BB25" i="67"/>
  <c r="BA25" i="67"/>
  <c r="AZ25" i="67"/>
  <c r="AY25" i="67"/>
  <c r="AV25" i="67"/>
  <c r="AU25" i="67"/>
  <c r="AT25" i="67"/>
  <c r="AS25" i="67"/>
  <c r="AP25" i="67"/>
  <c r="AO25" i="67"/>
  <c r="AN25" i="67"/>
  <c r="AM25" i="67"/>
  <c r="AJ25" i="67"/>
  <c r="AI25" i="67"/>
  <c r="AH25" i="67"/>
  <c r="AG25" i="67"/>
  <c r="AD25" i="67"/>
  <c r="AC25" i="67"/>
  <c r="AB25" i="67"/>
  <c r="AA25" i="67"/>
  <c r="X25" i="67"/>
  <c r="W25" i="67"/>
  <c r="V25" i="67"/>
  <c r="U25" i="67"/>
  <c r="R25" i="67"/>
  <c r="Q25" i="67"/>
  <c r="P25" i="67"/>
  <c r="O25" i="67"/>
  <c r="L25" i="67"/>
  <c r="K25" i="67"/>
  <c r="BM24" i="67"/>
  <c r="BH24" i="67"/>
  <c r="BG24" i="67"/>
  <c r="BF24" i="67"/>
  <c r="BE24" i="67"/>
  <c r="BB24" i="67"/>
  <c r="BA24" i="67"/>
  <c r="AZ24" i="67"/>
  <c r="AY24" i="67"/>
  <c r="AV24" i="67"/>
  <c r="AU24" i="67"/>
  <c r="AT24" i="67"/>
  <c r="AS24" i="67"/>
  <c r="AP24" i="67"/>
  <c r="AO24" i="67"/>
  <c r="AN24" i="67"/>
  <c r="AM24" i="67"/>
  <c r="AJ24" i="67"/>
  <c r="AI24" i="67"/>
  <c r="AH24" i="67"/>
  <c r="AG24" i="67"/>
  <c r="AD24" i="67"/>
  <c r="AC24" i="67"/>
  <c r="AB24" i="67"/>
  <c r="AA24" i="67"/>
  <c r="X24" i="67"/>
  <c r="W24" i="67"/>
  <c r="V24" i="67"/>
  <c r="U24" i="67"/>
  <c r="R24" i="67"/>
  <c r="Q24" i="67"/>
  <c r="P24" i="67"/>
  <c r="O24" i="67"/>
  <c r="L24" i="67"/>
  <c r="BM23" i="67"/>
  <c r="BH23" i="67"/>
  <c r="BG23" i="67"/>
  <c r="BF23" i="67"/>
  <c r="BE23" i="67"/>
  <c r="BB23" i="67"/>
  <c r="BA23" i="67"/>
  <c r="AZ23" i="67"/>
  <c r="AY23" i="67"/>
  <c r="AV23" i="67"/>
  <c r="AU23" i="67"/>
  <c r="AT23" i="67"/>
  <c r="AS23" i="67"/>
  <c r="AP23" i="67"/>
  <c r="AO23" i="67"/>
  <c r="AN23" i="67"/>
  <c r="AM23" i="67"/>
  <c r="AJ23" i="67"/>
  <c r="AI23" i="67"/>
  <c r="AH23" i="67"/>
  <c r="AG23" i="67"/>
  <c r="AD23" i="67"/>
  <c r="AC23" i="67"/>
  <c r="AB23" i="67"/>
  <c r="AA23" i="67"/>
  <c r="X23" i="67"/>
  <c r="W23" i="67"/>
  <c r="V23" i="67"/>
  <c r="U23" i="67"/>
  <c r="R23" i="67"/>
  <c r="Q23" i="67"/>
  <c r="P23" i="67"/>
  <c r="O23" i="67"/>
  <c r="L23" i="67"/>
  <c r="BM22" i="67"/>
  <c r="BH22" i="67"/>
  <c r="BG22" i="67"/>
  <c r="BF22" i="67"/>
  <c r="BE22" i="67"/>
  <c r="BB22" i="67"/>
  <c r="BA22" i="67"/>
  <c r="AZ22" i="67"/>
  <c r="AY22" i="67"/>
  <c r="AV22" i="67"/>
  <c r="AU22" i="67"/>
  <c r="AT22" i="67"/>
  <c r="AS22" i="67"/>
  <c r="AP22" i="67"/>
  <c r="AO22" i="67"/>
  <c r="AN22" i="67"/>
  <c r="AM22" i="67"/>
  <c r="AJ22" i="67"/>
  <c r="AI22" i="67"/>
  <c r="AH22" i="67"/>
  <c r="AG22" i="67"/>
  <c r="AD22" i="67"/>
  <c r="AC22" i="67"/>
  <c r="AB22" i="67"/>
  <c r="AA22" i="67"/>
  <c r="X22" i="67"/>
  <c r="W22" i="67"/>
  <c r="V22" i="67"/>
  <c r="U22" i="67"/>
  <c r="R22" i="67"/>
  <c r="Q22" i="67"/>
  <c r="P22" i="67"/>
  <c r="O22" i="67"/>
  <c r="L22" i="67"/>
  <c r="BM21" i="67"/>
  <c r="BH21" i="67"/>
  <c r="BG21" i="67"/>
  <c r="BF21" i="67"/>
  <c r="BE21" i="67"/>
  <c r="BB21" i="67"/>
  <c r="BA21" i="67"/>
  <c r="AZ21" i="67"/>
  <c r="AY21" i="67"/>
  <c r="AV21" i="67"/>
  <c r="AU21" i="67"/>
  <c r="AT21" i="67"/>
  <c r="AS21" i="67"/>
  <c r="AP21" i="67"/>
  <c r="AO21" i="67"/>
  <c r="AN21" i="67"/>
  <c r="AM21" i="67"/>
  <c r="AJ21" i="67"/>
  <c r="AI21" i="67"/>
  <c r="AH21" i="67"/>
  <c r="AG21" i="67"/>
  <c r="AD21" i="67"/>
  <c r="AC21" i="67"/>
  <c r="AB21" i="67"/>
  <c r="AA21" i="67"/>
  <c r="X21" i="67"/>
  <c r="W21" i="67"/>
  <c r="V21" i="67"/>
  <c r="U21" i="67"/>
  <c r="R21" i="67"/>
  <c r="Q21" i="67"/>
  <c r="P21" i="67"/>
  <c r="O21" i="67"/>
  <c r="L21" i="67"/>
  <c r="BM20" i="67"/>
  <c r="BH20" i="67"/>
  <c r="BG20" i="67"/>
  <c r="BF20" i="67"/>
  <c r="BE20" i="67"/>
  <c r="BB20" i="67"/>
  <c r="BA20" i="67"/>
  <c r="AZ20" i="67"/>
  <c r="AY20" i="67"/>
  <c r="AV20" i="67"/>
  <c r="AU20" i="67"/>
  <c r="AT20" i="67"/>
  <c r="AS20" i="67"/>
  <c r="AP20" i="67"/>
  <c r="AO20" i="67"/>
  <c r="AN20" i="67"/>
  <c r="AM20" i="67"/>
  <c r="AJ20" i="67"/>
  <c r="AI20" i="67"/>
  <c r="AH20" i="67"/>
  <c r="AG20" i="67"/>
  <c r="AD20" i="67"/>
  <c r="AC20" i="67"/>
  <c r="AB20" i="67"/>
  <c r="AA20" i="67"/>
  <c r="X20" i="67"/>
  <c r="W20" i="67"/>
  <c r="V20" i="67"/>
  <c r="U20" i="67"/>
  <c r="R20" i="67"/>
  <c r="Q20" i="67"/>
  <c r="P20" i="67"/>
  <c r="O20" i="67"/>
  <c r="L20" i="67"/>
  <c r="BM19" i="67"/>
  <c r="BH19" i="67"/>
  <c r="BG19" i="67"/>
  <c r="BF19" i="67"/>
  <c r="BE19" i="67"/>
  <c r="BB19" i="67"/>
  <c r="BA19" i="67"/>
  <c r="AZ19" i="67"/>
  <c r="AY19" i="67"/>
  <c r="AV19" i="67"/>
  <c r="AU19" i="67"/>
  <c r="AT19" i="67"/>
  <c r="AS19" i="67"/>
  <c r="AP19" i="67"/>
  <c r="AO19" i="67"/>
  <c r="AN19" i="67"/>
  <c r="AM19" i="67"/>
  <c r="AJ19" i="67"/>
  <c r="AI19" i="67"/>
  <c r="AH19" i="67"/>
  <c r="AG19" i="67"/>
  <c r="AD19" i="67"/>
  <c r="AC19" i="67"/>
  <c r="AB19" i="67"/>
  <c r="AA19" i="67"/>
  <c r="X19" i="67"/>
  <c r="W19" i="67"/>
  <c r="V19" i="67"/>
  <c r="U19" i="67"/>
  <c r="R19" i="67"/>
  <c r="Q19" i="67"/>
  <c r="P19" i="67"/>
  <c r="O19" i="67"/>
  <c r="L19" i="67"/>
  <c r="BM18" i="67"/>
  <c r="BH18" i="67"/>
  <c r="BG18" i="67"/>
  <c r="BF18" i="67"/>
  <c r="BE18" i="67"/>
  <c r="BB18" i="67"/>
  <c r="BA18" i="67"/>
  <c r="AZ18" i="67"/>
  <c r="AY18" i="67"/>
  <c r="AV18" i="67"/>
  <c r="AU18" i="67"/>
  <c r="AT18" i="67"/>
  <c r="AS18" i="67"/>
  <c r="AP18" i="67"/>
  <c r="AO18" i="67"/>
  <c r="AN18" i="67"/>
  <c r="AM18" i="67"/>
  <c r="AJ18" i="67"/>
  <c r="AI18" i="67"/>
  <c r="AH18" i="67"/>
  <c r="AG18" i="67"/>
  <c r="AD18" i="67"/>
  <c r="AC18" i="67"/>
  <c r="AB18" i="67"/>
  <c r="AA18" i="67"/>
  <c r="X18" i="67"/>
  <c r="W18" i="67"/>
  <c r="V18" i="67"/>
  <c r="U18" i="67"/>
  <c r="R18" i="67"/>
  <c r="Q18" i="67"/>
  <c r="P18" i="67"/>
  <c r="O18" i="67"/>
  <c r="L18" i="67"/>
  <c r="BM17" i="67"/>
  <c r="BH17" i="67"/>
  <c r="BG17" i="67"/>
  <c r="BF17" i="67"/>
  <c r="BE17" i="67"/>
  <c r="BB17" i="67"/>
  <c r="BA17" i="67"/>
  <c r="AZ17" i="67"/>
  <c r="AY17" i="67"/>
  <c r="AV17" i="67"/>
  <c r="AU17" i="67"/>
  <c r="AT17" i="67"/>
  <c r="AS17" i="67"/>
  <c r="AP17" i="67"/>
  <c r="AO17" i="67"/>
  <c r="AN17" i="67"/>
  <c r="AM17" i="67"/>
  <c r="AJ17" i="67"/>
  <c r="AI17" i="67"/>
  <c r="AH17" i="67"/>
  <c r="AG17" i="67"/>
  <c r="AD17" i="67"/>
  <c r="AC17" i="67"/>
  <c r="AB17" i="67"/>
  <c r="AA17" i="67"/>
  <c r="X17" i="67"/>
  <c r="W17" i="67"/>
  <c r="V17" i="67"/>
  <c r="U17" i="67"/>
  <c r="R17" i="67"/>
  <c r="Q17" i="67"/>
  <c r="P17" i="67"/>
  <c r="O17" i="67"/>
  <c r="N17" i="67"/>
  <c r="L17" i="67"/>
  <c r="BM16" i="67"/>
  <c r="BH16" i="67"/>
  <c r="BG16" i="67"/>
  <c r="BF16" i="67"/>
  <c r="BE16" i="67"/>
  <c r="BB16" i="67"/>
  <c r="BA16" i="67"/>
  <c r="AZ16" i="67"/>
  <c r="AY16" i="67"/>
  <c r="AV16" i="67"/>
  <c r="AU16" i="67"/>
  <c r="AT16" i="67"/>
  <c r="AS16" i="67"/>
  <c r="AP16" i="67"/>
  <c r="AO16" i="67"/>
  <c r="AN16" i="67"/>
  <c r="AM16" i="67"/>
  <c r="AJ16" i="67"/>
  <c r="AI16" i="67"/>
  <c r="AH16" i="67"/>
  <c r="AG16" i="67"/>
  <c r="AD16" i="67"/>
  <c r="AC16" i="67"/>
  <c r="AB16" i="67"/>
  <c r="AA16" i="67"/>
  <c r="X16" i="67"/>
  <c r="W16" i="67"/>
  <c r="V16" i="67"/>
  <c r="U16" i="67"/>
  <c r="R16" i="67"/>
  <c r="Q16" i="67"/>
  <c r="P16" i="67"/>
  <c r="O16" i="67"/>
  <c r="L16" i="67"/>
  <c r="BM15" i="67"/>
  <c r="BH15" i="67"/>
  <c r="BG15" i="67"/>
  <c r="BF15" i="67"/>
  <c r="BE15" i="67"/>
  <c r="BB15" i="67"/>
  <c r="BA15" i="67"/>
  <c r="AZ15" i="67"/>
  <c r="AY15" i="67"/>
  <c r="AV15" i="67"/>
  <c r="AU15" i="67"/>
  <c r="AT15" i="67"/>
  <c r="AS15" i="67"/>
  <c r="AP15" i="67"/>
  <c r="AO15" i="67"/>
  <c r="AN15" i="67"/>
  <c r="AM15" i="67"/>
  <c r="AJ15" i="67"/>
  <c r="AI15" i="67"/>
  <c r="AH15" i="67"/>
  <c r="AG15" i="67"/>
  <c r="AD15" i="67"/>
  <c r="AC15" i="67"/>
  <c r="AB15" i="67"/>
  <c r="AA15" i="67"/>
  <c r="X15" i="67"/>
  <c r="W15" i="67"/>
  <c r="V15" i="67"/>
  <c r="U15" i="67"/>
  <c r="R15" i="67"/>
  <c r="Q15" i="67"/>
  <c r="P15" i="67"/>
  <c r="O15" i="67"/>
  <c r="L15" i="67"/>
  <c r="BM14" i="67"/>
  <c r="BH14" i="67"/>
  <c r="BG14" i="67"/>
  <c r="BF14" i="67"/>
  <c r="BE14" i="67"/>
  <c r="BB14" i="67"/>
  <c r="BA14" i="67"/>
  <c r="AZ14" i="67"/>
  <c r="AY14" i="67"/>
  <c r="AV14" i="67"/>
  <c r="AU14" i="67"/>
  <c r="AT14" i="67"/>
  <c r="AS14" i="67"/>
  <c r="AP14" i="67"/>
  <c r="AO14" i="67"/>
  <c r="AN14" i="67"/>
  <c r="AM14" i="67"/>
  <c r="AJ14" i="67"/>
  <c r="AI14" i="67"/>
  <c r="AH14" i="67"/>
  <c r="AG14" i="67"/>
  <c r="AD14" i="67"/>
  <c r="AC14" i="67"/>
  <c r="AB14" i="67"/>
  <c r="AA14" i="67"/>
  <c r="X14" i="67"/>
  <c r="W14" i="67"/>
  <c r="V14" i="67"/>
  <c r="U14" i="67"/>
  <c r="R14" i="67"/>
  <c r="Q14" i="67"/>
  <c r="P14" i="67"/>
  <c r="O14" i="67"/>
  <c r="L14" i="67"/>
  <c r="BM13" i="67"/>
  <c r="BH13" i="67"/>
  <c r="BG13" i="67"/>
  <c r="BF13" i="67"/>
  <c r="BE13" i="67"/>
  <c r="BB13" i="67"/>
  <c r="BA13" i="67"/>
  <c r="AZ13" i="67"/>
  <c r="AY13" i="67"/>
  <c r="AV13" i="67"/>
  <c r="AU13" i="67"/>
  <c r="AT13" i="67"/>
  <c r="AS13" i="67"/>
  <c r="AP13" i="67"/>
  <c r="AO13" i="67"/>
  <c r="AN13" i="67"/>
  <c r="AM13" i="67"/>
  <c r="AJ13" i="67"/>
  <c r="AI13" i="67"/>
  <c r="AH13" i="67"/>
  <c r="AG13" i="67"/>
  <c r="AD13" i="67"/>
  <c r="AC13" i="67"/>
  <c r="AB13" i="67"/>
  <c r="AA13" i="67"/>
  <c r="X13" i="67"/>
  <c r="W13" i="67"/>
  <c r="V13" i="67"/>
  <c r="U13" i="67"/>
  <c r="R13" i="67"/>
  <c r="Q13" i="67"/>
  <c r="P13" i="67"/>
  <c r="O13" i="67"/>
  <c r="L13" i="67"/>
  <c r="BM12" i="67"/>
  <c r="BH12" i="67"/>
  <c r="BG12" i="67"/>
  <c r="BF12" i="67"/>
  <c r="BE12" i="67"/>
  <c r="BB12" i="67"/>
  <c r="BA12" i="67"/>
  <c r="AZ12" i="67"/>
  <c r="AY12" i="67"/>
  <c r="AV12" i="67"/>
  <c r="AU12" i="67"/>
  <c r="AT12" i="67"/>
  <c r="AS12" i="67"/>
  <c r="AP12" i="67"/>
  <c r="AO12" i="67"/>
  <c r="AN12" i="67"/>
  <c r="AM12" i="67"/>
  <c r="AJ12" i="67"/>
  <c r="AI12" i="67"/>
  <c r="AH12" i="67"/>
  <c r="AG12" i="67"/>
  <c r="AD12" i="67"/>
  <c r="AC12" i="67"/>
  <c r="AB12" i="67"/>
  <c r="AA12" i="67"/>
  <c r="X12" i="67"/>
  <c r="W12" i="67"/>
  <c r="V12" i="67"/>
  <c r="U12" i="67"/>
  <c r="R12" i="67"/>
  <c r="Q12" i="67"/>
  <c r="P12" i="67"/>
  <c r="O12" i="67"/>
  <c r="L12" i="67"/>
  <c r="BM11" i="67"/>
  <c r="BH11" i="67"/>
  <c r="BG11" i="67"/>
  <c r="BF11" i="67"/>
  <c r="BE11" i="67"/>
  <c r="BB11" i="67"/>
  <c r="BA11" i="67"/>
  <c r="AZ11" i="67"/>
  <c r="AY11" i="67"/>
  <c r="AV11" i="67"/>
  <c r="AU11" i="67"/>
  <c r="AT11" i="67"/>
  <c r="AS11" i="67"/>
  <c r="AP11" i="67"/>
  <c r="AO11" i="67"/>
  <c r="AN11" i="67"/>
  <c r="AM11" i="67"/>
  <c r="AJ11" i="67"/>
  <c r="AI11" i="67"/>
  <c r="AH11" i="67"/>
  <c r="AG11" i="67"/>
  <c r="AD11" i="67"/>
  <c r="AC11" i="67"/>
  <c r="AB11" i="67"/>
  <c r="AA11" i="67"/>
  <c r="X11" i="67"/>
  <c r="W11" i="67"/>
  <c r="V11" i="67"/>
  <c r="U11" i="67"/>
  <c r="R11" i="67"/>
  <c r="Q11" i="67"/>
  <c r="P11" i="67"/>
  <c r="O11" i="67"/>
  <c r="L11" i="67"/>
  <c r="BM10" i="67"/>
  <c r="BH10" i="67"/>
  <c r="BG10" i="67"/>
  <c r="BF10" i="67"/>
  <c r="BE10" i="67"/>
  <c r="BB10" i="67"/>
  <c r="BA10" i="67"/>
  <c r="AZ10" i="67"/>
  <c r="AY10" i="67"/>
  <c r="AV10" i="67"/>
  <c r="AU10" i="67"/>
  <c r="AT10" i="67"/>
  <c r="AS10" i="67"/>
  <c r="AP10" i="67"/>
  <c r="AO10" i="67"/>
  <c r="AN10" i="67"/>
  <c r="AM10" i="67"/>
  <c r="AL10" i="67"/>
  <c r="AJ10" i="67"/>
  <c r="AI10" i="67"/>
  <c r="AH10" i="67"/>
  <c r="AG10" i="67"/>
  <c r="AD10" i="67"/>
  <c r="AC10" i="67"/>
  <c r="AB10" i="67"/>
  <c r="AA10" i="67"/>
  <c r="X10" i="67"/>
  <c r="W10" i="67"/>
  <c r="V10" i="67"/>
  <c r="U10" i="67"/>
  <c r="R10" i="67"/>
  <c r="Q10" i="67"/>
  <c r="P10" i="67"/>
  <c r="O10" i="67"/>
  <c r="L10" i="67"/>
  <c r="BM9" i="67"/>
  <c r="BH9" i="67"/>
  <c r="BG9" i="67"/>
  <c r="BF9" i="67"/>
  <c r="BE9" i="67"/>
  <c r="BB9" i="67"/>
  <c r="BA9" i="67"/>
  <c r="AZ9" i="67"/>
  <c r="AY9" i="67"/>
  <c r="AV9" i="67"/>
  <c r="AU9" i="67"/>
  <c r="AT9" i="67"/>
  <c r="AS9" i="67"/>
  <c r="AP9" i="67"/>
  <c r="AO9" i="67"/>
  <c r="AN9" i="67"/>
  <c r="AM9" i="67"/>
  <c r="AJ9" i="67"/>
  <c r="AI9" i="67"/>
  <c r="AH9" i="67"/>
  <c r="AG9" i="67"/>
  <c r="AD9" i="67"/>
  <c r="AC9" i="67"/>
  <c r="AB9" i="67"/>
  <c r="AA9" i="67"/>
  <c r="X9" i="67"/>
  <c r="W9" i="67"/>
  <c r="V9" i="67"/>
  <c r="U9" i="67"/>
  <c r="R9" i="67"/>
  <c r="Q9" i="67"/>
  <c r="P9" i="67"/>
  <c r="O9" i="67"/>
  <c r="L9" i="67"/>
  <c r="BM8" i="67"/>
  <c r="BH8" i="67"/>
  <c r="BG8" i="67"/>
  <c r="BF8" i="67"/>
  <c r="BE8" i="67"/>
  <c r="BB8" i="67"/>
  <c r="BA8" i="67"/>
  <c r="AZ8" i="67"/>
  <c r="AY8" i="67"/>
  <c r="AV8" i="67"/>
  <c r="AU8" i="67"/>
  <c r="AT8" i="67"/>
  <c r="AS8" i="67"/>
  <c r="AP8" i="67"/>
  <c r="AO8" i="67"/>
  <c r="AN8" i="67"/>
  <c r="AM8" i="67"/>
  <c r="AJ8" i="67"/>
  <c r="AI8" i="67"/>
  <c r="AH8" i="67"/>
  <c r="AG8" i="67"/>
  <c r="AD8" i="67"/>
  <c r="AC8" i="67"/>
  <c r="AB8" i="67"/>
  <c r="AA8" i="67"/>
  <c r="X8" i="67"/>
  <c r="W8" i="67"/>
  <c r="V8" i="67"/>
  <c r="U8" i="67"/>
  <c r="R8" i="67"/>
  <c r="Q8" i="67"/>
  <c r="P8" i="67"/>
  <c r="O8" i="67"/>
  <c r="L8" i="67"/>
  <c r="BM7" i="67"/>
  <c r="BH7" i="67"/>
  <c r="BG7" i="67"/>
  <c r="BF7" i="67"/>
  <c r="BE7" i="67"/>
  <c r="BB7" i="67"/>
  <c r="BA7" i="67"/>
  <c r="AZ7" i="67"/>
  <c r="AY7" i="67"/>
  <c r="AV7" i="67"/>
  <c r="AU7" i="67"/>
  <c r="AT7" i="67"/>
  <c r="AS7" i="67"/>
  <c r="AP7" i="67"/>
  <c r="AO7" i="67"/>
  <c r="AN7" i="67"/>
  <c r="AM7" i="67"/>
  <c r="AL7" i="67"/>
  <c r="AJ7" i="67"/>
  <c r="AI7" i="67"/>
  <c r="AH7" i="67"/>
  <c r="AG7" i="67"/>
  <c r="AD7" i="67"/>
  <c r="AC7" i="67"/>
  <c r="AB7" i="67"/>
  <c r="AA7" i="67"/>
  <c r="X7" i="67"/>
  <c r="W7" i="67"/>
  <c r="V7" i="67"/>
  <c r="U7" i="67"/>
  <c r="T7" i="67"/>
  <c r="R7" i="67"/>
  <c r="Q7" i="67"/>
  <c r="P7" i="67"/>
  <c r="O7" i="67"/>
  <c r="L7" i="67"/>
  <c r="BM6" i="67"/>
  <c r="BH6" i="67"/>
  <c r="BG6" i="67"/>
  <c r="BF6" i="67"/>
  <c r="BE6" i="67"/>
  <c r="BB6" i="67"/>
  <c r="BA6" i="67"/>
  <c r="AZ6" i="67"/>
  <c r="AY6" i="67"/>
  <c r="AV6" i="67"/>
  <c r="AU6" i="67"/>
  <c r="AT6" i="67"/>
  <c r="AS6" i="67"/>
  <c r="AP6" i="67"/>
  <c r="AO6" i="67"/>
  <c r="AN6" i="67"/>
  <c r="AM6" i="67"/>
  <c r="AJ6" i="67"/>
  <c r="AI6" i="67"/>
  <c r="AH6" i="67"/>
  <c r="AG6" i="67"/>
  <c r="AD6" i="67"/>
  <c r="AC6" i="67"/>
  <c r="AB6" i="67"/>
  <c r="AA6" i="67"/>
  <c r="X6" i="67"/>
  <c r="W6" i="67"/>
  <c r="V6" i="67"/>
  <c r="U6" i="67"/>
  <c r="R6" i="67"/>
  <c r="Q6" i="67"/>
  <c r="P6" i="67"/>
  <c r="O6" i="67"/>
  <c r="L6" i="67"/>
  <c r="BM5" i="67"/>
  <c r="BH5" i="67"/>
  <c r="BG5" i="67"/>
  <c r="BF5" i="67"/>
  <c r="BE5" i="67"/>
  <c r="BB5" i="67"/>
  <c r="BA5" i="67"/>
  <c r="AZ5" i="67"/>
  <c r="AY5" i="67"/>
  <c r="AV5" i="67"/>
  <c r="AU5" i="67"/>
  <c r="AT5" i="67"/>
  <c r="AS5" i="67"/>
  <c r="AP5" i="67"/>
  <c r="AO5" i="67"/>
  <c r="AN5" i="67"/>
  <c r="AM5" i="67"/>
  <c r="AL5" i="67"/>
  <c r="AJ5" i="67"/>
  <c r="AI5" i="67"/>
  <c r="AH5" i="67"/>
  <c r="AG5" i="67"/>
  <c r="AD5" i="67"/>
  <c r="AC5" i="67"/>
  <c r="AB5" i="67"/>
  <c r="AA5" i="67"/>
  <c r="X5" i="67"/>
  <c r="W5" i="67"/>
  <c r="V5" i="67"/>
  <c r="U5" i="67"/>
  <c r="R5" i="67"/>
  <c r="Q5" i="67"/>
  <c r="P5" i="67"/>
  <c r="O5" i="67"/>
  <c r="L5" i="67"/>
  <c r="BM4" i="67"/>
  <c r="BH4" i="67"/>
  <c r="BG4" i="67"/>
  <c r="BF4" i="67"/>
  <c r="BE4" i="67"/>
  <c r="BD4" i="67"/>
  <c r="BB4" i="67"/>
  <c r="BA4" i="67"/>
  <c r="AZ4" i="67"/>
  <c r="AY4" i="67"/>
  <c r="AX4" i="67"/>
  <c r="AV4" i="67"/>
  <c r="AU4" i="67"/>
  <c r="AT4" i="67"/>
  <c r="AS4" i="67"/>
  <c r="AP4" i="67"/>
  <c r="AO4" i="67"/>
  <c r="AN4" i="67"/>
  <c r="AM4" i="67"/>
  <c r="AL4" i="67"/>
  <c r="AJ4" i="67"/>
  <c r="AI4" i="67"/>
  <c r="AH4" i="67"/>
  <c r="AG4" i="67"/>
  <c r="AD4" i="67"/>
  <c r="AC4" i="67"/>
  <c r="AB4" i="67"/>
  <c r="AA4" i="67"/>
  <c r="X4" i="67"/>
  <c r="W4" i="67"/>
  <c r="V4" i="67"/>
  <c r="U4" i="67"/>
  <c r="R4" i="67"/>
  <c r="Q4" i="67"/>
  <c r="P4" i="67"/>
  <c r="O4" i="67"/>
  <c r="L4" i="67"/>
  <c r="BM3" i="67"/>
  <c r="BH3" i="67"/>
  <c r="BG3" i="67"/>
  <c r="BF3" i="67"/>
  <c r="BE3" i="67"/>
  <c r="BB3" i="67"/>
  <c r="BA3" i="67"/>
  <c r="AZ3" i="67"/>
  <c r="AY3" i="67"/>
  <c r="AV3" i="67"/>
  <c r="AU3" i="67"/>
  <c r="AT3" i="67"/>
  <c r="AS3" i="67"/>
  <c r="AP3" i="67"/>
  <c r="AO3" i="67"/>
  <c r="AN3" i="67"/>
  <c r="AM3" i="67"/>
  <c r="AJ3" i="67"/>
  <c r="AI3" i="67"/>
  <c r="AH3" i="67"/>
  <c r="AG3" i="67"/>
  <c r="AD3" i="67"/>
  <c r="AC3" i="67"/>
  <c r="AB3" i="67"/>
  <c r="AA3" i="67"/>
  <c r="X3" i="67"/>
  <c r="W3" i="67"/>
  <c r="V3" i="67"/>
  <c r="U3" i="67"/>
  <c r="R3" i="67"/>
  <c r="Q3" i="67"/>
  <c r="P3" i="67"/>
  <c r="O3" i="67"/>
  <c r="L3" i="67"/>
  <c r="BM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BM31" i="4"/>
  <c r="BH31" i="4"/>
  <c r="BG31" i="4"/>
  <c r="BF31" i="4"/>
  <c r="BE31" i="4"/>
  <c r="BB31" i="4"/>
  <c r="BA31" i="4"/>
  <c r="AZ31" i="4"/>
  <c r="AY31" i="4"/>
  <c r="AV31" i="4"/>
  <c r="AU31" i="4"/>
  <c r="AT31" i="4"/>
  <c r="AS31" i="4"/>
  <c r="BM30" i="4"/>
  <c r="BH30" i="4"/>
  <c r="BG30" i="4"/>
  <c r="BF30" i="4"/>
  <c r="BE30" i="4"/>
  <c r="BM29" i="4"/>
  <c r="BH29" i="4"/>
  <c r="BG29" i="4"/>
  <c r="BF29" i="4"/>
  <c r="BE29" i="4"/>
  <c r="BB29" i="4"/>
  <c r="BA29" i="4"/>
  <c r="AZ29" i="4"/>
  <c r="AY29" i="4"/>
  <c r="AV29" i="4"/>
  <c r="AU29" i="4"/>
  <c r="AT29" i="4"/>
  <c r="AS29" i="4"/>
  <c r="AP29" i="4"/>
  <c r="AO29" i="4"/>
  <c r="AN29" i="4"/>
  <c r="AM29" i="4"/>
  <c r="AJ29" i="4"/>
  <c r="AI29" i="4"/>
  <c r="AH29" i="4"/>
  <c r="AG29" i="4"/>
  <c r="AD29" i="4"/>
  <c r="AC29" i="4"/>
  <c r="AB29" i="4"/>
  <c r="AA29" i="4"/>
  <c r="BM28" i="4"/>
  <c r="BH28" i="4"/>
  <c r="BG28" i="4"/>
  <c r="BF28" i="4"/>
  <c r="BE28" i="4"/>
  <c r="BB28" i="4"/>
  <c r="BA28" i="4"/>
  <c r="AZ28" i="4"/>
  <c r="AY28" i="4"/>
  <c r="AV28" i="4"/>
  <c r="AU28" i="4"/>
  <c r="AT28" i="4"/>
  <c r="AS28" i="4"/>
  <c r="AP28" i="4"/>
  <c r="AO28" i="4"/>
  <c r="AN28" i="4"/>
  <c r="AM28" i="4"/>
  <c r="AJ28" i="4"/>
  <c r="AI28" i="4"/>
  <c r="AH28" i="4"/>
  <c r="AG28" i="4"/>
  <c r="AD28" i="4"/>
  <c r="AC28" i="4"/>
  <c r="AB28" i="4"/>
  <c r="AA28" i="4"/>
  <c r="X28" i="4"/>
  <c r="W28" i="4"/>
  <c r="V28" i="4"/>
  <c r="U28" i="4"/>
  <c r="R28" i="4"/>
  <c r="Q28" i="4"/>
  <c r="P28" i="4"/>
  <c r="O28" i="4"/>
  <c r="L28" i="4"/>
  <c r="BM27" i="4"/>
  <c r="BH27" i="4"/>
  <c r="BG27" i="4"/>
  <c r="BF27" i="4"/>
  <c r="BE27" i="4"/>
  <c r="BB27" i="4"/>
  <c r="BA27" i="4"/>
  <c r="AZ27" i="4"/>
  <c r="AY27" i="4"/>
  <c r="AV27" i="4"/>
  <c r="AU27" i="4"/>
  <c r="AT27" i="4"/>
  <c r="AS27" i="4"/>
  <c r="AP27" i="4"/>
  <c r="AO27" i="4"/>
  <c r="AN27" i="4"/>
  <c r="AM27" i="4"/>
  <c r="AJ27" i="4"/>
  <c r="AI27" i="4"/>
  <c r="AH27" i="4"/>
  <c r="AG27" i="4"/>
  <c r="BM26" i="4"/>
  <c r="BH26" i="4"/>
  <c r="BG26" i="4"/>
  <c r="BF26" i="4"/>
  <c r="BE26" i="4"/>
  <c r="BB26" i="4"/>
  <c r="BA26" i="4"/>
  <c r="AZ26" i="4"/>
  <c r="AY26" i="4"/>
  <c r="AV26" i="4"/>
  <c r="AU26" i="4"/>
  <c r="AT26" i="4"/>
  <c r="AS26" i="4"/>
  <c r="AP26" i="4"/>
  <c r="AO26" i="4"/>
  <c r="AN26" i="4"/>
  <c r="AM26" i="4"/>
  <c r="AJ26" i="4"/>
  <c r="AI26" i="4"/>
  <c r="AH26" i="4"/>
  <c r="AG26" i="4"/>
  <c r="BM25" i="4"/>
  <c r="BH25" i="4"/>
  <c r="BG25" i="4"/>
  <c r="BF25" i="4"/>
  <c r="BE25" i="4"/>
  <c r="BB25" i="4"/>
  <c r="BA25" i="4"/>
  <c r="AZ25" i="4"/>
  <c r="AY25" i="4"/>
  <c r="AV25" i="4"/>
  <c r="AU25" i="4"/>
  <c r="AT25" i="4"/>
  <c r="AS25" i="4"/>
  <c r="AP25" i="4"/>
  <c r="AO25" i="4"/>
  <c r="AN25" i="4"/>
  <c r="AM25" i="4"/>
  <c r="AJ25" i="4"/>
  <c r="AI25" i="4"/>
  <c r="AH25" i="4"/>
  <c r="AG25" i="4"/>
  <c r="AD25" i="4"/>
  <c r="AC25" i="4"/>
  <c r="AB25" i="4"/>
  <c r="AA25" i="4"/>
  <c r="X25" i="4"/>
  <c r="W25" i="4"/>
  <c r="V25" i="4"/>
  <c r="U25" i="4"/>
  <c r="R25" i="4"/>
  <c r="Q25" i="4"/>
  <c r="P25" i="4"/>
  <c r="O25" i="4"/>
  <c r="L25" i="4"/>
  <c r="BM24" i="4"/>
  <c r="BH24" i="4"/>
  <c r="BG24" i="4"/>
  <c r="BF24" i="4"/>
  <c r="BE24" i="4"/>
  <c r="BB24" i="4"/>
  <c r="BA24" i="4"/>
  <c r="AZ24" i="4"/>
  <c r="AY24" i="4"/>
  <c r="AV24" i="4"/>
  <c r="AU24" i="4"/>
  <c r="AT24" i="4"/>
  <c r="AS24" i="4"/>
  <c r="AP24" i="4"/>
  <c r="AO24" i="4"/>
  <c r="AN24" i="4"/>
  <c r="AM24" i="4"/>
  <c r="AJ24" i="4"/>
  <c r="AI24" i="4"/>
  <c r="AH24" i="4"/>
  <c r="AG24" i="4"/>
  <c r="AD24" i="4"/>
  <c r="AC24" i="4"/>
  <c r="AB24" i="4"/>
  <c r="AA24" i="4"/>
  <c r="X24" i="4"/>
  <c r="W24" i="4"/>
  <c r="V24" i="4"/>
  <c r="U24" i="4"/>
  <c r="R24" i="4"/>
  <c r="Q24" i="4"/>
  <c r="P24" i="4"/>
  <c r="O24" i="4"/>
  <c r="L24" i="4"/>
  <c r="BM23" i="4"/>
  <c r="BH23" i="4"/>
  <c r="BG23" i="4"/>
  <c r="BF23" i="4"/>
  <c r="BE23" i="4"/>
  <c r="BB23" i="4"/>
  <c r="BA23" i="4"/>
  <c r="AZ23" i="4"/>
  <c r="AY23" i="4"/>
  <c r="AV23" i="4"/>
  <c r="AU23" i="4"/>
  <c r="AT23" i="4"/>
  <c r="AS23" i="4"/>
  <c r="AP23" i="4"/>
  <c r="AO23" i="4"/>
  <c r="AN23" i="4"/>
  <c r="AM23" i="4"/>
  <c r="AJ23" i="4"/>
  <c r="AI23" i="4"/>
  <c r="AH23" i="4"/>
  <c r="AG23" i="4"/>
  <c r="AD23" i="4"/>
  <c r="AC23" i="4"/>
  <c r="AB23" i="4"/>
  <c r="AA23" i="4"/>
  <c r="X23" i="4"/>
  <c r="W23" i="4"/>
  <c r="V23" i="4"/>
  <c r="U23" i="4"/>
  <c r="R23" i="4"/>
  <c r="Q23" i="4"/>
  <c r="P23" i="4"/>
  <c r="O23" i="4"/>
  <c r="L23" i="4"/>
  <c r="BM22" i="4"/>
  <c r="BH22" i="4"/>
  <c r="BG22" i="4"/>
  <c r="BF22" i="4"/>
  <c r="BE22" i="4"/>
  <c r="BB22" i="4"/>
  <c r="BA22" i="4"/>
  <c r="AZ22" i="4"/>
  <c r="AY22" i="4"/>
  <c r="AV22" i="4"/>
  <c r="AU22" i="4"/>
  <c r="AT22" i="4"/>
  <c r="AS22" i="4"/>
  <c r="AP22" i="4"/>
  <c r="AO22" i="4"/>
  <c r="AN22" i="4"/>
  <c r="AM22" i="4"/>
  <c r="AJ22" i="4"/>
  <c r="AI22" i="4"/>
  <c r="AH22" i="4"/>
  <c r="AG22" i="4"/>
  <c r="AD22" i="4"/>
  <c r="AC22" i="4"/>
  <c r="AB22" i="4"/>
  <c r="AA22" i="4"/>
  <c r="X22" i="4"/>
  <c r="W22" i="4"/>
  <c r="V22" i="4"/>
  <c r="U22" i="4"/>
  <c r="R22" i="4"/>
  <c r="Q22" i="4"/>
  <c r="P22" i="4"/>
  <c r="O22" i="4"/>
  <c r="L22" i="4"/>
  <c r="BM21" i="4"/>
  <c r="BH21" i="4"/>
  <c r="BG21" i="4"/>
  <c r="BF21" i="4"/>
  <c r="BE21" i="4"/>
  <c r="BB21" i="4"/>
  <c r="BA21" i="4"/>
  <c r="AZ21" i="4"/>
  <c r="AY21" i="4"/>
  <c r="AV21" i="4"/>
  <c r="AU21" i="4"/>
  <c r="AT21" i="4"/>
  <c r="AS21" i="4"/>
  <c r="AP21" i="4"/>
  <c r="AO21" i="4"/>
  <c r="AN21" i="4"/>
  <c r="AM21" i="4"/>
  <c r="AJ21" i="4"/>
  <c r="AI21" i="4"/>
  <c r="AH21" i="4"/>
  <c r="AG21" i="4"/>
  <c r="AD21" i="4"/>
  <c r="AC21" i="4"/>
  <c r="AB21" i="4"/>
  <c r="AA21" i="4"/>
  <c r="X21" i="4"/>
  <c r="W21" i="4"/>
  <c r="V21" i="4"/>
  <c r="U21" i="4"/>
  <c r="R21" i="4"/>
  <c r="Q21" i="4"/>
  <c r="P21" i="4"/>
  <c r="O21" i="4"/>
  <c r="L21" i="4"/>
  <c r="BM20" i="4"/>
  <c r="BH20" i="4"/>
  <c r="BG20" i="4"/>
  <c r="BF20" i="4"/>
  <c r="BE20" i="4"/>
  <c r="BB20" i="4"/>
  <c r="BA20" i="4"/>
  <c r="AZ20" i="4"/>
  <c r="AY20" i="4"/>
  <c r="AV20" i="4"/>
  <c r="AU20" i="4"/>
  <c r="AT20" i="4"/>
  <c r="AS20" i="4"/>
  <c r="AP20" i="4"/>
  <c r="AO20" i="4"/>
  <c r="AN20" i="4"/>
  <c r="AM20" i="4"/>
  <c r="AJ20" i="4"/>
  <c r="AI20" i="4"/>
  <c r="AH20" i="4"/>
  <c r="AG20" i="4"/>
  <c r="AD20" i="4"/>
  <c r="AC20" i="4"/>
  <c r="AB20" i="4"/>
  <c r="AA20" i="4"/>
  <c r="X20" i="4"/>
  <c r="W20" i="4"/>
  <c r="V20" i="4"/>
  <c r="U20" i="4"/>
  <c r="R20" i="4"/>
  <c r="Q20" i="4"/>
  <c r="P20" i="4"/>
  <c r="O20" i="4"/>
  <c r="L20" i="4"/>
  <c r="BM19" i="4"/>
  <c r="BH19" i="4"/>
  <c r="BG19" i="4"/>
  <c r="BF19" i="4"/>
  <c r="BE19" i="4"/>
  <c r="BB19" i="4"/>
  <c r="BA19" i="4"/>
  <c r="AZ19" i="4"/>
  <c r="AY19" i="4"/>
  <c r="AV19" i="4"/>
  <c r="AU19" i="4"/>
  <c r="AT19" i="4"/>
  <c r="AS19" i="4"/>
  <c r="AP19" i="4"/>
  <c r="AO19" i="4"/>
  <c r="AN19" i="4"/>
  <c r="AM19" i="4"/>
  <c r="AJ19" i="4"/>
  <c r="AI19" i="4"/>
  <c r="AH19" i="4"/>
  <c r="AG19" i="4"/>
  <c r="AD19" i="4"/>
  <c r="AC19" i="4"/>
  <c r="AB19" i="4"/>
  <c r="AA19" i="4"/>
  <c r="X19" i="4"/>
  <c r="W19" i="4"/>
  <c r="V19" i="4"/>
  <c r="U19" i="4"/>
  <c r="R19" i="4"/>
  <c r="Q19" i="4"/>
  <c r="P19" i="4"/>
  <c r="O19" i="4"/>
  <c r="L19" i="4"/>
  <c r="BM18" i="4"/>
  <c r="BH18" i="4"/>
  <c r="BG18" i="4"/>
  <c r="BF18" i="4"/>
  <c r="BE18" i="4"/>
  <c r="BB18" i="4"/>
  <c r="BA18" i="4"/>
  <c r="AZ18" i="4"/>
  <c r="AY18" i="4"/>
  <c r="AV18" i="4"/>
  <c r="AU18" i="4"/>
  <c r="AT18" i="4"/>
  <c r="AS18" i="4"/>
  <c r="AP18" i="4"/>
  <c r="AO18" i="4"/>
  <c r="AN18" i="4"/>
  <c r="AM18" i="4"/>
  <c r="AJ18" i="4"/>
  <c r="AI18" i="4"/>
  <c r="AH18" i="4"/>
  <c r="AG18" i="4"/>
  <c r="AD18" i="4"/>
  <c r="AC18" i="4"/>
  <c r="AB18" i="4"/>
  <c r="AA18" i="4"/>
  <c r="X18" i="4"/>
  <c r="W18" i="4"/>
  <c r="V18" i="4"/>
  <c r="U18" i="4"/>
  <c r="R18" i="4"/>
  <c r="Q18" i="4"/>
  <c r="P18" i="4"/>
  <c r="O18" i="4"/>
  <c r="L18" i="4"/>
  <c r="BM17" i="4"/>
  <c r="BH17" i="4"/>
  <c r="BG17" i="4"/>
  <c r="BF17" i="4"/>
  <c r="BE17" i="4"/>
  <c r="BB17" i="4"/>
  <c r="BA17" i="4"/>
  <c r="AZ17" i="4"/>
  <c r="AY17" i="4"/>
  <c r="AV17" i="4"/>
  <c r="AU17" i="4"/>
  <c r="AT17" i="4"/>
  <c r="AS17" i="4"/>
  <c r="AP17" i="4"/>
  <c r="AO17" i="4"/>
  <c r="AN17" i="4"/>
  <c r="AM17" i="4"/>
  <c r="AJ17" i="4"/>
  <c r="AI17" i="4"/>
  <c r="AH17" i="4"/>
  <c r="AG17" i="4"/>
  <c r="AD17" i="4"/>
  <c r="AC17" i="4"/>
  <c r="AB17" i="4"/>
  <c r="AA17" i="4"/>
  <c r="X17" i="4"/>
  <c r="W17" i="4"/>
  <c r="V17" i="4"/>
  <c r="U17" i="4"/>
  <c r="R17" i="4"/>
  <c r="Q17" i="4"/>
  <c r="P17" i="4"/>
  <c r="O17" i="4"/>
  <c r="L17" i="4"/>
  <c r="BM16" i="4"/>
  <c r="BH16" i="4"/>
  <c r="BG16" i="4"/>
  <c r="BF16" i="4"/>
  <c r="BE16" i="4"/>
  <c r="BB16" i="4"/>
  <c r="BA16" i="4"/>
  <c r="AZ16" i="4"/>
  <c r="AY16" i="4"/>
  <c r="AV16" i="4"/>
  <c r="AU16" i="4"/>
  <c r="AT16" i="4"/>
  <c r="AS16" i="4"/>
  <c r="AP16" i="4"/>
  <c r="AO16" i="4"/>
  <c r="AN16" i="4"/>
  <c r="AM16" i="4"/>
  <c r="AJ16" i="4"/>
  <c r="AI16" i="4"/>
  <c r="AH16" i="4"/>
  <c r="AG16" i="4"/>
  <c r="AD16" i="4"/>
  <c r="AC16" i="4"/>
  <c r="AB16" i="4"/>
  <c r="AA16" i="4"/>
  <c r="X16" i="4"/>
  <c r="W16" i="4"/>
  <c r="V16" i="4"/>
  <c r="U16" i="4"/>
  <c r="R16" i="4"/>
  <c r="Q16" i="4"/>
  <c r="P16" i="4"/>
  <c r="O16" i="4"/>
  <c r="L16" i="4"/>
  <c r="BM15" i="4"/>
  <c r="BH15" i="4"/>
  <c r="BG15" i="4"/>
  <c r="BF15" i="4"/>
  <c r="BE15" i="4"/>
  <c r="BB15" i="4"/>
  <c r="BA15" i="4"/>
  <c r="AZ15" i="4"/>
  <c r="AY15" i="4"/>
  <c r="AV15" i="4"/>
  <c r="AU15" i="4"/>
  <c r="AT15" i="4"/>
  <c r="AS15" i="4"/>
  <c r="AP15" i="4"/>
  <c r="AO15" i="4"/>
  <c r="AN15" i="4"/>
  <c r="AM15" i="4"/>
  <c r="AJ15" i="4"/>
  <c r="AI15" i="4"/>
  <c r="AH15" i="4"/>
  <c r="AG15" i="4"/>
  <c r="AD15" i="4"/>
  <c r="AC15" i="4"/>
  <c r="AB15" i="4"/>
  <c r="AA15" i="4"/>
  <c r="X15" i="4"/>
  <c r="W15" i="4"/>
  <c r="V15" i="4"/>
  <c r="U15" i="4"/>
  <c r="R15" i="4"/>
  <c r="Q15" i="4"/>
  <c r="P15" i="4"/>
  <c r="O15" i="4"/>
  <c r="L15" i="4"/>
  <c r="BM14" i="4"/>
  <c r="BH14" i="4"/>
  <c r="BG14" i="4"/>
  <c r="BF14" i="4"/>
  <c r="BE14" i="4"/>
  <c r="BB14" i="4"/>
  <c r="BA14" i="4"/>
  <c r="AZ14" i="4"/>
  <c r="AY14" i="4"/>
  <c r="AV14" i="4"/>
  <c r="AU14" i="4"/>
  <c r="AT14" i="4"/>
  <c r="AS14" i="4"/>
  <c r="AP14" i="4"/>
  <c r="AO14" i="4"/>
  <c r="AN14" i="4"/>
  <c r="AM14" i="4"/>
  <c r="AJ14" i="4"/>
  <c r="AI14" i="4"/>
  <c r="AH14" i="4"/>
  <c r="AG14" i="4"/>
  <c r="AD14" i="4"/>
  <c r="AC14" i="4"/>
  <c r="AB14" i="4"/>
  <c r="AA14" i="4"/>
  <c r="X14" i="4"/>
  <c r="W14" i="4"/>
  <c r="V14" i="4"/>
  <c r="U14" i="4"/>
  <c r="R14" i="4"/>
  <c r="Q14" i="4"/>
  <c r="P14" i="4"/>
  <c r="O14" i="4"/>
  <c r="L14" i="4"/>
  <c r="BM13" i="4"/>
  <c r="BH13" i="4"/>
  <c r="BG13" i="4"/>
  <c r="BF13" i="4"/>
  <c r="BE13" i="4"/>
  <c r="BB13" i="4"/>
  <c r="BA13" i="4"/>
  <c r="AZ13" i="4"/>
  <c r="AY13" i="4"/>
  <c r="AV13" i="4"/>
  <c r="AU13" i="4"/>
  <c r="AT13" i="4"/>
  <c r="AS13" i="4"/>
  <c r="AP13" i="4"/>
  <c r="AO13" i="4"/>
  <c r="AN13" i="4"/>
  <c r="AM13" i="4"/>
  <c r="AJ13" i="4"/>
  <c r="AI13" i="4"/>
  <c r="AH13" i="4"/>
  <c r="AG13" i="4"/>
  <c r="AD13" i="4"/>
  <c r="AC13" i="4"/>
  <c r="AB13" i="4"/>
  <c r="AA13" i="4"/>
  <c r="X13" i="4"/>
  <c r="W13" i="4"/>
  <c r="V13" i="4"/>
  <c r="U13" i="4"/>
  <c r="R13" i="4"/>
  <c r="Q13" i="4"/>
  <c r="P13" i="4"/>
  <c r="O13" i="4"/>
  <c r="L13" i="4"/>
  <c r="BM12" i="4"/>
  <c r="BH12" i="4"/>
  <c r="BG12" i="4"/>
  <c r="BF12" i="4"/>
  <c r="BE12" i="4"/>
  <c r="BB12" i="4"/>
  <c r="BA12" i="4"/>
  <c r="AZ12" i="4"/>
  <c r="AY12" i="4"/>
  <c r="AV12" i="4"/>
  <c r="AU12" i="4"/>
  <c r="AT12" i="4"/>
  <c r="AS12" i="4"/>
  <c r="AP12" i="4"/>
  <c r="AO12" i="4"/>
  <c r="AN12" i="4"/>
  <c r="AM12" i="4"/>
  <c r="AJ12" i="4"/>
  <c r="AI12" i="4"/>
  <c r="AH12" i="4"/>
  <c r="AG12" i="4"/>
  <c r="AD12" i="4"/>
  <c r="AC12" i="4"/>
  <c r="AB12" i="4"/>
  <c r="AA12" i="4"/>
  <c r="X12" i="4"/>
  <c r="W12" i="4"/>
  <c r="V12" i="4"/>
  <c r="U12" i="4"/>
  <c r="R12" i="4"/>
  <c r="Q12" i="4"/>
  <c r="P12" i="4"/>
  <c r="O12" i="4"/>
  <c r="L12" i="4"/>
  <c r="BM11" i="4"/>
  <c r="BH11" i="4"/>
  <c r="BG11" i="4"/>
  <c r="BF11" i="4"/>
  <c r="BE11" i="4"/>
  <c r="BB11" i="4"/>
  <c r="BA11" i="4"/>
  <c r="AZ11" i="4"/>
  <c r="AY11" i="4"/>
  <c r="AV11" i="4"/>
  <c r="AU11" i="4"/>
  <c r="AT11" i="4"/>
  <c r="AS11" i="4"/>
  <c r="AP11" i="4"/>
  <c r="AO11" i="4"/>
  <c r="AN11" i="4"/>
  <c r="AM11" i="4"/>
  <c r="AJ11" i="4"/>
  <c r="AI11" i="4"/>
  <c r="AH11" i="4"/>
  <c r="AG11" i="4"/>
  <c r="AD11" i="4"/>
  <c r="AC11" i="4"/>
  <c r="AB11" i="4"/>
  <c r="AA11" i="4"/>
  <c r="X11" i="4"/>
  <c r="W11" i="4"/>
  <c r="V11" i="4"/>
  <c r="U11" i="4"/>
  <c r="R11" i="4"/>
  <c r="Q11" i="4"/>
  <c r="P11" i="4"/>
  <c r="O11" i="4"/>
  <c r="N11" i="4"/>
  <c r="L11" i="4"/>
  <c r="BM10" i="4"/>
  <c r="BH10" i="4"/>
  <c r="BG10" i="4"/>
  <c r="BF10" i="4"/>
  <c r="BE10" i="4"/>
  <c r="BB10" i="4"/>
  <c r="BA10" i="4"/>
  <c r="AZ10" i="4"/>
  <c r="AY10" i="4"/>
  <c r="AV10" i="4"/>
  <c r="AU10" i="4"/>
  <c r="AT10" i="4"/>
  <c r="AS10" i="4"/>
  <c r="AP10" i="4"/>
  <c r="AO10" i="4"/>
  <c r="AN10" i="4"/>
  <c r="AM10" i="4"/>
  <c r="AJ10" i="4"/>
  <c r="AI10" i="4"/>
  <c r="AH10" i="4"/>
  <c r="AG10" i="4"/>
  <c r="AD10" i="4"/>
  <c r="AC10" i="4"/>
  <c r="AB10" i="4"/>
  <c r="AA10" i="4"/>
  <c r="X10" i="4"/>
  <c r="W10" i="4"/>
  <c r="V10" i="4"/>
  <c r="U10" i="4"/>
  <c r="T10" i="4"/>
  <c r="R10" i="4"/>
  <c r="Q10" i="4"/>
  <c r="P10" i="4"/>
  <c r="O10" i="4"/>
  <c r="L10" i="4"/>
  <c r="K10" i="4"/>
  <c r="BM9" i="4"/>
  <c r="BH9" i="4"/>
  <c r="BG9" i="4"/>
  <c r="BF9" i="4"/>
  <c r="BE9" i="4"/>
  <c r="BB9" i="4"/>
  <c r="BA9" i="4"/>
  <c r="AZ9" i="4"/>
  <c r="AY9" i="4"/>
  <c r="AV9" i="4"/>
  <c r="AU9" i="4"/>
  <c r="AT9" i="4"/>
  <c r="AS9" i="4"/>
  <c r="AP9" i="4"/>
  <c r="AO9" i="4"/>
  <c r="AN9" i="4"/>
  <c r="AM9" i="4"/>
  <c r="AJ9" i="4"/>
  <c r="AI9" i="4"/>
  <c r="AH9" i="4"/>
  <c r="AG9" i="4"/>
  <c r="AD9" i="4"/>
  <c r="AC9" i="4"/>
  <c r="AB9" i="4"/>
  <c r="AA9" i="4"/>
  <c r="X9" i="4"/>
  <c r="W9" i="4"/>
  <c r="V9" i="4"/>
  <c r="U9" i="4"/>
  <c r="R9" i="4"/>
  <c r="Q9" i="4"/>
  <c r="P9" i="4"/>
  <c r="O9" i="4"/>
  <c r="L9" i="4"/>
  <c r="BM8" i="4"/>
  <c r="BH8" i="4"/>
  <c r="BG8" i="4"/>
  <c r="BF8" i="4"/>
  <c r="BE8" i="4"/>
  <c r="BB8" i="4"/>
  <c r="BA8" i="4"/>
  <c r="AZ8" i="4"/>
  <c r="AY8" i="4"/>
  <c r="AV8" i="4"/>
  <c r="AU8" i="4"/>
  <c r="AT8" i="4"/>
  <c r="AS8" i="4"/>
  <c r="AP8" i="4"/>
  <c r="AO8" i="4"/>
  <c r="AN8" i="4"/>
  <c r="AM8" i="4"/>
  <c r="AJ8" i="4"/>
  <c r="AI8" i="4"/>
  <c r="AH8" i="4"/>
  <c r="AG8" i="4"/>
  <c r="AD8" i="4"/>
  <c r="AC8" i="4"/>
  <c r="AB8" i="4"/>
  <c r="AA8" i="4"/>
  <c r="X8" i="4"/>
  <c r="W8" i="4"/>
  <c r="V8" i="4"/>
  <c r="U8" i="4"/>
  <c r="R8" i="4"/>
  <c r="Q8" i="4"/>
  <c r="P8" i="4"/>
  <c r="O8" i="4"/>
  <c r="L8" i="4"/>
  <c r="BM7" i="4"/>
  <c r="BH7" i="4"/>
  <c r="BG7" i="4"/>
  <c r="BF7" i="4"/>
  <c r="BE7" i="4"/>
  <c r="BD7" i="4"/>
  <c r="BB7" i="4"/>
  <c r="BA7" i="4"/>
  <c r="AZ7" i="4"/>
  <c r="AY7" i="4"/>
  <c r="AV7" i="4"/>
  <c r="AU7" i="4"/>
  <c r="AT7" i="4"/>
  <c r="AS7" i="4"/>
  <c r="AP7" i="4"/>
  <c r="AO7" i="4"/>
  <c r="AN7" i="4"/>
  <c r="AM7" i="4"/>
  <c r="AJ7" i="4"/>
  <c r="AI7" i="4"/>
  <c r="AH7" i="4"/>
  <c r="AG7" i="4"/>
  <c r="AF7" i="4"/>
  <c r="AD7" i="4"/>
  <c r="AC7" i="4"/>
  <c r="AB7" i="4"/>
  <c r="AA7" i="4"/>
  <c r="X7" i="4"/>
  <c r="W7" i="4"/>
  <c r="V7" i="4"/>
  <c r="U7" i="4"/>
  <c r="T7" i="4"/>
  <c r="R7" i="4"/>
  <c r="Q7" i="4"/>
  <c r="P7" i="4"/>
  <c r="O7" i="4"/>
  <c r="L7" i="4"/>
  <c r="K7" i="4"/>
  <c r="BM6" i="4"/>
  <c r="BH6" i="4"/>
  <c r="BG6" i="4"/>
  <c r="BF6" i="4"/>
  <c r="BE6" i="4"/>
  <c r="BB6" i="4"/>
  <c r="BA6" i="4"/>
  <c r="AZ6" i="4"/>
  <c r="AY6" i="4"/>
  <c r="AV6" i="4"/>
  <c r="AU6" i="4"/>
  <c r="AT6" i="4"/>
  <c r="AS6" i="4"/>
  <c r="AP6" i="4"/>
  <c r="AO6" i="4"/>
  <c r="AN6" i="4"/>
  <c r="AM6" i="4"/>
  <c r="AJ6" i="4"/>
  <c r="AI6" i="4"/>
  <c r="AH6" i="4"/>
  <c r="AG6" i="4"/>
  <c r="AD6" i="4"/>
  <c r="AC6" i="4"/>
  <c r="AB6" i="4"/>
  <c r="AA6" i="4"/>
  <c r="X6" i="4"/>
  <c r="W6" i="4"/>
  <c r="V6" i="4"/>
  <c r="U6" i="4"/>
  <c r="R6" i="4"/>
  <c r="Q6" i="4"/>
  <c r="P6" i="4"/>
  <c r="O6" i="4"/>
  <c r="L6" i="4"/>
  <c r="BO5" i="4"/>
  <c r="BM5" i="4"/>
  <c r="BH5" i="4"/>
  <c r="BG5" i="4"/>
  <c r="BF5" i="4"/>
  <c r="BE5" i="4"/>
  <c r="BB5" i="4"/>
  <c r="BA5" i="4"/>
  <c r="AZ5" i="4"/>
  <c r="AY5" i="4"/>
  <c r="AV5" i="4"/>
  <c r="AU5" i="4"/>
  <c r="AT5" i="4"/>
  <c r="AS5" i="4"/>
  <c r="AP5" i="4"/>
  <c r="AO5" i="4"/>
  <c r="AN5" i="4"/>
  <c r="AM5" i="4"/>
  <c r="AJ5" i="4"/>
  <c r="AI5" i="4"/>
  <c r="AH5" i="4"/>
  <c r="AG5" i="4"/>
  <c r="AF5" i="4"/>
  <c r="AD5" i="4"/>
  <c r="AC5" i="4"/>
  <c r="AB5" i="4"/>
  <c r="AA5" i="4"/>
  <c r="Z5" i="4"/>
  <c r="X5" i="4"/>
  <c r="W5" i="4"/>
  <c r="V5" i="4"/>
  <c r="U5" i="4"/>
  <c r="R5" i="4"/>
  <c r="Q5" i="4"/>
  <c r="P5" i="4"/>
  <c r="O5" i="4"/>
  <c r="L5" i="4"/>
  <c r="BO4" i="4"/>
  <c r="BM4" i="4"/>
  <c r="BH4" i="4"/>
  <c r="BG4" i="4"/>
  <c r="BF4" i="4"/>
  <c r="BE4" i="4"/>
  <c r="BD4" i="4"/>
  <c r="BB4" i="4"/>
  <c r="BA4" i="4"/>
  <c r="AZ4" i="4"/>
  <c r="AY4" i="4"/>
  <c r="AV4" i="4"/>
  <c r="AU4" i="4"/>
  <c r="AT4" i="4"/>
  <c r="AS4" i="4"/>
  <c r="AP4" i="4"/>
  <c r="AO4" i="4"/>
  <c r="AN4" i="4"/>
  <c r="AM4" i="4"/>
  <c r="AJ4" i="4"/>
  <c r="AI4" i="4"/>
  <c r="AH4" i="4"/>
  <c r="AG4" i="4"/>
  <c r="AF4" i="4"/>
  <c r="AD4" i="4"/>
  <c r="AC4" i="4"/>
  <c r="AB4" i="4"/>
  <c r="AA4" i="4"/>
  <c r="X4" i="4"/>
  <c r="W4" i="4"/>
  <c r="V4" i="4"/>
  <c r="U4" i="4"/>
  <c r="R4" i="4"/>
  <c r="Q4" i="4"/>
  <c r="P4" i="4"/>
  <c r="O4" i="4"/>
  <c r="L4" i="4"/>
  <c r="BM3" i="4"/>
  <c r="BH3" i="4"/>
  <c r="BG3" i="4"/>
  <c r="BF3" i="4"/>
  <c r="BE3" i="4"/>
  <c r="BD3" i="4"/>
  <c r="BB3" i="4"/>
  <c r="BA3" i="4"/>
  <c r="AZ3" i="4"/>
  <c r="AY3" i="4"/>
  <c r="AV3" i="4"/>
  <c r="AU3" i="4"/>
  <c r="AT3" i="4"/>
  <c r="AS3" i="4"/>
  <c r="AP3" i="4"/>
  <c r="AO3" i="4"/>
  <c r="AN3" i="4"/>
  <c r="AM3" i="4"/>
  <c r="AJ3" i="4"/>
  <c r="AI3" i="4"/>
  <c r="AH3" i="4"/>
  <c r="AG3" i="4"/>
  <c r="AD3" i="4"/>
  <c r="AC3" i="4"/>
  <c r="AB3" i="4"/>
  <c r="AA3" i="4"/>
  <c r="X3" i="4"/>
  <c r="W3" i="4"/>
  <c r="V3" i="4"/>
  <c r="U3" i="4"/>
  <c r="T3" i="4"/>
  <c r="R3" i="4"/>
  <c r="Q3" i="4"/>
  <c r="P3" i="4"/>
  <c r="O3" i="4"/>
  <c r="N3" i="4"/>
  <c r="L3" i="4"/>
  <c r="K3" i="4"/>
  <c r="BM23" i="2"/>
  <c r="BH23" i="2"/>
  <c r="BG23" i="2"/>
  <c r="BF23" i="2"/>
  <c r="BE23" i="2"/>
  <c r="BD23" i="2"/>
  <c r="BC23" i="2"/>
  <c r="BB23" i="2"/>
  <c r="BA23" i="2"/>
  <c r="AZ23" i="2"/>
  <c r="AY23" i="2"/>
  <c r="AX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BM22" i="2"/>
  <c r="BH22" i="2"/>
  <c r="BG22" i="2"/>
  <c r="BF22" i="2"/>
  <c r="BE22" i="2"/>
  <c r="BB22" i="2"/>
  <c r="BA22" i="2"/>
  <c r="AZ22" i="2"/>
  <c r="AY22" i="2"/>
  <c r="AV22" i="2"/>
  <c r="AU22" i="2"/>
  <c r="AT22" i="2"/>
  <c r="AS22" i="2"/>
  <c r="AP22" i="2"/>
  <c r="AO22" i="2"/>
  <c r="AN22" i="2"/>
  <c r="AM22" i="2"/>
  <c r="BM21" i="2"/>
  <c r="BH21" i="2"/>
  <c r="BG21" i="2"/>
  <c r="BF21" i="2"/>
  <c r="BE21" i="2"/>
  <c r="BB21" i="2"/>
  <c r="BA21" i="2"/>
  <c r="AZ21" i="2"/>
  <c r="AY21" i="2"/>
  <c r="AV21" i="2"/>
  <c r="AU21" i="2"/>
  <c r="AT21" i="2"/>
  <c r="AS21" i="2"/>
  <c r="AP21" i="2"/>
  <c r="AO21" i="2"/>
  <c r="AN21" i="2"/>
  <c r="AM21" i="2"/>
  <c r="AJ21" i="2"/>
  <c r="AI21" i="2"/>
  <c r="AH21" i="2"/>
  <c r="AG21" i="2"/>
  <c r="BM20" i="2"/>
  <c r="BH20" i="2"/>
  <c r="BG20" i="2"/>
  <c r="BF20" i="2"/>
  <c r="BE20" i="2"/>
  <c r="BB20" i="2"/>
  <c r="BA20" i="2"/>
  <c r="AZ20" i="2"/>
  <c r="AY20" i="2"/>
  <c r="AV20" i="2"/>
  <c r="AU20" i="2"/>
  <c r="AT20" i="2"/>
  <c r="AS20" i="2"/>
  <c r="AP20" i="2"/>
  <c r="AO20" i="2"/>
  <c r="AN20" i="2"/>
  <c r="AM20" i="2"/>
  <c r="AJ20" i="2"/>
  <c r="AI20" i="2"/>
  <c r="AH20" i="2"/>
  <c r="AG20" i="2"/>
  <c r="AD20" i="2"/>
  <c r="AC20" i="2"/>
  <c r="AB20" i="2"/>
  <c r="AA20" i="2"/>
  <c r="X20" i="2"/>
  <c r="W20" i="2"/>
  <c r="V20" i="2"/>
  <c r="U20" i="2"/>
  <c r="R20" i="2"/>
  <c r="Q20" i="2"/>
  <c r="P20" i="2"/>
  <c r="O20" i="2"/>
  <c r="L20" i="2"/>
  <c r="BM19" i="2"/>
  <c r="BH19" i="2"/>
  <c r="BG19" i="2"/>
  <c r="BF19" i="2"/>
  <c r="BE19" i="2"/>
  <c r="BB19" i="2"/>
  <c r="BA19" i="2"/>
  <c r="AZ19" i="2"/>
  <c r="AY19" i="2"/>
  <c r="AV19" i="2"/>
  <c r="AU19" i="2"/>
  <c r="AT19" i="2"/>
  <c r="AS19" i="2"/>
  <c r="AP19" i="2"/>
  <c r="AO19" i="2"/>
  <c r="AN19" i="2"/>
  <c r="AM19" i="2"/>
  <c r="AJ19" i="2"/>
  <c r="AI19" i="2"/>
  <c r="AH19" i="2"/>
  <c r="AG19" i="2"/>
  <c r="AD19" i="2"/>
  <c r="AC19" i="2"/>
  <c r="AB19" i="2"/>
  <c r="AA19" i="2"/>
  <c r="X19" i="2"/>
  <c r="W19" i="2"/>
  <c r="V19" i="2"/>
  <c r="U19" i="2"/>
  <c r="R19" i="2"/>
  <c r="Q19" i="2"/>
  <c r="P19" i="2"/>
  <c r="O19" i="2"/>
  <c r="L19" i="2"/>
  <c r="BM18" i="2"/>
  <c r="BH18" i="2"/>
  <c r="BG18" i="2"/>
  <c r="BF18" i="2"/>
  <c r="BE18" i="2"/>
  <c r="BB18" i="2"/>
  <c r="BA18" i="2"/>
  <c r="AZ18" i="2"/>
  <c r="AY18" i="2"/>
  <c r="AV18" i="2"/>
  <c r="AU18" i="2"/>
  <c r="AT18" i="2"/>
  <c r="AS18" i="2"/>
  <c r="AP18" i="2"/>
  <c r="AO18" i="2"/>
  <c r="AN18" i="2"/>
  <c r="AM18" i="2"/>
  <c r="AJ18" i="2"/>
  <c r="AI18" i="2"/>
  <c r="AH18" i="2"/>
  <c r="AG18" i="2"/>
  <c r="AD18" i="2"/>
  <c r="AC18" i="2"/>
  <c r="AB18" i="2"/>
  <c r="AA18" i="2"/>
  <c r="X18" i="2"/>
  <c r="W18" i="2"/>
  <c r="V18" i="2"/>
  <c r="U18" i="2"/>
  <c r="R18" i="2"/>
  <c r="Q18" i="2"/>
  <c r="P18" i="2"/>
  <c r="O18" i="2"/>
  <c r="L18" i="2"/>
  <c r="BM17" i="2"/>
  <c r="BH17" i="2"/>
  <c r="BG17" i="2"/>
  <c r="BF17" i="2"/>
  <c r="BE17" i="2"/>
  <c r="BB17" i="2"/>
  <c r="BA17" i="2"/>
  <c r="AZ17" i="2"/>
  <c r="AY17" i="2"/>
  <c r="AV17" i="2"/>
  <c r="AU17" i="2"/>
  <c r="AT17" i="2"/>
  <c r="AS17" i="2"/>
  <c r="AP17" i="2"/>
  <c r="AO17" i="2"/>
  <c r="AN17" i="2"/>
  <c r="AM17" i="2"/>
  <c r="AJ17" i="2"/>
  <c r="AI17" i="2"/>
  <c r="AH17" i="2"/>
  <c r="AG17" i="2"/>
  <c r="AD17" i="2"/>
  <c r="AC17" i="2"/>
  <c r="AB17" i="2"/>
  <c r="AA17" i="2"/>
  <c r="X17" i="2"/>
  <c r="W17" i="2"/>
  <c r="V17" i="2"/>
  <c r="U17" i="2"/>
  <c r="R17" i="2"/>
  <c r="Q17" i="2"/>
  <c r="P17" i="2"/>
  <c r="O17" i="2"/>
  <c r="L17" i="2"/>
  <c r="BM16" i="2"/>
  <c r="BH16" i="2"/>
  <c r="BG16" i="2"/>
  <c r="BF16" i="2"/>
  <c r="BE16" i="2"/>
  <c r="BB16" i="2"/>
  <c r="BA16" i="2"/>
  <c r="AZ16" i="2"/>
  <c r="AY16" i="2"/>
  <c r="AV16" i="2"/>
  <c r="AU16" i="2"/>
  <c r="AT16" i="2"/>
  <c r="AS16" i="2"/>
  <c r="AP16" i="2"/>
  <c r="AO16" i="2"/>
  <c r="AN16" i="2"/>
  <c r="AM16" i="2"/>
  <c r="AJ16" i="2"/>
  <c r="AI16" i="2"/>
  <c r="AH16" i="2"/>
  <c r="AG16" i="2"/>
  <c r="AD16" i="2"/>
  <c r="AC16" i="2"/>
  <c r="AB16" i="2"/>
  <c r="AA16" i="2"/>
  <c r="X16" i="2"/>
  <c r="W16" i="2"/>
  <c r="V16" i="2"/>
  <c r="U16" i="2"/>
  <c r="R16" i="2"/>
  <c r="Q16" i="2"/>
  <c r="P16" i="2"/>
  <c r="O16" i="2"/>
  <c r="L16" i="2"/>
  <c r="BM15" i="2"/>
  <c r="BH15" i="2"/>
  <c r="BG15" i="2"/>
  <c r="BF15" i="2"/>
  <c r="BE15" i="2"/>
  <c r="BB15" i="2"/>
  <c r="BA15" i="2"/>
  <c r="AZ15" i="2"/>
  <c r="AY15" i="2"/>
  <c r="AV15" i="2"/>
  <c r="AU15" i="2"/>
  <c r="AT15" i="2"/>
  <c r="AS15" i="2"/>
  <c r="AP15" i="2"/>
  <c r="AO15" i="2"/>
  <c r="AN15" i="2"/>
  <c r="AM15" i="2"/>
  <c r="AJ15" i="2"/>
  <c r="AI15" i="2"/>
  <c r="AH15" i="2"/>
  <c r="AG15" i="2"/>
  <c r="AD15" i="2"/>
  <c r="AC15" i="2"/>
  <c r="AB15" i="2"/>
  <c r="AA15" i="2"/>
  <c r="X15" i="2"/>
  <c r="W15" i="2"/>
  <c r="V15" i="2"/>
  <c r="U15" i="2"/>
  <c r="R15" i="2"/>
  <c r="Q15" i="2"/>
  <c r="P15" i="2"/>
  <c r="O15" i="2"/>
  <c r="L15" i="2"/>
  <c r="BM14" i="2"/>
  <c r="BH14" i="2"/>
  <c r="BG14" i="2"/>
  <c r="BF14" i="2"/>
  <c r="BE14" i="2"/>
  <c r="BB14" i="2"/>
  <c r="BA14" i="2"/>
  <c r="AZ14" i="2"/>
  <c r="AY14" i="2"/>
  <c r="AV14" i="2"/>
  <c r="AU14" i="2"/>
  <c r="AT14" i="2"/>
  <c r="AS14" i="2"/>
  <c r="AP14" i="2"/>
  <c r="AO14" i="2"/>
  <c r="AN14" i="2"/>
  <c r="AM14" i="2"/>
  <c r="AJ14" i="2"/>
  <c r="AI14" i="2"/>
  <c r="AH14" i="2"/>
  <c r="AG14" i="2"/>
  <c r="AD14" i="2"/>
  <c r="AC14" i="2"/>
  <c r="AB14" i="2"/>
  <c r="AA14" i="2"/>
  <c r="X14" i="2"/>
  <c r="W14" i="2"/>
  <c r="V14" i="2"/>
  <c r="U14" i="2"/>
  <c r="R14" i="2"/>
  <c r="Q14" i="2"/>
  <c r="P14" i="2"/>
  <c r="O14" i="2"/>
  <c r="L14" i="2"/>
  <c r="BM13" i="2"/>
  <c r="BH13" i="2"/>
  <c r="BG13" i="2"/>
  <c r="BF13" i="2"/>
  <c r="BE13" i="2"/>
  <c r="BB13" i="2"/>
  <c r="BA13" i="2"/>
  <c r="AZ13" i="2"/>
  <c r="AY13" i="2"/>
  <c r="AV13" i="2"/>
  <c r="AU13" i="2"/>
  <c r="AT13" i="2"/>
  <c r="AS13" i="2"/>
  <c r="AP13" i="2"/>
  <c r="AO13" i="2"/>
  <c r="AN13" i="2"/>
  <c r="AM13" i="2"/>
  <c r="AJ13" i="2"/>
  <c r="AI13" i="2"/>
  <c r="AH13" i="2"/>
  <c r="AG13" i="2"/>
  <c r="AD13" i="2"/>
  <c r="AC13" i="2"/>
  <c r="AB13" i="2"/>
  <c r="AA13" i="2"/>
  <c r="X13" i="2"/>
  <c r="W13" i="2"/>
  <c r="V13" i="2"/>
  <c r="U13" i="2"/>
  <c r="R13" i="2"/>
  <c r="Q13" i="2"/>
  <c r="P13" i="2"/>
  <c r="O13" i="2"/>
  <c r="L13" i="2"/>
  <c r="BM12" i="2"/>
  <c r="BH12" i="2"/>
  <c r="BG12" i="2"/>
  <c r="BF12" i="2"/>
  <c r="BE12" i="2"/>
  <c r="BB12" i="2"/>
  <c r="BA12" i="2"/>
  <c r="AZ12" i="2"/>
  <c r="AY12" i="2"/>
  <c r="AV12" i="2"/>
  <c r="AU12" i="2"/>
  <c r="AT12" i="2"/>
  <c r="AS12" i="2"/>
  <c r="AP12" i="2"/>
  <c r="AO12" i="2"/>
  <c r="AN12" i="2"/>
  <c r="AM12" i="2"/>
  <c r="AJ12" i="2"/>
  <c r="AI12" i="2"/>
  <c r="AH12" i="2"/>
  <c r="AG12" i="2"/>
  <c r="AD12" i="2"/>
  <c r="AC12" i="2"/>
  <c r="AB12" i="2"/>
  <c r="AA12" i="2"/>
  <c r="X12" i="2"/>
  <c r="W12" i="2"/>
  <c r="V12" i="2"/>
  <c r="U12" i="2"/>
  <c r="R12" i="2"/>
  <c r="Q12" i="2"/>
  <c r="P12" i="2"/>
  <c r="O12" i="2"/>
  <c r="L12" i="2"/>
  <c r="BM11" i="2"/>
  <c r="BH11" i="2"/>
  <c r="BG11" i="2"/>
  <c r="BF11" i="2"/>
  <c r="BE11" i="2"/>
  <c r="BB11" i="2"/>
  <c r="BA11" i="2"/>
  <c r="AZ11" i="2"/>
  <c r="AY11" i="2"/>
  <c r="AV11" i="2"/>
  <c r="AU11" i="2"/>
  <c r="AT11" i="2"/>
  <c r="AS11" i="2"/>
  <c r="AP11" i="2"/>
  <c r="AO11" i="2"/>
  <c r="AN11" i="2"/>
  <c r="AM11" i="2"/>
  <c r="AJ11" i="2"/>
  <c r="AI11" i="2"/>
  <c r="AH11" i="2"/>
  <c r="AG11" i="2"/>
  <c r="AD11" i="2"/>
  <c r="AC11" i="2"/>
  <c r="AB11" i="2"/>
  <c r="AA11" i="2"/>
  <c r="X11" i="2"/>
  <c r="W11" i="2"/>
  <c r="V11" i="2"/>
  <c r="U11" i="2"/>
  <c r="R11" i="2"/>
  <c r="Q11" i="2"/>
  <c r="P11" i="2"/>
  <c r="O11" i="2"/>
  <c r="L11" i="2"/>
  <c r="BM10" i="2"/>
  <c r="BH10" i="2"/>
  <c r="BG10" i="2"/>
  <c r="BF10" i="2"/>
  <c r="BE10" i="2"/>
  <c r="BB10" i="2"/>
  <c r="BA10" i="2"/>
  <c r="AZ10" i="2"/>
  <c r="AY10" i="2"/>
  <c r="AV10" i="2"/>
  <c r="AU10" i="2"/>
  <c r="AT10" i="2"/>
  <c r="AS10" i="2"/>
  <c r="AP10" i="2"/>
  <c r="AO10" i="2"/>
  <c r="AN10" i="2"/>
  <c r="AM10" i="2"/>
  <c r="AJ10" i="2"/>
  <c r="AI10" i="2"/>
  <c r="AH10" i="2"/>
  <c r="AG10" i="2"/>
  <c r="AD10" i="2"/>
  <c r="AC10" i="2"/>
  <c r="AB10" i="2"/>
  <c r="AA10" i="2"/>
  <c r="X10" i="2"/>
  <c r="W10" i="2"/>
  <c r="V10" i="2"/>
  <c r="U10" i="2"/>
  <c r="R10" i="2"/>
  <c r="Q10" i="2"/>
  <c r="P10" i="2"/>
  <c r="O10" i="2"/>
  <c r="L10" i="2"/>
  <c r="BM9" i="2"/>
  <c r="BH9" i="2"/>
  <c r="BG9" i="2"/>
  <c r="BF9" i="2"/>
  <c r="BE9" i="2"/>
  <c r="BB9" i="2"/>
  <c r="BA9" i="2"/>
  <c r="AZ9" i="2"/>
  <c r="AY9" i="2"/>
  <c r="AV9" i="2"/>
  <c r="AU9" i="2"/>
  <c r="AT9" i="2"/>
  <c r="AS9" i="2"/>
  <c r="AP9" i="2"/>
  <c r="AO9" i="2"/>
  <c r="AN9" i="2"/>
  <c r="AM9" i="2"/>
  <c r="AJ9" i="2"/>
  <c r="AI9" i="2"/>
  <c r="AH9" i="2"/>
  <c r="AG9" i="2"/>
  <c r="AD9" i="2"/>
  <c r="AC9" i="2"/>
  <c r="AB9" i="2"/>
  <c r="AA9" i="2"/>
  <c r="X9" i="2"/>
  <c r="W9" i="2"/>
  <c r="V9" i="2"/>
  <c r="U9" i="2"/>
  <c r="R9" i="2"/>
  <c r="Q9" i="2"/>
  <c r="P9" i="2"/>
  <c r="O9" i="2"/>
  <c r="L9" i="2"/>
  <c r="BM8" i="2"/>
  <c r="BH8" i="2"/>
  <c r="BG8" i="2"/>
  <c r="BF8" i="2"/>
  <c r="BE8" i="2"/>
  <c r="BB8" i="2"/>
  <c r="BA8" i="2"/>
  <c r="AZ8" i="2"/>
  <c r="AY8" i="2"/>
  <c r="AV8" i="2"/>
  <c r="AU8" i="2"/>
  <c r="AT8" i="2"/>
  <c r="AS8" i="2"/>
  <c r="AP8" i="2"/>
  <c r="AO8" i="2"/>
  <c r="AN8" i="2"/>
  <c r="AM8" i="2"/>
  <c r="AL8" i="2"/>
  <c r="AJ8" i="2"/>
  <c r="AI8" i="2"/>
  <c r="AH8" i="2"/>
  <c r="AG8" i="2"/>
  <c r="AD8" i="2"/>
  <c r="AC8" i="2"/>
  <c r="AB8" i="2"/>
  <c r="AA8" i="2"/>
  <c r="X8" i="2"/>
  <c r="W8" i="2"/>
  <c r="V8" i="2"/>
  <c r="U8" i="2"/>
  <c r="R8" i="2"/>
  <c r="Q8" i="2"/>
  <c r="P8" i="2"/>
  <c r="O8" i="2"/>
  <c r="L8" i="2"/>
  <c r="BM7" i="2"/>
  <c r="BH7" i="2"/>
  <c r="BG7" i="2"/>
  <c r="BF7" i="2"/>
  <c r="BE7" i="2"/>
  <c r="BB7" i="2"/>
  <c r="BA7" i="2"/>
  <c r="AZ7" i="2"/>
  <c r="AY7" i="2"/>
  <c r="AV7" i="2"/>
  <c r="AU7" i="2"/>
  <c r="AT7" i="2"/>
  <c r="AS7" i="2"/>
  <c r="AP7" i="2"/>
  <c r="AO7" i="2"/>
  <c r="AN7" i="2"/>
  <c r="AM7" i="2"/>
  <c r="AL7" i="2"/>
  <c r="AJ7" i="2"/>
  <c r="AI7" i="2"/>
  <c r="AH7" i="2"/>
  <c r="AG7" i="2"/>
  <c r="AD7" i="2"/>
  <c r="AC7" i="2"/>
  <c r="AB7" i="2"/>
  <c r="AA7" i="2"/>
  <c r="X7" i="2"/>
  <c r="W7" i="2"/>
  <c r="V7" i="2"/>
  <c r="U7" i="2"/>
  <c r="R7" i="2"/>
  <c r="Q7" i="2"/>
  <c r="P7" i="2"/>
  <c r="O7" i="2"/>
  <c r="L7" i="2"/>
  <c r="BM6" i="2"/>
  <c r="BJ6" i="2"/>
  <c r="BI6" i="2"/>
  <c r="BH6" i="2"/>
  <c r="BG6" i="2"/>
  <c r="BF6" i="2"/>
  <c r="BE6" i="2"/>
  <c r="BB6" i="2"/>
  <c r="BA6" i="2"/>
  <c r="AZ6" i="2"/>
  <c r="AY6" i="2"/>
  <c r="AV6" i="2"/>
  <c r="AU6" i="2"/>
  <c r="AT6" i="2"/>
  <c r="AS6" i="2"/>
  <c r="AP6" i="2"/>
  <c r="AO6" i="2"/>
  <c r="AN6" i="2"/>
  <c r="AM6" i="2"/>
  <c r="AK6" i="2"/>
  <c r="AJ6" i="2"/>
  <c r="AI6" i="2"/>
  <c r="AH6" i="2"/>
  <c r="AG6" i="2"/>
  <c r="AD6" i="2"/>
  <c r="AC6" i="2"/>
  <c r="AB6" i="2"/>
  <c r="AA6" i="2"/>
  <c r="X6" i="2"/>
  <c r="W6" i="2"/>
  <c r="V6" i="2"/>
  <c r="U6" i="2"/>
  <c r="T6" i="2"/>
  <c r="S6" i="2"/>
  <c r="R6" i="2"/>
  <c r="Q6" i="2"/>
  <c r="P6" i="2"/>
  <c r="O6" i="2"/>
  <c r="L6" i="2"/>
  <c r="BM5" i="2"/>
  <c r="BH5" i="2"/>
  <c r="BG5" i="2"/>
  <c r="BF5" i="2"/>
  <c r="BE5" i="2"/>
  <c r="BB5" i="2"/>
  <c r="BA5" i="2"/>
  <c r="AZ5" i="2"/>
  <c r="AY5" i="2"/>
  <c r="AV5" i="2"/>
  <c r="AU5" i="2"/>
  <c r="AT5" i="2"/>
  <c r="AS5" i="2"/>
  <c r="AP5" i="2"/>
  <c r="AO5" i="2"/>
  <c r="AN5" i="2"/>
  <c r="AM5" i="2"/>
  <c r="AJ5" i="2"/>
  <c r="AI5" i="2"/>
  <c r="AH5" i="2"/>
  <c r="AG5" i="2"/>
  <c r="AD5" i="2"/>
  <c r="AC5" i="2"/>
  <c r="AB5" i="2"/>
  <c r="AA5" i="2"/>
  <c r="X5" i="2"/>
  <c r="W5" i="2"/>
  <c r="V5" i="2"/>
  <c r="U5" i="2"/>
  <c r="T5" i="2"/>
  <c r="R5" i="2"/>
  <c r="Q5" i="2"/>
  <c r="P5" i="2"/>
  <c r="O5" i="2"/>
  <c r="L5" i="2"/>
  <c r="BM4" i="2"/>
  <c r="BH4" i="2"/>
  <c r="BG4" i="2"/>
  <c r="BF4" i="2"/>
  <c r="BE4" i="2"/>
  <c r="BB4" i="2"/>
  <c r="BA4" i="2"/>
  <c r="AZ4" i="2"/>
  <c r="AY4" i="2"/>
  <c r="AV4" i="2"/>
  <c r="AU4" i="2"/>
  <c r="AT4" i="2"/>
  <c r="AS4" i="2"/>
  <c r="AP4" i="2"/>
  <c r="AO4" i="2"/>
  <c r="AN4" i="2"/>
  <c r="AM4" i="2"/>
  <c r="AJ4" i="2"/>
  <c r="AI4" i="2"/>
  <c r="AH4" i="2"/>
  <c r="AG4" i="2"/>
  <c r="AD4" i="2"/>
  <c r="AC4" i="2"/>
  <c r="AB4" i="2"/>
  <c r="AA4" i="2"/>
  <c r="X4" i="2"/>
  <c r="W4" i="2"/>
  <c r="V4" i="2"/>
  <c r="U4" i="2"/>
  <c r="R4" i="2"/>
  <c r="Q4" i="2"/>
  <c r="P4" i="2"/>
  <c r="O4" i="2"/>
  <c r="L4" i="2"/>
  <c r="BM3" i="2"/>
  <c r="BH3" i="2"/>
  <c r="BG3" i="2"/>
  <c r="BF3" i="2"/>
  <c r="BE3" i="2"/>
  <c r="BB3" i="2"/>
  <c r="BA3" i="2"/>
  <c r="AZ3" i="2"/>
  <c r="AY3" i="2"/>
  <c r="AV3" i="2"/>
  <c r="AU3" i="2"/>
  <c r="AT3" i="2"/>
  <c r="AS3" i="2"/>
  <c r="AP3" i="2"/>
  <c r="AO3" i="2"/>
  <c r="AN3" i="2"/>
  <c r="AM3" i="2"/>
  <c r="AJ3" i="2"/>
  <c r="AI3" i="2"/>
  <c r="AH3" i="2"/>
  <c r="AG3" i="2"/>
  <c r="AD3" i="2"/>
  <c r="AC3" i="2"/>
  <c r="AB3" i="2"/>
  <c r="AA3" i="2"/>
  <c r="X3" i="2"/>
  <c r="W3" i="2"/>
  <c r="V3" i="2"/>
  <c r="U3" i="2"/>
  <c r="R3" i="2"/>
  <c r="Q3" i="2"/>
  <c r="P3" i="2"/>
  <c r="O3" i="2"/>
  <c r="L3" i="2"/>
  <c r="BL49" i="1"/>
  <c r="BK49" i="1"/>
  <c r="BJ49" i="1"/>
  <c r="BI49" i="1"/>
  <c r="BC49" i="1"/>
  <c r="AW49" i="1"/>
  <c r="AR49" i="1"/>
  <c r="AS49" i="1" s="1"/>
  <c r="AQ49" i="1"/>
  <c r="AK49" i="1"/>
  <c r="AE49" i="1"/>
  <c r="Y49" i="1"/>
  <c r="T49" i="1"/>
  <c r="U49" i="1" s="1"/>
  <c r="S49" i="1"/>
  <c r="N49" i="1"/>
  <c r="M49" i="1"/>
  <c r="K49" i="1"/>
  <c r="J49" i="1"/>
  <c r="I49" i="1"/>
  <c r="BE48" i="1"/>
  <c r="AY48" i="1"/>
  <c r="AS48" i="1"/>
  <c r="AM48" i="1"/>
  <c r="AG48" i="1"/>
  <c r="AA48" i="1"/>
  <c r="W48" i="1"/>
  <c r="V48" i="1"/>
  <c r="AB48" i="1" s="1"/>
  <c r="AH48" i="1" s="1"/>
  <c r="AN48" i="1" s="1"/>
  <c r="AT48" i="1" s="1"/>
  <c r="AZ48" i="1" s="1"/>
  <c r="BF48" i="1" s="1"/>
  <c r="U48" i="1"/>
  <c r="BE47" i="1"/>
  <c r="AY47" i="1"/>
  <c r="AS47" i="1"/>
  <c r="AM47" i="1"/>
  <c r="AI47" i="1"/>
  <c r="AO47" i="1" s="1"/>
  <c r="AH47" i="1"/>
  <c r="AN47" i="1" s="1"/>
  <c r="AT47" i="1" s="1"/>
  <c r="AZ47" i="1" s="1"/>
  <c r="BF47" i="1" s="1"/>
  <c r="AG47" i="1"/>
  <c r="BE46" i="1"/>
  <c r="AY46" i="1"/>
  <c r="AS46" i="1"/>
  <c r="AN46" i="1"/>
  <c r="AT46" i="1" s="1"/>
  <c r="AZ46" i="1" s="1"/>
  <c r="BF46" i="1" s="1"/>
  <c r="AM46" i="1"/>
  <c r="AI46" i="1"/>
  <c r="AO46" i="1" s="1"/>
  <c r="AU46" i="1" s="1"/>
  <c r="AH46" i="1"/>
  <c r="AG46" i="1"/>
  <c r="BE45" i="1"/>
  <c r="AY45" i="1"/>
  <c r="AS45" i="1"/>
  <c r="AN45" i="1"/>
  <c r="AT45" i="1" s="1"/>
  <c r="AZ45" i="1" s="1"/>
  <c r="BF45" i="1" s="1"/>
  <c r="AM45" i="1"/>
  <c r="AI45" i="1"/>
  <c r="AH45" i="1"/>
  <c r="AG45" i="1"/>
  <c r="BE44" i="1"/>
  <c r="AY44" i="1"/>
  <c r="AS44" i="1"/>
  <c r="AM44" i="1"/>
  <c r="AI44" i="1"/>
  <c r="AG44" i="1"/>
  <c r="AB44" i="1"/>
  <c r="AH44" i="1" s="1"/>
  <c r="AN44" i="1" s="1"/>
  <c r="AT44" i="1" s="1"/>
  <c r="AZ44" i="1" s="1"/>
  <c r="BF44" i="1" s="1"/>
  <c r="BE43" i="1"/>
  <c r="AX43" i="1"/>
  <c r="AY43" i="1" s="1"/>
  <c r="AS43" i="1"/>
  <c r="AM43" i="1"/>
  <c r="AG43" i="1"/>
  <c r="AA43" i="1"/>
  <c r="W43" i="1"/>
  <c r="AC43" i="1" s="1"/>
  <c r="V43" i="1"/>
  <c r="AB43" i="1" s="1"/>
  <c r="AH43" i="1" s="1"/>
  <c r="AN43" i="1" s="1"/>
  <c r="AT43" i="1" s="1"/>
  <c r="AZ43" i="1" s="1"/>
  <c r="BF43" i="1" s="1"/>
  <c r="U43" i="1"/>
  <c r="BE42" i="1"/>
  <c r="AY42" i="1"/>
  <c r="AS42" i="1"/>
  <c r="AM42" i="1"/>
  <c r="AG42" i="1"/>
  <c r="AA42" i="1"/>
  <c r="W42" i="1"/>
  <c r="AC42" i="1" s="1"/>
  <c r="V42" i="1"/>
  <c r="U42" i="1"/>
  <c r="BE41" i="1"/>
  <c r="AY41" i="1"/>
  <c r="AS41" i="1"/>
  <c r="AM41" i="1"/>
  <c r="AG41" i="1"/>
  <c r="AA41" i="1"/>
  <c r="U41" i="1"/>
  <c r="Q41" i="1"/>
  <c r="P41" i="1"/>
  <c r="V41" i="1" s="1"/>
  <c r="AB41" i="1" s="1"/>
  <c r="AH41" i="1" s="1"/>
  <c r="AN41" i="1" s="1"/>
  <c r="AT41" i="1" s="1"/>
  <c r="AZ41" i="1" s="1"/>
  <c r="BF41" i="1" s="1"/>
  <c r="O41" i="1"/>
  <c r="L41" i="1"/>
  <c r="BE40" i="1"/>
  <c r="AY40" i="1"/>
  <c r="AS40" i="1"/>
  <c r="AM40" i="1"/>
  <c r="AG40" i="1"/>
  <c r="AA40" i="1"/>
  <c r="U40" i="1"/>
  <c r="Q40" i="1"/>
  <c r="P40" i="1"/>
  <c r="V40" i="1" s="1"/>
  <c r="AB40" i="1" s="1"/>
  <c r="AH40" i="1" s="1"/>
  <c r="AN40" i="1" s="1"/>
  <c r="AT40" i="1" s="1"/>
  <c r="AZ40" i="1" s="1"/>
  <c r="BF40" i="1" s="1"/>
  <c r="O40" i="1"/>
  <c r="L40" i="1"/>
  <c r="BE39" i="1"/>
  <c r="AX39" i="1"/>
  <c r="AY39" i="1" s="1"/>
  <c r="AS39" i="1"/>
  <c r="AM39" i="1"/>
  <c r="AG39" i="1"/>
  <c r="AA39" i="1"/>
  <c r="U39" i="1"/>
  <c r="P39" i="1"/>
  <c r="N39" i="1"/>
  <c r="Q39" i="1" s="1"/>
  <c r="W39" i="1" s="1"/>
  <c r="AC39" i="1" s="1"/>
  <c r="AI39" i="1" s="1"/>
  <c r="AO39" i="1" s="1"/>
  <c r="L39" i="1"/>
  <c r="BE38" i="1"/>
  <c r="AY38" i="1"/>
  <c r="AS38" i="1"/>
  <c r="AM38" i="1"/>
  <c r="AG38" i="1"/>
  <c r="AA38" i="1"/>
  <c r="U38" i="1"/>
  <c r="Q38" i="1"/>
  <c r="P38" i="1"/>
  <c r="V38" i="1" s="1"/>
  <c r="AB38" i="1" s="1"/>
  <c r="AH38" i="1" s="1"/>
  <c r="AN38" i="1" s="1"/>
  <c r="AT38" i="1" s="1"/>
  <c r="AZ38" i="1" s="1"/>
  <c r="BF38" i="1" s="1"/>
  <c r="O38" i="1"/>
  <c r="L38" i="1"/>
  <c r="BE37" i="1"/>
  <c r="AY37" i="1"/>
  <c r="AS37" i="1"/>
  <c r="AM37" i="1"/>
  <c r="AG37" i="1"/>
  <c r="AA37" i="1"/>
  <c r="U37" i="1"/>
  <c r="Q37" i="1"/>
  <c r="W37" i="1" s="1"/>
  <c r="P37" i="1"/>
  <c r="V37" i="1" s="1"/>
  <c r="AB37" i="1" s="1"/>
  <c r="AH37" i="1" s="1"/>
  <c r="AN37" i="1" s="1"/>
  <c r="AT37" i="1" s="1"/>
  <c r="AZ37" i="1" s="1"/>
  <c r="BF37" i="1" s="1"/>
  <c r="O37" i="1"/>
  <c r="L37" i="1"/>
  <c r="BE36" i="1"/>
  <c r="AY36" i="1"/>
  <c r="AS36" i="1"/>
  <c r="AM36" i="1"/>
  <c r="AG36" i="1"/>
  <c r="AA36" i="1"/>
  <c r="U36" i="1"/>
  <c r="Q36" i="1"/>
  <c r="P36" i="1"/>
  <c r="V36" i="1" s="1"/>
  <c r="AB36" i="1" s="1"/>
  <c r="AH36" i="1" s="1"/>
  <c r="AN36" i="1" s="1"/>
  <c r="AT36" i="1" s="1"/>
  <c r="AZ36" i="1" s="1"/>
  <c r="BF36" i="1" s="1"/>
  <c r="O36" i="1"/>
  <c r="L36" i="1"/>
  <c r="BE35" i="1"/>
  <c r="AY35" i="1"/>
  <c r="AS35" i="1"/>
  <c r="AM35" i="1"/>
  <c r="AG35" i="1"/>
  <c r="AA35" i="1"/>
  <c r="U35" i="1"/>
  <c r="Q35" i="1"/>
  <c r="P35" i="1"/>
  <c r="V35" i="1" s="1"/>
  <c r="AB35" i="1" s="1"/>
  <c r="AH35" i="1" s="1"/>
  <c r="AN35" i="1" s="1"/>
  <c r="AT35" i="1" s="1"/>
  <c r="AZ35" i="1" s="1"/>
  <c r="BF35" i="1" s="1"/>
  <c r="O35" i="1"/>
  <c r="L35" i="1"/>
  <c r="BD34" i="1"/>
  <c r="BE34" i="1" s="1"/>
  <c r="AY34" i="1"/>
  <c r="AS34" i="1"/>
  <c r="AL34" i="1"/>
  <c r="AM34" i="1" s="1"/>
  <c r="AF34" i="1"/>
  <c r="AF49" i="1" s="1"/>
  <c r="AG49" i="1" s="1"/>
  <c r="AA34" i="1"/>
  <c r="U34" i="1"/>
  <c r="Q34" i="1"/>
  <c r="P34" i="1"/>
  <c r="V34" i="1" s="1"/>
  <c r="AB34" i="1" s="1"/>
  <c r="AH34" i="1" s="1"/>
  <c r="AN34" i="1" s="1"/>
  <c r="AT34" i="1" s="1"/>
  <c r="AZ34" i="1" s="1"/>
  <c r="BF34" i="1" s="1"/>
  <c r="O34" i="1"/>
  <c r="L34" i="1"/>
  <c r="BE33" i="1"/>
  <c r="AY33" i="1"/>
  <c r="AS33" i="1"/>
  <c r="AM33" i="1"/>
  <c r="AG33" i="1"/>
  <c r="AA33" i="1"/>
  <c r="U33" i="1"/>
  <c r="Q33" i="1"/>
  <c r="W33" i="1" s="1"/>
  <c r="P33" i="1"/>
  <c r="O33" i="1"/>
  <c r="L33" i="1"/>
  <c r="BE32" i="1"/>
  <c r="AY32" i="1"/>
  <c r="AS32" i="1"/>
  <c r="AM32" i="1"/>
  <c r="AG32" i="1"/>
  <c r="AA32" i="1"/>
  <c r="U32" i="1"/>
  <c r="Q32" i="1"/>
  <c r="W32" i="1" s="1"/>
  <c r="P32" i="1"/>
  <c r="V32" i="1" s="1"/>
  <c r="AB32" i="1" s="1"/>
  <c r="AH32" i="1" s="1"/>
  <c r="AN32" i="1" s="1"/>
  <c r="AT32" i="1" s="1"/>
  <c r="AZ32" i="1" s="1"/>
  <c r="BF32" i="1" s="1"/>
  <c r="O32" i="1"/>
  <c r="L32" i="1"/>
  <c r="BE31" i="1"/>
  <c r="AY31" i="1"/>
  <c r="AS31" i="1"/>
  <c r="AM31" i="1"/>
  <c r="AG31" i="1"/>
  <c r="AA31" i="1"/>
  <c r="U31" i="1"/>
  <c r="Q31" i="1"/>
  <c r="P31" i="1"/>
  <c r="V31" i="1" s="1"/>
  <c r="AB31" i="1" s="1"/>
  <c r="AH31" i="1" s="1"/>
  <c r="AN31" i="1" s="1"/>
  <c r="AT31" i="1" s="1"/>
  <c r="AZ31" i="1" s="1"/>
  <c r="BF31" i="1" s="1"/>
  <c r="O31" i="1"/>
  <c r="L31" i="1"/>
  <c r="BE30" i="1"/>
  <c r="AY30" i="1"/>
  <c r="AS30" i="1"/>
  <c r="AM30" i="1"/>
  <c r="AG30" i="1"/>
  <c r="AA30" i="1"/>
  <c r="U30" i="1"/>
  <c r="Q30" i="1"/>
  <c r="P30" i="1"/>
  <c r="V30" i="1" s="1"/>
  <c r="AB30" i="1" s="1"/>
  <c r="AH30" i="1" s="1"/>
  <c r="AN30" i="1" s="1"/>
  <c r="AT30" i="1" s="1"/>
  <c r="AZ30" i="1" s="1"/>
  <c r="BF30" i="1" s="1"/>
  <c r="O30" i="1"/>
  <c r="L30" i="1"/>
  <c r="BE29" i="1"/>
  <c r="AY29" i="1"/>
  <c r="AS29" i="1"/>
  <c r="AM29" i="1"/>
  <c r="AG29" i="1"/>
  <c r="AA29" i="1"/>
  <c r="U29" i="1"/>
  <c r="Q29" i="1"/>
  <c r="P29" i="1"/>
  <c r="V29" i="1" s="1"/>
  <c r="AB29" i="1" s="1"/>
  <c r="AH29" i="1" s="1"/>
  <c r="AN29" i="1" s="1"/>
  <c r="AT29" i="1" s="1"/>
  <c r="AZ29" i="1" s="1"/>
  <c r="BF29" i="1" s="1"/>
  <c r="O29" i="1"/>
  <c r="L29" i="1"/>
  <c r="BE28" i="1"/>
  <c r="AY28" i="1"/>
  <c r="AS28" i="1"/>
  <c r="AM28" i="1"/>
  <c r="AG28" i="1"/>
  <c r="AA28" i="1"/>
  <c r="U28" i="1"/>
  <c r="Q28" i="1"/>
  <c r="W28" i="1" s="1"/>
  <c r="P28" i="1"/>
  <c r="V28" i="1" s="1"/>
  <c r="AB28" i="1" s="1"/>
  <c r="AH28" i="1" s="1"/>
  <c r="AN28" i="1" s="1"/>
  <c r="AT28" i="1" s="1"/>
  <c r="AZ28" i="1" s="1"/>
  <c r="BF28" i="1" s="1"/>
  <c r="O28" i="1"/>
  <c r="L28" i="1"/>
  <c r="BE27" i="1"/>
  <c r="AY27" i="1"/>
  <c r="AS27" i="1"/>
  <c r="AM27" i="1"/>
  <c r="AG27" i="1"/>
  <c r="AA27" i="1"/>
  <c r="U27" i="1"/>
  <c r="Q27" i="1"/>
  <c r="W27" i="1" s="1"/>
  <c r="P27" i="1"/>
  <c r="V27" i="1" s="1"/>
  <c r="AB27" i="1" s="1"/>
  <c r="AH27" i="1" s="1"/>
  <c r="AN27" i="1" s="1"/>
  <c r="AT27" i="1" s="1"/>
  <c r="AZ27" i="1" s="1"/>
  <c r="BF27" i="1" s="1"/>
  <c r="O27" i="1"/>
  <c r="L27" i="1"/>
  <c r="BE26" i="1"/>
  <c r="AY26" i="1"/>
  <c r="AS26" i="1"/>
  <c r="AM26" i="1"/>
  <c r="AG26" i="1"/>
  <c r="AA26" i="1"/>
  <c r="U26" i="1"/>
  <c r="Q26" i="1"/>
  <c r="P26" i="1"/>
  <c r="V26" i="1" s="1"/>
  <c r="AB26" i="1" s="1"/>
  <c r="AH26" i="1" s="1"/>
  <c r="AN26" i="1" s="1"/>
  <c r="AT26" i="1" s="1"/>
  <c r="AZ26" i="1" s="1"/>
  <c r="BF26" i="1" s="1"/>
  <c r="O26" i="1"/>
  <c r="L26" i="1"/>
  <c r="BE25" i="1"/>
  <c r="AY25" i="1"/>
  <c r="AS25" i="1"/>
  <c r="AM25" i="1"/>
  <c r="AG25" i="1"/>
  <c r="AA25" i="1"/>
  <c r="U25" i="1"/>
  <c r="Q25" i="1"/>
  <c r="P25" i="1"/>
  <c r="V25" i="1" s="1"/>
  <c r="AB25" i="1" s="1"/>
  <c r="AH25" i="1" s="1"/>
  <c r="AN25" i="1" s="1"/>
  <c r="AT25" i="1" s="1"/>
  <c r="AZ25" i="1" s="1"/>
  <c r="BF25" i="1" s="1"/>
  <c r="O25" i="1"/>
  <c r="L25" i="1"/>
  <c r="BE24" i="1"/>
  <c r="AY24" i="1"/>
  <c r="AS24" i="1"/>
  <c r="AM24" i="1"/>
  <c r="AG24" i="1"/>
  <c r="AA24" i="1"/>
  <c r="U24" i="1"/>
  <c r="Q24" i="1"/>
  <c r="W24" i="1" s="1"/>
  <c r="P24" i="1"/>
  <c r="V24" i="1" s="1"/>
  <c r="AB24" i="1" s="1"/>
  <c r="AH24" i="1" s="1"/>
  <c r="AN24" i="1" s="1"/>
  <c r="AT24" i="1" s="1"/>
  <c r="AZ24" i="1" s="1"/>
  <c r="BF24" i="1" s="1"/>
  <c r="O24" i="1"/>
  <c r="L24" i="1"/>
  <c r="BE23" i="1"/>
  <c r="AY23" i="1"/>
  <c r="AS23" i="1"/>
  <c r="AM23" i="1"/>
  <c r="AG23" i="1"/>
  <c r="AA23" i="1"/>
  <c r="U23" i="1"/>
  <c r="Q23" i="1"/>
  <c r="P23" i="1"/>
  <c r="V23" i="1" s="1"/>
  <c r="AB23" i="1" s="1"/>
  <c r="AH23" i="1" s="1"/>
  <c r="AN23" i="1" s="1"/>
  <c r="AT23" i="1" s="1"/>
  <c r="AZ23" i="1" s="1"/>
  <c r="BF23" i="1" s="1"/>
  <c r="O23" i="1"/>
  <c r="L23" i="1"/>
  <c r="BE22" i="1"/>
  <c r="AY22" i="1"/>
  <c r="AS22" i="1"/>
  <c r="AM22" i="1"/>
  <c r="AG22" i="1"/>
  <c r="AA22" i="1"/>
  <c r="U22" i="1"/>
  <c r="P22" i="1"/>
  <c r="V22" i="1" s="1"/>
  <c r="AB22" i="1" s="1"/>
  <c r="AH22" i="1" s="1"/>
  <c r="AN22" i="1" s="1"/>
  <c r="AT22" i="1" s="1"/>
  <c r="AZ22" i="1" s="1"/>
  <c r="BF22" i="1" s="1"/>
  <c r="N22" i="1"/>
  <c r="O22" i="1" s="1"/>
  <c r="L22" i="1"/>
  <c r="BE21" i="1"/>
  <c r="AX21" i="1"/>
  <c r="AY21" i="1" s="1"/>
  <c r="AS21" i="1"/>
  <c r="AM21" i="1"/>
  <c r="AG21" i="1"/>
  <c r="AA21" i="1"/>
  <c r="U21" i="1"/>
  <c r="Q21" i="1"/>
  <c r="W21" i="1" s="1"/>
  <c r="P21" i="1"/>
  <c r="V21" i="1" s="1"/>
  <c r="AB21" i="1" s="1"/>
  <c r="AH21" i="1" s="1"/>
  <c r="AN21" i="1" s="1"/>
  <c r="AT21" i="1" s="1"/>
  <c r="AZ21" i="1" s="1"/>
  <c r="BF21" i="1" s="1"/>
  <c r="O21" i="1"/>
  <c r="L21" i="1"/>
  <c r="BE20" i="1"/>
  <c r="AY20" i="1"/>
  <c r="AS20" i="1"/>
  <c r="AM20" i="1"/>
  <c r="AG20" i="1"/>
  <c r="AA20" i="1"/>
  <c r="U20" i="1"/>
  <c r="Q20" i="1"/>
  <c r="P20" i="1"/>
  <c r="V20" i="1" s="1"/>
  <c r="AB20" i="1" s="1"/>
  <c r="AH20" i="1" s="1"/>
  <c r="AN20" i="1" s="1"/>
  <c r="AT20" i="1" s="1"/>
  <c r="AZ20" i="1" s="1"/>
  <c r="BF20" i="1" s="1"/>
  <c r="O20" i="1"/>
  <c r="L20" i="1"/>
  <c r="BE19" i="1"/>
  <c r="AY19" i="1"/>
  <c r="AS19" i="1"/>
  <c r="AM19" i="1"/>
  <c r="AG19" i="1"/>
  <c r="AA19" i="1"/>
  <c r="U19" i="1"/>
  <c r="Q19" i="1"/>
  <c r="P19" i="1"/>
  <c r="V19" i="1" s="1"/>
  <c r="AB19" i="1" s="1"/>
  <c r="AH19" i="1" s="1"/>
  <c r="AN19" i="1" s="1"/>
  <c r="AT19" i="1" s="1"/>
  <c r="AZ19" i="1" s="1"/>
  <c r="BF19" i="1" s="1"/>
  <c r="O19" i="1"/>
  <c r="L19" i="1"/>
  <c r="BE18" i="1"/>
  <c r="AY18" i="1"/>
  <c r="AS18" i="1"/>
  <c r="AM18" i="1"/>
  <c r="AG18" i="1"/>
  <c r="AA18" i="1"/>
  <c r="U18" i="1"/>
  <c r="Q18" i="1"/>
  <c r="W18" i="1" s="1"/>
  <c r="AC18" i="1" s="1"/>
  <c r="AI18" i="1" s="1"/>
  <c r="P18" i="1"/>
  <c r="V18" i="1" s="1"/>
  <c r="AB18" i="1" s="1"/>
  <c r="AH18" i="1" s="1"/>
  <c r="AN18" i="1" s="1"/>
  <c r="AT18" i="1" s="1"/>
  <c r="AZ18" i="1" s="1"/>
  <c r="BF18" i="1" s="1"/>
  <c r="O18" i="1"/>
  <c r="L18" i="1"/>
  <c r="BE17" i="1"/>
  <c r="AY17" i="1"/>
  <c r="AS17" i="1"/>
  <c r="AM17" i="1"/>
  <c r="AG17" i="1"/>
  <c r="AA17" i="1"/>
  <c r="U17" i="1"/>
  <c r="Q17" i="1"/>
  <c r="W17" i="1" s="1"/>
  <c r="AC17" i="1" s="1"/>
  <c r="P17" i="1"/>
  <c r="V17" i="1" s="1"/>
  <c r="O17" i="1"/>
  <c r="L17" i="1"/>
  <c r="BE16" i="1"/>
  <c r="AY16" i="1"/>
  <c r="AS16" i="1"/>
  <c r="AM16" i="1"/>
  <c r="AG16" i="1"/>
  <c r="AA16" i="1"/>
  <c r="U16" i="1"/>
  <c r="Q16" i="1"/>
  <c r="P16" i="1"/>
  <c r="V16" i="1" s="1"/>
  <c r="AB16" i="1" s="1"/>
  <c r="AH16" i="1" s="1"/>
  <c r="AN16" i="1" s="1"/>
  <c r="AT16" i="1" s="1"/>
  <c r="AZ16" i="1" s="1"/>
  <c r="BF16" i="1" s="1"/>
  <c r="O16" i="1"/>
  <c r="L16" i="1"/>
  <c r="BE15" i="1"/>
  <c r="AY15" i="1"/>
  <c r="AS15" i="1"/>
  <c r="AM15" i="1"/>
  <c r="AG15" i="1"/>
  <c r="AA15" i="1"/>
  <c r="U15" i="1"/>
  <c r="Q15" i="1"/>
  <c r="W15" i="1" s="1"/>
  <c r="AC15" i="1" s="1"/>
  <c r="P15" i="1"/>
  <c r="V15" i="1" s="1"/>
  <c r="AB15" i="1" s="1"/>
  <c r="AH15" i="1" s="1"/>
  <c r="AN15" i="1" s="1"/>
  <c r="AT15" i="1" s="1"/>
  <c r="AZ15" i="1" s="1"/>
  <c r="BF15" i="1" s="1"/>
  <c r="O15" i="1"/>
  <c r="L15" i="1"/>
  <c r="BE14" i="1"/>
  <c r="AY14" i="1"/>
  <c r="AS14" i="1"/>
  <c r="AM14" i="1"/>
  <c r="AG14" i="1"/>
  <c r="AA14" i="1"/>
  <c r="U14" i="1"/>
  <c r="Q14" i="1"/>
  <c r="P14" i="1"/>
  <c r="V14" i="1" s="1"/>
  <c r="AB14" i="1" s="1"/>
  <c r="AH14" i="1" s="1"/>
  <c r="AN14" i="1" s="1"/>
  <c r="AT14" i="1" s="1"/>
  <c r="AZ14" i="1" s="1"/>
  <c r="BF14" i="1" s="1"/>
  <c r="O14" i="1"/>
  <c r="L14" i="1"/>
  <c r="BE13" i="1"/>
  <c r="AY13" i="1"/>
  <c r="AS13" i="1"/>
  <c r="AM13" i="1"/>
  <c r="AG13" i="1"/>
  <c r="AA13" i="1"/>
  <c r="U13" i="1"/>
  <c r="Q13" i="1"/>
  <c r="W13" i="1" s="1"/>
  <c r="AC13" i="1" s="1"/>
  <c r="P13" i="1"/>
  <c r="V13" i="1" s="1"/>
  <c r="O13" i="1"/>
  <c r="L13" i="1"/>
  <c r="BO12" i="1"/>
  <c r="BE12" i="1"/>
  <c r="AY12" i="1"/>
  <c r="AS12" i="1"/>
  <c r="AM12" i="1"/>
  <c r="AG12" i="1"/>
  <c r="Z12" i="1"/>
  <c r="AA12" i="1" s="1"/>
  <c r="V12" i="1"/>
  <c r="AB12" i="1" s="1"/>
  <c r="AH12" i="1" s="1"/>
  <c r="AN12" i="1" s="1"/>
  <c r="AT12" i="1" s="1"/>
  <c r="AZ12" i="1" s="1"/>
  <c r="BF12" i="1" s="1"/>
  <c r="T12" i="1"/>
  <c r="U12" i="1" s="1"/>
  <c r="Q12" i="1"/>
  <c r="P12" i="1"/>
  <c r="O12" i="1"/>
  <c r="L12" i="1"/>
  <c r="BE11" i="1"/>
  <c r="AY11" i="1"/>
  <c r="AS11" i="1"/>
  <c r="AM11" i="1"/>
  <c r="AG11" i="1"/>
  <c r="AA11" i="1"/>
  <c r="U11" i="1"/>
  <c r="Q11" i="1"/>
  <c r="W11" i="1" s="1"/>
  <c r="P11" i="1"/>
  <c r="V11" i="1" s="1"/>
  <c r="AB11" i="1" s="1"/>
  <c r="AH11" i="1" s="1"/>
  <c r="AN11" i="1" s="1"/>
  <c r="AT11" i="1" s="1"/>
  <c r="AZ11" i="1" s="1"/>
  <c r="BF11" i="1" s="1"/>
  <c r="O11" i="1"/>
  <c r="L11" i="1"/>
  <c r="BE10" i="1"/>
  <c r="AY10" i="1"/>
  <c r="AS10" i="1"/>
  <c r="AM10" i="1"/>
  <c r="AG10" i="1"/>
  <c r="AA10" i="1"/>
  <c r="U10" i="1"/>
  <c r="Q10" i="1"/>
  <c r="W10" i="1" s="1"/>
  <c r="AC10" i="1" s="1"/>
  <c r="P10" i="1"/>
  <c r="V10" i="1" s="1"/>
  <c r="AB10" i="1" s="1"/>
  <c r="AH10" i="1" s="1"/>
  <c r="AN10" i="1" s="1"/>
  <c r="AT10" i="1" s="1"/>
  <c r="AZ10" i="1" s="1"/>
  <c r="BF10" i="1" s="1"/>
  <c r="O10" i="1"/>
  <c r="L10" i="1"/>
  <c r="BE9" i="1"/>
  <c r="AY9" i="1"/>
  <c r="AS9" i="1"/>
  <c r="AM9" i="1"/>
  <c r="AG9" i="1"/>
  <c r="AA9" i="1"/>
  <c r="U9" i="1"/>
  <c r="Q9" i="1"/>
  <c r="P9" i="1"/>
  <c r="V9" i="1" s="1"/>
  <c r="AB9" i="1" s="1"/>
  <c r="AH9" i="1" s="1"/>
  <c r="AN9" i="1" s="1"/>
  <c r="AT9" i="1" s="1"/>
  <c r="AZ9" i="1" s="1"/>
  <c r="BF9" i="1" s="1"/>
  <c r="O9" i="1"/>
  <c r="L9" i="1"/>
  <c r="BE8" i="1"/>
  <c r="AY8" i="1"/>
  <c r="AS8" i="1"/>
  <c r="AM8" i="1"/>
  <c r="AG8" i="1"/>
  <c r="AA8" i="1"/>
  <c r="U8" i="1"/>
  <c r="Q8" i="1"/>
  <c r="W8" i="1" s="1"/>
  <c r="AC8" i="1" s="1"/>
  <c r="AI8" i="1" s="1"/>
  <c r="P8" i="1"/>
  <c r="O8" i="1"/>
  <c r="L8" i="1"/>
  <c r="BE7" i="1"/>
  <c r="AY7" i="1"/>
  <c r="AS7" i="1"/>
  <c r="AM7" i="1"/>
  <c r="AG7" i="1"/>
  <c r="AB7" i="1"/>
  <c r="AH7" i="1" s="1"/>
  <c r="AN7" i="1" s="1"/>
  <c r="AT7" i="1" s="1"/>
  <c r="AZ7" i="1" s="1"/>
  <c r="BF7" i="1" s="1"/>
  <c r="AA7" i="1"/>
  <c r="U7" i="1"/>
  <c r="Q7" i="1"/>
  <c r="W7" i="1" s="1"/>
  <c r="AC7" i="1" s="1"/>
  <c r="AI7" i="1" s="1"/>
  <c r="AO7" i="1" s="1"/>
  <c r="P7" i="1"/>
  <c r="V7" i="1" s="1"/>
  <c r="O7" i="1"/>
  <c r="L7" i="1"/>
  <c r="BE6" i="1"/>
  <c r="AY6" i="1"/>
  <c r="AS6" i="1"/>
  <c r="AM6" i="1"/>
  <c r="AG6" i="1"/>
  <c r="AA6" i="1"/>
  <c r="T6" i="1"/>
  <c r="U6" i="1" s="1"/>
  <c r="P6" i="1"/>
  <c r="V6" i="1" s="1"/>
  <c r="AB6" i="1" s="1"/>
  <c r="AH6" i="1" s="1"/>
  <c r="AN6" i="1" s="1"/>
  <c r="AT6" i="1" s="1"/>
  <c r="AZ6" i="1" s="1"/>
  <c r="BF6" i="1" s="1"/>
  <c r="N6" i="1"/>
  <c r="Q6" i="1" s="1"/>
  <c r="L6" i="1"/>
  <c r="BE5" i="1"/>
  <c r="AY5" i="1"/>
  <c r="AS5" i="1"/>
  <c r="AM5" i="1"/>
  <c r="AG5" i="1"/>
  <c r="AA5" i="1"/>
  <c r="U5" i="1"/>
  <c r="Q5" i="1"/>
  <c r="W5" i="1" s="1"/>
  <c r="AC5" i="1" s="1"/>
  <c r="AI5" i="1" s="1"/>
  <c r="AO5" i="1" s="1"/>
  <c r="AU5" i="1" s="1"/>
  <c r="BA5" i="1" s="1"/>
  <c r="BG5" i="1" s="1"/>
  <c r="BM5" i="1" s="1"/>
  <c r="P5" i="1"/>
  <c r="O5" i="1"/>
  <c r="L5" i="1"/>
  <c r="BE4" i="1"/>
  <c r="AY4" i="1"/>
  <c r="AS4" i="1"/>
  <c r="AM4" i="1"/>
  <c r="AG4" i="1"/>
  <c r="AA4" i="1"/>
  <c r="W4" i="1"/>
  <c r="AC4" i="1" s="1"/>
  <c r="U4" i="1"/>
  <c r="Q4" i="1"/>
  <c r="P4" i="1"/>
  <c r="V4" i="1" s="1"/>
  <c r="AB4" i="1" s="1"/>
  <c r="AH4" i="1" s="1"/>
  <c r="AN4" i="1" s="1"/>
  <c r="AT4" i="1" s="1"/>
  <c r="AZ4" i="1" s="1"/>
  <c r="BF4" i="1" s="1"/>
  <c r="O4" i="1"/>
  <c r="L4" i="1"/>
  <c r="BO3" i="1"/>
  <c r="BE3" i="1"/>
  <c r="AY3" i="1"/>
  <c r="AS3" i="1"/>
  <c r="AM3" i="1"/>
  <c r="AG3" i="1"/>
  <c r="Z3" i="1"/>
  <c r="AA3" i="1" s="1"/>
  <c r="U3" i="1"/>
  <c r="Q3" i="1"/>
  <c r="P3" i="1"/>
  <c r="O3" i="1"/>
  <c r="L3" i="1"/>
  <c r="AY16" i="15"/>
  <c r="AV16" i="15"/>
  <c r="AS16" i="15"/>
  <c r="AP16" i="15"/>
  <c r="AM16" i="15"/>
  <c r="AJ16" i="15"/>
  <c r="AG16" i="15"/>
  <c r="AD16" i="15"/>
  <c r="AA16" i="15"/>
  <c r="X16" i="15"/>
  <c r="U16" i="15"/>
  <c r="R16" i="15"/>
  <c r="O16" i="15"/>
  <c r="L16" i="15"/>
  <c r="I16" i="15"/>
  <c r="F16" i="15"/>
  <c r="AZ13" i="15"/>
  <c r="AY13" i="15"/>
  <c r="AX13" i="15"/>
  <c r="AW13" i="15"/>
  <c r="AV13" i="15"/>
  <c r="AU13" i="15"/>
  <c r="AT13" i="15"/>
  <c r="AS13" i="15"/>
  <c r="AR13" i="15"/>
  <c r="AQ13" i="15"/>
  <c r="AP13" i="15"/>
  <c r="AO13" i="15"/>
  <c r="AN13" i="15"/>
  <c r="AM13" i="15"/>
  <c r="AL13" i="15"/>
  <c r="AK13" i="15"/>
  <c r="AJ13" i="15"/>
  <c r="AI13" i="15"/>
  <c r="AH13" i="15"/>
  <c r="AG13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AZ12" i="15"/>
  <c r="AY12" i="15"/>
  <c r="AV12" i="15"/>
  <c r="AS12" i="15"/>
  <c r="AP12" i="15"/>
  <c r="AM12" i="15"/>
  <c r="AJ12" i="15"/>
  <c r="AG12" i="15"/>
  <c r="AD12" i="15"/>
  <c r="AA12" i="15"/>
  <c r="X12" i="15"/>
  <c r="U12" i="15"/>
  <c r="R12" i="15"/>
  <c r="O12" i="15"/>
  <c r="L12" i="15"/>
  <c r="I12" i="15"/>
  <c r="F12" i="15"/>
  <c r="AZ11" i="15"/>
  <c r="AY11" i="15"/>
  <c r="AV11" i="15"/>
  <c r="AS11" i="15"/>
  <c r="AP11" i="15"/>
  <c r="AM11" i="15"/>
  <c r="AJ11" i="15"/>
  <c r="AG11" i="15"/>
  <c r="AD11" i="15"/>
  <c r="AA11" i="15"/>
  <c r="X11" i="15"/>
  <c r="U11" i="15"/>
  <c r="R11" i="15"/>
  <c r="O11" i="15"/>
  <c r="L11" i="15"/>
  <c r="I11" i="15"/>
  <c r="F11" i="15"/>
  <c r="AZ10" i="15"/>
  <c r="AY10" i="15"/>
  <c r="AX10" i="15"/>
  <c r="AW10" i="15"/>
  <c r="AV10" i="15"/>
  <c r="AU10" i="15"/>
  <c r="AT10" i="15"/>
  <c r="AS10" i="15"/>
  <c r="AR10" i="15"/>
  <c r="AQ10" i="15"/>
  <c r="AP10" i="15"/>
  <c r="AO10" i="15"/>
  <c r="AN10" i="15"/>
  <c r="AM10" i="15"/>
  <c r="AL10" i="15"/>
  <c r="AK10" i="15"/>
  <c r="AJ10" i="15"/>
  <c r="AI10" i="15"/>
  <c r="AH10" i="15"/>
  <c r="AG10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AZ9" i="15"/>
  <c r="AY9" i="15"/>
  <c r="AV9" i="15"/>
  <c r="AS9" i="15"/>
  <c r="AP9" i="15"/>
  <c r="AM9" i="15"/>
  <c r="AJ9" i="15"/>
  <c r="AG9" i="15"/>
  <c r="AD9" i="15"/>
  <c r="AA9" i="15"/>
  <c r="X9" i="15"/>
  <c r="U9" i="15"/>
  <c r="R9" i="15"/>
  <c r="O9" i="15"/>
  <c r="L9" i="15"/>
  <c r="I9" i="15"/>
  <c r="F9" i="15"/>
  <c r="AZ8" i="15"/>
  <c r="AY8" i="15"/>
  <c r="AV8" i="15"/>
  <c r="AS8" i="15"/>
  <c r="AP8" i="15"/>
  <c r="AM8" i="15"/>
  <c r="AJ8" i="15"/>
  <c r="AG8" i="15"/>
  <c r="AD8" i="15"/>
  <c r="AA8" i="15"/>
  <c r="X8" i="15"/>
  <c r="U8" i="15"/>
  <c r="R8" i="15"/>
  <c r="O8" i="15"/>
  <c r="L8" i="15"/>
  <c r="I8" i="15"/>
  <c r="F8" i="15"/>
  <c r="AZ7" i="15"/>
  <c r="AY7" i="15"/>
  <c r="AX7" i="15"/>
  <c r="AW7" i="15"/>
  <c r="AV7" i="15"/>
  <c r="AU7" i="15"/>
  <c r="AT7" i="15"/>
  <c r="AS7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AZ6" i="15"/>
  <c r="AY6" i="15"/>
  <c r="AV6" i="15"/>
  <c r="AS6" i="15"/>
  <c r="AP6" i="15"/>
  <c r="AM6" i="15"/>
  <c r="AJ6" i="15"/>
  <c r="AG6" i="15"/>
  <c r="AD6" i="15"/>
  <c r="AA6" i="15"/>
  <c r="X6" i="15"/>
  <c r="U6" i="15"/>
  <c r="R6" i="15"/>
  <c r="O6" i="15"/>
  <c r="L6" i="15"/>
  <c r="I6" i="15"/>
  <c r="F6" i="15"/>
  <c r="AZ5" i="15"/>
  <c r="AY5" i="15"/>
  <c r="AV5" i="15"/>
  <c r="AS5" i="15"/>
  <c r="AP5" i="15"/>
  <c r="AM5" i="15"/>
  <c r="AJ5" i="15"/>
  <c r="AG5" i="15"/>
  <c r="AD5" i="15"/>
  <c r="AA5" i="15"/>
  <c r="X5" i="15"/>
  <c r="U5" i="15"/>
  <c r="R5" i="15"/>
  <c r="O5" i="15"/>
  <c r="L5" i="15"/>
  <c r="I5" i="15"/>
  <c r="F5" i="15"/>
  <c r="AZ4" i="15"/>
  <c r="AY4" i="15"/>
  <c r="AV4" i="15"/>
  <c r="AS4" i="15"/>
  <c r="AP4" i="15"/>
  <c r="AM4" i="15"/>
  <c r="AJ4" i="15"/>
  <c r="AG4" i="15"/>
  <c r="AD4" i="15"/>
  <c r="AA4" i="15"/>
  <c r="X4" i="15"/>
  <c r="U4" i="15"/>
  <c r="R4" i="15"/>
  <c r="O4" i="15"/>
  <c r="L4" i="15"/>
  <c r="I4" i="15"/>
  <c r="F4" i="15"/>
  <c r="AZ3" i="15"/>
  <c r="AY3" i="15"/>
  <c r="AV3" i="15"/>
  <c r="AS3" i="15"/>
  <c r="AP3" i="15"/>
  <c r="AM3" i="15"/>
  <c r="AJ3" i="15"/>
  <c r="AG3" i="15"/>
  <c r="AD3" i="15"/>
  <c r="AA3" i="15"/>
  <c r="X3" i="15"/>
  <c r="U3" i="15"/>
  <c r="R3" i="15"/>
  <c r="O3" i="15"/>
  <c r="L3" i="15"/>
  <c r="I3" i="15"/>
  <c r="F3" i="15"/>
  <c r="R16" i="1" l="1"/>
  <c r="O39" i="1"/>
  <c r="O49" i="1"/>
  <c r="R20" i="1"/>
  <c r="R23" i="1"/>
  <c r="W12" i="1"/>
  <c r="X12" i="1" s="1"/>
  <c r="R37" i="1"/>
  <c r="BD49" i="1"/>
  <c r="BE49" i="1" s="1"/>
  <c r="R19" i="1"/>
  <c r="R36" i="1"/>
  <c r="R17" i="1"/>
  <c r="X48" i="1"/>
  <c r="R40" i="1"/>
  <c r="AD15" i="1"/>
  <c r="AI15" i="1"/>
  <c r="AO15" i="1" s="1"/>
  <c r="R29" i="1"/>
  <c r="W40" i="1"/>
  <c r="X40" i="1" s="1"/>
  <c r="X43" i="1"/>
  <c r="R13" i="1"/>
  <c r="W19" i="1"/>
  <c r="AC19" i="1" s="1"/>
  <c r="AI19" i="1" s="1"/>
  <c r="AO19" i="1" s="1"/>
  <c r="AU19" i="1" s="1"/>
  <c r="AV19" i="1" s="1"/>
  <c r="W20" i="1"/>
  <c r="AC20" i="1" s="1"/>
  <c r="Q22" i="1"/>
  <c r="AC48" i="1"/>
  <c r="AI48" i="1" s="1"/>
  <c r="L49" i="1"/>
  <c r="Z49" i="1"/>
  <c r="AA49" i="1" s="1"/>
  <c r="AX49" i="1"/>
  <c r="AY49" i="1" s="1"/>
  <c r="X21" i="1"/>
  <c r="R15" i="1"/>
  <c r="AJ46" i="1"/>
  <c r="O6" i="1"/>
  <c r="R11" i="1"/>
  <c r="R25" i="1"/>
  <c r="AG34" i="1"/>
  <c r="R14" i="1"/>
  <c r="W23" i="1"/>
  <c r="AC23" i="1" s="1"/>
  <c r="AI23" i="1" s="1"/>
  <c r="AJ23" i="1" s="1"/>
  <c r="AJ47" i="1"/>
  <c r="AL49" i="1"/>
  <c r="AM49" i="1" s="1"/>
  <c r="W16" i="1"/>
  <c r="AC16" i="1" s="1"/>
  <c r="R18" i="1"/>
  <c r="AC21" i="1"/>
  <c r="AI21" i="1" s="1"/>
  <c r="W29" i="1"/>
  <c r="AC29" i="1" s="1"/>
  <c r="AD29" i="1" s="1"/>
  <c r="R32" i="1"/>
  <c r="W36" i="1"/>
  <c r="X36" i="1" s="1"/>
  <c r="W14" i="1"/>
  <c r="AC14" i="1" s="1"/>
  <c r="AD14" i="1" s="1"/>
  <c r="AU7" i="1"/>
  <c r="AP7" i="1"/>
  <c r="AI13" i="1"/>
  <c r="X11" i="1"/>
  <c r="AC11" i="1"/>
  <c r="X24" i="1"/>
  <c r="AC24" i="1"/>
  <c r="AI10" i="1"/>
  <c r="AD10" i="1"/>
  <c r="AB17" i="1"/>
  <c r="AH17" i="1" s="1"/>
  <c r="AN17" i="1" s="1"/>
  <c r="AT17" i="1" s="1"/>
  <c r="AZ17" i="1" s="1"/>
  <c r="BF17" i="1" s="1"/>
  <c r="X17" i="1"/>
  <c r="AO18" i="1"/>
  <c r="AJ18" i="1"/>
  <c r="V8" i="1"/>
  <c r="R8" i="1"/>
  <c r="AD7" i="1"/>
  <c r="V5" i="1"/>
  <c r="R5" i="1"/>
  <c r="AD4" i="1"/>
  <c r="AI4" i="1"/>
  <c r="AO8" i="1"/>
  <c r="W9" i="1"/>
  <c r="R9" i="1"/>
  <c r="AD18" i="1"/>
  <c r="AJ7" i="1"/>
  <c r="P49" i="1"/>
  <c r="V3" i="1"/>
  <c r="X18" i="1"/>
  <c r="W6" i="1"/>
  <c r="R6" i="1"/>
  <c r="X4" i="1"/>
  <c r="X7" i="1"/>
  <c r="X10" i="1"/>
  <c r="AB13" i="1"/>
  <c r="AH13" i="1" s="1"/>
  <c r="AN13" i="1" s="1"/>
  <c r="AT13" i="1" s="1"/>
  <c r="AZ13" i="1" s="1"/>
  <c r="BF13" i="1" s="1"/>
  <c r="X13" i="1"/>
  <c r="Q49" i="1"/>
  <c r="W3" i="1"/>
  <c r="R3" i="1"/>
  <c r="R7" i="1"/>
  <c r="AC12" i="1"/>
  <c r="AI17" i="1"/>
  <c r="R33" i="1"/>
  <c r="V33" i="1"/>
  <c r="AB33" i="1" s="1"/>
  <c r="AH33" i="1" s="1"/>
  <c r="AN33" i="1" s="1"/>
  <c r="AT33" i="1" s="1"/>
  <c r="AZ33" i="1" s="1"/>
  <c r="BF33" i="1" s="1"/>
  <c r="AD43" i="1"/>
  <c r="AI43" i="1"/>
  <c r="X27" i="1"/>
  <c r="AC27" i="1"/>
  <c r="AC28" i="1"/>
  <c r="X28" i="1"/>
  <c r="W41" i="1"/>
  <c r="R41" i="1"/>
  <c r="R27" i="1"/>
  <c r="AU47" i="1"/>
  <c r="AP47" i="1"/>
  <c r="W25" i="1"/>
  <c r="AC33" i="1"/>
  <c r="R10" i="1"/>
  <c r="X15" i="1"/>
  <c r="R21" i="1"/>
  <c r="R24" i="1"/>
  <c r="AU39" i="1"/>
  <c r="AO44" i="1"/>
  <c r="AJ44" i="1"/>
  <c r="AJ19" i="1"/>
  <c r="R4" i="1"/>
  <c r="W26" i="1"/>
  <c r="R26" i="1"/>
  <c r="W31" i="1"/>
  <c r="R31" i="1"/>
  <c r="AB42" i="1"/>
  <c r="AH42" i="1" s="1"/>
  <c r="AN42" i="1" s="1"/>
  <c r="AT42" i="1" s="1"/>
  <c r="AZ42" i="1" s="1"/>
  <c r="BF42" i="1" s="1"/>
  <c r="X42" i="1"/>
  <c r="R12" i="1"/>
  <c r="R28" i="1"/>
  <c r="X37" i="1"/>
  <c r="AC37" i="1"/>
  <c r="R39" i="1"/>
  <c r="V39" i="1"/>
  <c r="AB39" i="1" s="1"/>
  <c r="AH39" i="1" s="1"/>
  <c r="AN39" i="1" s="1"/>
  <c r="AT39" i="1" s="1"/>
  <c r="AZ39" i="1" s="1"/>
  <c r="BF39" i="1" s="1"/>
  <c r="AJ45" i="1"/>
  <c r="AO45" i="1"/>
  <c r="BA46" i="1"/>
  <c r="AV46" i="1"/>
  <c r="W34" i="1"/>
  <c r="R34" i="1"/>
  <c r="R35" i="1"/>
  <c r="W35" i="1"/>
  <c r="AI42" i="1"/>
  <c r="W38" i="1"/>
  <c r="R38" i="1"/>
  <c r="W30" i="1"/>
  <c r="R30" i="1"/>
  <c r="AC32" i="1"/>
  <c r="X32" i="1"/>
  <c r="AP46" i="1"/>
  <c r="R130" i="69"/>
  <c r="BE190" i="69"/>
  <c r="AD304" i="69"/>
  <c r="Q81" i="69"/>
  <c r="R118" i="69"/>
  <c r="AD25" i="69"/>
  <c r="W58" i="69"/>
  <c r="R60" i="69"/>
  <c r="AY190" i="69"/>
  <c r="R220" i="69"/>
  <c r="R353" i="69"/>
  <c r="U58" i="69"/>
  <c r="R92" i="69"/>
  <c r="AG190" i="69"/>
  <c r="R134" i="69"/>
  <c r="R55" i="69"/>
  <c r="T75" i="69"/>
  <c r="U75" i="69" s="1"/>
  <c r="R219" i="69"/>
  <c r="R272" i="69"/>
  <c r="AV289" i="69"/>
  <c r="V58" i="69"/>
  <c r="AB58" i="69" s="1"/>
  <c r="AH58" i="69" s="1"/>
  <c r="R201" i="69"/>
  <c r="X44" i="69"/>
  <c r="R88" i="69"/>
  <c r="U190" i="69"/>
  <c r="R144" i="69"/>
  <c r="R160" i="69"/>
  <c r="BH187" i="69"/>
  <c r="R18" i="69"/>
  <c r="W92" i="69"/>
  <c r="AC92" i="69" s="1"/>
  <c r="AI92" i="69" s="1"/>
  <c r="R367" i="69"/>
  <c r="R101" i="69"/>
  <c r="R119" i="69"/>
  <c r="R142" i="69"/>
  <c r="R166" i="69"/>
  <c r="R237" i="69"/>
  <c r="L75" i="69"/>
  <c r="AS75" i="69"/>
  <c r="W119" i="69"/>
  <c r="AC119" i="69" s="1"/>
  <c r="AI119" i="69" s="1"/>
  <c r="AO119" i="69" s="1"/>
  <c r="AU119" i="69" s="1"/>
  <c r="BA119" i="69" s="1"/>
  <c r="BG119" i="69" s="1"/>
  <c r="BM119" i="69" s="1"/>
  <c r="W142" i="69"/>
  <c r="AC142" i="69" s="1"/>
  <c r="AD142" i="69" s="1"/>
  <c r="R211" i="69"/>
  <c r="R213" i="69"/>
  <c r="BB294" i="69"/>
  <c r="R276" i="69"/>
  <c r="O190" i="69"/>
  <c r="W201" i="69"/>
  <c r="AC201" i="69" s="1"/>
  <c r="R207" i="69"/>
  <c r="X284" i="69"/>
  <c r="X94" i="69"/>
  <c r="W211" i="69"/>
  <c r="AC211" i="69" s="1"/>
  <c r="AD211" i="69" s="1"/>
  <c r="R214" i="69"/>
  <c r="R173" i="69"/>
  <c r="R200" i="69"/>
  <c r="W13" i="69"/>
  <c r="AJ73" i="69"/>
  <c r="O383" i="69"/>
  <c r="R71" i="69"/>
  <c r="R122" i="69"/>
  <c r="R127" i="69"/>
  <c r="AC156" i="69"/>
  <c r="X173" i="69"/>
  <c r="AC173" i="69"/>
  <c r="AI178" i="69"/>
  <c r="AO178" i="69" s="1"/>
  <c r="AD178" i="69"/>
  <c r="R305" i="69"/>
  <c r="W305" i="69"/>
  <c r="X305" i="69" s="1"/>
  <c r="AC307" i="69"/>
  <c r="X307" i="69"/>
  <c r="R324" i="69"/>
  <c r="W360" i="69"/>
  <c r="R360" i="69"/>
  <c r="AJ377" i="69"/>
  <c r="AO377" i="69"/>
  <c r="AU377" i="69" s="1"/>
  <c r="AV377" i="69" s="1"/>
  <c r="R95" i="69"/>
  <c r="W95" i="69"/>
  <c r="AC95" i="69" s="1"/>
  <c r="R12" i="69"/>
  <c r="W120" i="69"/>
  <c r="R120" i="69"/>
  <c r="R145" i="69"/>
  <c r="W145" i="69"/>
  <c r="AC145" i="69" s="1"/>
  <c r="AI145" i="69" s="1"/>
  <c r="AJ145" i="69" s="1"/>
  <c r="R171" i="69"/>
  <c r="R255" i="69"/>
  <c r="AJ371" i="69"/>
  <c r="R273" i="69"/>
  <c r="V273" i="69"/>
  <c r="AB273" i="69" s="1"/>
  <c r="AH273" i="69" s="1"/>
  <c r="AN273" i="69" s="1"/>
  <c r="AT273" i="69" s="1"/>
  <c r="AZ273" i="69" s="1"/>
  <c r="BF273" i="69" s="1"/>
  <c r="X313" i="69"/>
  <c r="R345" i="69"/>
  <c r="W345" i="69"/>
  <c r="AC345" i="69" s="1"/>
  <c r="AI345" i="69" s="1"/>
  <c r="AO345" i="69" s="1"/>
  <c r="AU345" i="69" s="1"/>
  <c r="BA345" i="69" s="1"/>
  <c r="X347" i="69"/>
  <c r="AC347" i="69"/>
  <c r="AI347" i="69" s="1"/>
  <c r="AO347" i="69" s="1"/>
  <c r="AU347" i="69" s="1"/>
  <c r="AM383" i="69"/>
  <c r="AC13" i="69"/>
  <c r="AC102" i="69"/>
  <c r="AI102" i="69" s="1"/>
  <c r="AO102" i="69" s="1"/>
  <c r="AU102" i="69" s="1"/>
  <c r="X102" i="69"/>
  <c r="R156" i="69"/>
  <c r="V156" i="69"/>
  <c r="AB156" i="69" s="1"/>
  <c r="AH156" i="69" s="1"/>
  <c r="AN156" i="69" s="1"/>
  <c r="AT156" i="69" s="1"/>
  <c r="AZ156" i="69" s="1"/>
  <c r="BF156" i="69" s="1"/>
  <c r="R228" i="69"/>
  <c r="R280" i="69"/>
  <c r="W280" i="69"/>
  <c r="AC280" i="69" s="1"/>
  <c r="AI280" i="69" s="1"/>
  <c r="AO280" i="69" s="1"/>
  <c r="AU280" i="69" s="1"/>
  <c r="BA280" i="69" s="1"/>
  <c r="BG280" i="69" s="1"/>
  <c r="BM280" i="69" s="1"/>
  <c r="X326" i="69"/>
  <c r="AV382" i="69"/>
  <c r="W16" i="69"/>
  <c r="AC16" i="69" s="1"/>
  <c r="AI16" i="69" s="1"/>
  <c r="AO16" i="69" s="1"/>
  <c r="AU16" i="69" s="1"/>
  <c r="BA16" i="69" s="1"/>
  <c r="BG16" i="69" s="1"/>
  <c r="BM16" i="69" s="1"/>
  <c r="R16" i="69"/>
  <c r="AN58" i="69"/>
  <c r="AT58" i="69" s="1"/>
  <c r="AZ58" i="69" s="1"/>
  <c r="BF58" i="69" s="1"/>
  <c r="O128" i="69"/>
  <c r="AY206" i="69"/>
  <c r="Z110" i="69"/>
  <c r="AA83" i="69"/>
  <c r="AI180" i="69"/>
  <c r="AO180" i="69" s="1"/>
  <c r="AP180" i="69" s="1"/>
  <c r="AD180" i="69"/>
  <c r="R17" i="69"/>
  <c r="AP105" i="69"/>
  <c r="R141" i="69"/>
  <c r="W141" i="69"/>
  <c r="AJ312" i="69"/>
  <c r="R339" i="69"/>
  <c r="W339" i="69"/>
  <c r="AC339" i="69" s="1"/>
  <c r="AI339" i="69" s="1"/>
  <c r="R349" i="69"/>
  <c r="W349" i="69"/>
  <c r="AC349" i="69" s="1"/>
  <c r="AD349" i="69" s="1"/>
  <c r="AA230" i="69"/>
  <c r="R344" i="69"/>
  <c r="R364" i="69"/>
  <c r="T50" i="69"/>
  <c r="U50" i="69" s="1"/>
  <c r="R82" i="69"/>
  <c r="AJ184" i="69"/>
  <c r="R277" i="69"/>
  <c r="AD354" i="69"/>
  <c r="R33" i="69"/>
  <c r="AY110" i="69"/>
  <c r="X125" i="69"/>
  <c r="R129" i="69"/>
  <c r="AS190" i="69"/>
  <c r="AI220" i="69"/>
  <c r="R264" i="69"/>
  <c r="AS295" i="69"/>
  <c r="X306" i="69"/>
  <c r="R320" i="69"/>
  <c r="R325" i="69"/>
  <c r="R370" i="69"/>
  <c r="R210" i="69"/>
  <c r="U383" i="69"/>
  <c r="AJ48" i="69"/>
  <c r="R115" i="69"/>
  <c r="V140" i="69"/>
  <c r="AB140" i="69" s="1"/>
  <c r="AH140" i="69" s="1"/>
  <c r="AN140" i="69" s="1"/>
  <c r="AT140" i="69" s="1"/>
  <c r="AZ140" i="69" s="1"/>
  <c r="BF140" i="69" s="1"/>
  <c r="R163" i="69"/>
  <c r="AO184" i="69"/>
  <c r="AU184" i="69" s="1"/>
  <c r="BA184" i="69" s="1"/>
  <c r="BG184" i="69" s="1"/>
  <c r="BM184" i="69" s="1"/>
  <c r="R312" i="69"/>
  <c r="R318" i="69"/>
  <c r="R338" i="69"/>
  <c r="W344" i="69"/>
  <c r="AC344" i="69" s="1"/>
  <c r="R363" i="69"/>
  <c r="W364" i="69"/>
  <c r="AC364" i="69" s="1"/>
  <c r="R304" i="69"/>
  <c r="R309" i="69"/>
  <c r="R315" i="69"/>
  <c r="R86" i="69"/>
  <c r="R138" i="69"/>
  <c r="AD185" i="69"/>
  <c r="R202" i="69"/>
  <c r="O295" i="69"/>
  <c r="R15" i="69"/>
  <c r="V18" i="69"/>
  <c r="AB18" i="69" s="1"/>
  <c r="AH18" i="69" s="1"/>
  <c r="AN18" i="69" s="1"/>
  <c r="AT18" i="69" s="1"/>
  <c r="AZ18" i="69" s="1"/>
  <c r="BF18" i="69" s="1"/>
  <c r="W33" i="69"/>
  <c r="X33" i="69" s="1"/>
  <c r="W57" i="69"/>
  <c r="P110" i="69"/>
  <c r="BD110" i="69"/>
  <c r="BE110" i="69" s="1"/>
  <c r="R96" i="69"/>
  <c r="W138" i="69"/>
  <c r="AC138" i="69" s="1"/>
  <c r="AD138" i="69" s="1"/>
  <c r="V144" i="69"/>
  <c r="AB144" i="69" s="1"/>
  <c r="AH144" i="69" s="1"/>
  <c r="AN144" i="69" s="1"/>
  <c r="AT144" i="69" s="1"/>
  <c r="AZ144" i="69" s="1"/>
  <c r="BF144" i="69" s="1"/>
  <c r="R199" i="69"/>
  <c r="R268" i="69"/>
  <c r="R330" i="69"/>
  <c r="R366" i="69"/>
  <c r="AD14" i="69"/>
  <c r="AD100" i="69"/>
  <c r="AI100" i="69"/>
  <c r="AO100" i="69" s="1"/>
  <c r="AU100" i="69" s="1"/>
  <c r="BA100" i="69" s="1"/>
  <c r="X20" i="69"/>
  <c r="AC72" i="69"/>
  <c r="AD72" i="69" s="1"/>
  <c r="X72" i="69"/>
  <c r="AC31" i="69"/>
  <c r="AI31" i="69" s="1"/>
  <c r="X31" i="69"/>
  <c r="AC36" i="69"/>
  <c r="X36" i="69"/>
  <c r="BA47" i="69"/>
  <c r="BB47" i="69" s="1"/>
  <c r="AV47" i="69"/>
  <c r="X37" i="69"/>
  <c r="AC20" i="69"/>
  <c r="AI20" i="69" s="1"/>
  <c r="AO20" i="69" s="1"/>
  <c r="AU20" i="69" s="1"/>
  <c r="BA20" i="69" s="1"/>
  <c r="BG20" i="69" s="1"/>
  <c r="BM20" i="69" s="1"/>
  <c r="N110" i="69"/>
  <c r="O110" i="69" s="1"/>
  <c r="Q85" i="69"/>
  <c r="W85" i="69" s="1"/>
  <c r="W96" i="69"/>
  <c r="AC96" i="69" s="1"/>
  <c r="AI96" i="69" s="1"/>
  <c r="AJ96" i="69" s="1"/>
  <c r="AT138" i="69"/>
  <c r="AZ138" i="69" s="1"/>
  <c r="BF138" i="69" s="1"/>
  <c r="W163" i="69"/>
  <c r="X163" i="69" s="1"/>
  <c r="X237" i="69"/>
  <c r="R250" i="69"/>
  <c r="V250" i="69"/>
  <c r="AB250" i="69" s="1"/>
  <c r="AH250" i="69" s="1"/>
  <c r="AN250" i="69" s="1"/>
  <c r="AT250" i="69" s="1"/>
  <c r="AZ250" i="69" s="1"/>
  <c r="BF250" i="69" s="1"/>
  <c r="AC268" i="69"/>
  <c r="X268" i="69"/>
  <c r="AC320" i="69"/>
  <c r="AI320" i="69" s="1"/>
  <c r="AO320" i="69" s="1"/>
  <c r="AP320" i="69" s="1"/>
  <c r="X320" i="69"/>
  <c r="AD18" i="69"/>
  <c r="X25" i="69"/>
  <c r="R29" i="69"/>
  <c r="AM35" i="69"/>
  <c r="R36" i="69"/>
  <c r="AP48" i="69"/>
  <c r="X49" i="69"/>
  <c r="R64" i="69"/>
  <c r="R68" i="69"/>
  <c r="AP74" i="69"/>
  <c r="O75" i="69"/>
  <c r="R81" i="69"/>
  <c r="R84" i="69"/>
  <c r="R91" i="69"/>
  <c r="X103" i="69"/>
  <c r="AV109" i="69"/>
  <c r="AD127" i="69"/>
  <c r="AI127" i="69"/>
  <c r="AO127" i="69" s="1"/>
  <c r="AU127" i="69" s="1"/>
  <c r="BA127" i="69" s="1"/>
  <c r="R147" i="69"/>
  <c r="R149" i="69"/>
  <c r="W149" i="69"/>
  <c r="AC149" i="69" s="1"/>
  <c r="AD149" i="69" s="1"/>
  <c r="X153" i="69"/>
  <c r="AC155" i="69"/>
  <c r="AD155" i="69" s="1"/>
  <c r="X155" i="69"/>
  <c r="R215" i="69"/>
  <c r="W215" i="69"/>
  <c r="R221" i="69"/>
  <c r="AJ222" i="69"/>
  <c r="W175" i="69"/>
  <c r="X175" i="69" s="1"/>
  <c r="R175" i="69"/>
  <c r="AI341" i="69"/>
  <c r="AO341" i="69" s="1"/>
  <c r="AD341" i="69"/>
  <c r="R11" i="69"/>
  <c r="R20" i="69"/>
  <c r="O23" i="69"/>
  <c r="AJ27" i="69"/>
  <c r="AO27" i="69"/>
  <c r="AU27" i="69" s="1"/>
  <c r="R35" i="69"/>
  <c r="L50" i="69"/>
  <c r="R72" i="69"/>
  <c r="T110" i="69"/>
  <c r="U110" i="69" s="1"/>
  <c r="Q89" i="69"/>
  <c r="W89" i="69" s="1"/>
  <c r="X89" i="69" s="1"/>
  <c r="R106" i="69"/>
  <c r="R152" i="69"/>
  <c r="V152" i="69"/>
  <c r="AB152" i="69" s="1"/>
  <c r="AH152" i="69" s="1"/>
  <c r="AN152" i="69" s="1"/>
  <c r="AT152" i="69" s="1"/>
  <c r="AZ152" i="69" s="1"/>
  <c r="BF152" i="69" s="1"/>
  <c r="AD181" i="69"/>
  <c r="BD230" i="69"/>
  <c r="BE230" i="69" s="1"/>
  <c r="BE203" i="69"/>
  <c r="W219" i="69"/>
  <c r="AC219" i="69" s="1"/>
  <c r="AD219" i="69" s="1"/>
  <c r="AC223" i="69"/>
  <c r="AI223" i="69" s="1"/>
  <c r="X223" i="69"/>
  <c r="AC228" i="69"/>
  <c r="X228" i="69"/>
  <c r="AD260" i="69"/>
  <c r="X288" i="69"/>
  <c r="AC288" i="69"/>
  <c r="AI288" i="69" s="1"/>
  <c r="U295" i="69"/>
  <c r="AC311" i="69"/>
  <c r="AD311" i="69" s="1"/>
  <c r="X311" i="69"/>
  <c r="Z50" i="69"/>
  <c r="AA50" i="69" s="1"/>
  <c r="R14" i="69"/>
  <c r="W15" i="69"/>
  <c r="W17" i="69"/>
  <c r="AC17" i="69" s="1"/>
  <c r="AD17" i="69" s="1"/>
  <c r="R19" i="69"/>
  <c r="R27" i="69"/>
  <c r="W29" i="69"/>
  <c r="AC29" i="69" s="1"/>
  <c r="R32" i="69"/>
  <c r="R34" i="69"/>
  <c r="AP46" i="69"/>
  <c r="AJ47" i="69"/>
  <c r="AV48" i="69"/>
  <c r="R56" i="69"/>
  <c r="R70" i="69"/>
  <c r="AP73" i="69"/>
  <c r="AA75" i="69"/>
  <c r="U81" i="69"/>
  <c r="R94" i="69"/>
  <c r="R100" i="69"/>
  <c r="V101" i="69"/>
  <c r="AB101" i="69" s="1"/>
  <c r="AH101" i="69" s="1"/>
  <c r="AN101" i="69" s="1"/>
  <c r="AT101" i="69" s="1"/>
  <c r="AZ101" i="69" s="1"/>
  <c r="BF101" i="69" s="1"/>
  <c r="AO140" i="69"/>
  <c r="AU140" i="69" s="1"/>
  <c r="X157" i="69"/>
  <c r="P230" i="69"/>
  <c r="V198" i="69"/>
  <c r="AB198" i="69" s="1"/>
  <c r="R227" i="69"/>
  <c r="W227" i="69"/>
  <c r="AC227" i="69" s="1"/>
  <c r="AI227" i="69" s="1"/>
  <c r="AO227" i="69" s="1"/>
  <c r="R243" i="69"/>
  <c r="W243" i="69"/>
  <c r="X243" i="69" s="1"/>
  <c r="AD285" i="69"/>
  <c r="X304" i="69"/>
  <c r="R306" i="69"/>
  <c r="AC242" i="69"/>
  <c r="X242" i="69"/>
  <c r="R246" i="69"/>
  <c r="W246" i="69"/>
  <c r="AC246" i="69" s="1"/>
  <c r="AI246" i="69" s="1"/>
  <c r="AJ246" i="69" s="1"/>
  <c r="R10" i="69"/>
  <c r="R28" i="69"/>
  <c r="R31" i="69"/>
  <c r="R63" i="69"/>
  <c r="R67" i="69"/>
  <c r="V81" i="69"/>
  <c r="W84" i="69"/>
  <c r="AC84" i="69" s="1"/>
  <c r="AI84" i="69" s="1"/>
  <c r="W91" i="69"/>
  <c r="AC91" i="69" s="1"/>
  <c r="AI91" i="69" s="1"/>
  <c r="R97" i="69"/>
  <c r="AM110" i="69"/>
  <c r="W115" i="69"/>
  <c r="AC115" i="69" s="1"/>
  <c r="AI115" i="69" s="1"/>
  <c r="BE115" i="69"/>
  <c r="Q128" i="69"/>
  <c r="W128" i="69" s="1"/>
  <c r="AC128" i="69" s="1"/>
  <c r="AD128" i="69" s="1"/>
  <c r="R135" i="69"/>
  <c r="W169" i="69"/>
  <c r="AC169" i="69" s="1"/>
  <c r="R169" i="69"/>
  <c r="R198" i="69"/>
  <c r="W198" i="69"/>
  <c r="W203" i="69"/>
  <c r="U203" i="69"/>
  <c r="O206" i="69"/>
  <c r="N230" i="69"/>
  <c r="O230" i="69" s="1"/>
  <c r="U210" i="69"/>
  <c r="W210" i="69"/>
  <c r="X225" i="69"/>
  <c r="AO226" i="69"/>
  <c r="AU226" i="69" s="1"/>
  <c r="BA226" i="69" s="1"/>
  <c r="BG226" i="69" s="1"/>
  <c r="X236" i="69"/>
  <c r="X251" i="69"/>
  <c r="R267" i="69"/>
  <c r="W267" i="69"/>
  <c r="X267" i="69" s="1"/>
  <c r="AC272" i="69"/>
  <c r="X272" i="69"/>
  <c r="AV293" i="69"/>
  <c r="AA295" i="69"/>
  <c r="R321" i="69"/>
  <c r="W321" i="69"/>
  <c r="AC321" i="69" s="1"/>
  <c r="X331" i="69"/>
  <c r="AI342" i="69"/>
  <c r="AO342" i="69" s="1"/>
  <c r="AD342" i="69"/>
  <c r="R162" i="69"/>
  <c r="W162" i="69"/>
  <c r="X162" i="69" s="1"/>
  <c r="R13" i="69"/>
  <c r="R22" i="69"/>
  <c r="W35" i="69"/>
  <c r="P75" i="69"/>
  <c r="R58" i="69"/>
  <c r="AM58" i="69"/>
  <c r="K110" i="69"/>
  <c r="L110" i="69" s="1"/>
  <c r="R103" i="69"/>
  <c r="AO104" i="69"/>
  <c r="W130" i="69"/>
  <c r="W131" i="69"/>
  <c r="K190" i="69"/>
  <c r="L190" i="69" s="1"/>
  <c r="L136" i="69"/>
  <c r="Q136" i="69"/>
  <c r="W136" i="69" s="1"/>
  <c r="X136" i="69" s="1"/>
  <c r="X159" i="69"/>
  <c r="X165" i="69"/>
  <c r="R167" i="69"/>
  <c r="BH188" i="69"/>
  <c r="X201" i="69"/>
  <c r="W207" i="69"/>
  <c r="AC207" i="69" s="1"/>
  <c r="AI207" i="69" s="1"/>
  <c r="AO207" i="69" s="1"/>
  <c r="AU207" i="69" s="1"/>
  <c r="BA207" i="69" s="1"/>
  <c r="BG207" i="69" s="1"/>
  <c r="BM207" i="69" s="1"/>
  <c r="X208" i="69"/>
  <c r="X226" i="69"/>
  <c r="AB226" i="69"/>
  <c r="AH226" i="69" s="1"/>
  <c r="AN226" i="69" s="1"/>
  <c r="AT226" i="69" s="1"/>
  <c r="R251" i="69"/>
  <c r="AD253" i="69"/>
  <c r="X13" i="69"/>
  <c r="W19" i="69"/>
  <c r="R25" i="69"/>
  <c r="W34" i="69"/>
  <c r="AC34" i="69" s="1"/>
  <c r="AI34" i="69" s="1"/>
  <c r="AJ34" i="69" s="1"/>
  <c r="AB44" i="69"/>
  <c r="AH44" i="69" s="1"/>
  <c r="AN44" i="69" s="1"/>
  <c r="AT44" i="69" s="1"/>
  <c r="AZ44" i="69" s="1"/>
  <c r="BF44" i="69" s="1"/>
  <c r="AJ46" i="69"/>
  <c r="AA110" i="69"/>
  <c r="R93" i="69"/>
  <c r="R102" i="69"/>
  <c r="AD107" i="69"/>
  <c r="W177" i="69"/>
  <c r="AC177" i="69" s="1"/>
  <c r="AI177" i="69" s="1"/>
  <c r="R177" i="69"/>
  <c r="X204" i="69"/>
  <c r="Q206" i="69"/>
  <c r="R206" i="69" s="1"/>
  <c r="R224" i="69"/>
  <c r="R263" i="69"/>
  <c r="W263" i="69"/>
  <c r="AC263" i="69" s="1"/>
  <c r="R269" i="69"/>
  <c r="AB274" i="69"/>
  <c r="X279" i="69"/>
  <c r="BH293" i="69"/>
  <c r="AJ107" i="69"/>
  <c r="R117" i="69"/>
  <c r="X151" i="69"/>
  <c r="R155" i="69"/>
  <c r="V160" i="69"/>
  <c r="X161" i="69"/>
  <c r="V166" i="69"/>
  <c r="AB166" i="69" s="1"/>
  <c r="AH166" i="69" s="1"/>
  <c r="AN166" i="69" s="1"/>
  <c r="AT166" i="69" s="1"/>
  <c r="AZ166" i="69" s="1"/>
  <c r="BF166" i="69" s="1"/>
  <c r="K230" i="69"/>
  <c r="L230" i="69" s="1"/>
  <c r="R208" i="69"/>
  <c r="R225" i="69"/>
  <c r="R238" i="69"/>
  <c r="R244" i="69"/>
  <c r="R247" i="69"/>
  <c r="R278" i="69"/>
  <c r="R282" i="69"/>
  <c r="AV290" i="69"/>
  <c r="W310" i="69"/>
  <c r="X310" i="69" s="1"/>
  <c r="R313" i="69"/>
  <c r="X318" i="69"/>
  <c r="V367" i="69"/>
  <c r="AB367" i="69" s="1"/>
  <c r="AH367" i="69" s="1"/>
  <c r="AN367" i="69" s="1"/>
  <c r="AT367" i="69" s="1"/>
  <c r="AZ367" i="69" s="1"/>
  <c r="BF367" i="69" s="1"/>
  <c r="AO371" i="69"/>
  <c r="AU371" i="69" s="1"/>
  <c r="BA382" i="69"/>
  <c r="BB382" i="69" s="1"/>
  <c r="X352" i="69"/>
  <c r="AD361" i="69"/>
  <c r="AS383" i="69"/>
  <c r="R329" i="69"/>
  <c r="R335" i="69"/>
  <c r="X343" i="69"/>
  <c r="R351" i="69"/>
  <c r="R352" i="69"/>
  <c r="R362" i="69"/>
  <c r="R368" i="69"/>
  <c r="AP375" i="69"/>
  <c r="R332" i="69"/>
  <c r="X359" i="69"/>
  <c r="AP376" i="69"/>
  <c r="AJ182" i="69"/>
  <c r="R316" i="69"/>
  <c r="R331" i="69"/>
  <c r="R334" i="69"/>
  <c r="R347" i="69"/>
  <c r="X351" i="69"/>
  <c r="AV380" i="69"/>
  <c r="AV381" i="69"/>
  <c r="AG383" i="69"/>
  <c r="R151" i="69"/>
  <c r="R159" i="69"/>
  <c r="R174" i="69"/>
  <c r="AG295" i="69"/>
  <c r="X328" i="69"/>
  <c r="W329" i="69"/>
  <c r="AC329" i="69" s="1"/>
  <c r="W335" i="69"/>
  <c r="AC335" i="69" s="1"/>
  <c r="AI335" i="69" s="1"/>
  <c r="AO335" i="69" s="1"/>
  <c r="R354" i="69"/>
  <c r="X361" i="69"/>
  <c r="X180" i="69"/>
  <c r="X222" i="69"/>
  <c r="R265" i="69"/>
  <c r="R328" i="69"/>
  <c r="W332" i="69"/>
  <c r="X332" i="69" s="1"/>
  <c r="W334" i="69"/>
  <c r="AC334" i="69" s="1"/>
  <c r="AJ372" i="69"/>
  <c r="AU376" i="69"/>
  <c r="BA376" i="69" s="1"/>
  <c r="BG376" i="69" s="1"/>
  <c r="BM376" i="69" s="1"/>
  <c r="AO319" i="69"/>
  <c r="AJ319" i="69"/>
  <c r="AO308" i="69"/>
  <c r="AJ308" i="69"/>
  <c r="AD317" i="69"/>
  <c r="AV346" i="69"/>
  <c r="BA346" i="69"/>
  <c r="AI311" i="69"/>
  <c r="AD312" i="69"/>
  <c r="X319" i="69"/>
  <c r="AP346" i="69"/>
  <c r="W336" i="69"/>
  <c r="R336" i="69"/>
  <c r="R348" i="69"/>
  <c r="W348" i="69"/>
  <c r="AD308" i="69"/>
  <c r="X316" i="69"/>
  <c r="R323" i="69"/>
  <c r="W323" i="69"/>
  <c r="AC326" i="69"/>
  <c r="AO331" i="69"/>
  <c r="AJ331" i="69"/>
  <c r="W337" i="69"/>
  <c r="R337" i="69"/>
  <c r="AO339" i="69"/>
  <c r="AJ339" i="69"/>
  <c r="R303" i="69"/>
  <c r="AC305" i="69"/>
  <c r="AD307" i="69"/>
  <c r="X308" i="69"/>
  <c r="X309" i="69"/>
  <c r="AO312" i="69"/>
  <c r="X314" i="69"/>
  <c r="AC314" i="69"/>
  <c r="R317" i="69"/>
  <c r="AI317" i="69"/>
  <c r="AJ320" i="69"/>
  <c r="X321" i="69"/>
  <c r="W324" i="69"/>
  <c r="W338" i="69"/>
  <c r="AD316" i="69"/>
  <c r="AI316" i="69"/>
  <c r="P383" i="69"/>
  <c r="V302" i="69"/>
  <c r="AC306" i="69"/>
  <c r="AC313" i="69"/>
  <c r="R314" i="69"/>
  <c r="W315" i="69"/>
  <c r="AC318" i="69"/>
  <c r="R340" i="69"/>
  <c r="W340" i="69"/>
  <c r="AD346" i="69"/>
  <c r="AN347" i="69"/>
  <c r="AT347" i="69" s="1"/>
  <c r="AZ347" i="69" s="1"/>
  <c r="BF347" i="69" s="1"/>
  <c r="AJ347" i="69"/>
  <c r="W356" i="69"/>
  <c r="R356" i="69"/>
  <c r="AD319" i="69"/>
  <c r="Q383" i="69"/>
  <c r="R383" i="69" s="1"/>
  <c r="W302" i="69"/>
  <c r="W303" i="69"/>
  <c r="AI304" i="69"/>
  <c r="R307" i="69"/>
  <c r="AI307" i="69"/>
  <c r="AC309" i="69"/>
  <c r="X312" i="69"/>
  <c r="AC330" i="69"/>
  <c r="R302" i="69"/>
  <c r="W322" i="69"/>
  <c r="R322" i="69"/>
  <c r="R326" i="69"/>
  <c r="AC328" i="69"/>
  <c r="W333" i="69"/>
  <c r="R333" i="69"/>
  <c r="W350" i="69"/>
  <c r="R350" i="69"/>
  <c r="W358" i="69"/>
  <c r="R358" i="69"/>
  <c r="X317" i="69"/>
  <c r="R319" i="69"/>
  <c r="AJ341" i="69"/>
  <c r="AI343" i="69"/>
  <c r="AD343" i="69"/>
  <c r="AD351" i="69"/>
  <c r="AI351" i="69"/>
  <c r="W357" i="69"/>
  <c r="R357" i="69"/>
  <c r="X325" i="69"/>
  <c r="R327" i="69"/>
  <c r="AD331" i="69"/>
  <c r="AJ346" i="69"/>
  <c r="BA347" i="69"/>
  <c r="AC325" i="69"/>
  <c r="W327" i="69"/>
  <c r="X342" i="69"/>
  <c r="X346" i="69"/>
  <c r="AC355" i="69"/>
  <c r="X355" i="69"/>
  <c r="R311" i="69"/>
  <c r="AD339" i="69"/>
  <c r="R341" i="69"/>
  <c r="R342" i="69"/>
  <c r="R346" i="69"/>
  <c r="X353" i="69"/>
  <c r="AD359" i="69"/>
  <c r="AI368" i="69"/>
  <c r="AD368" i="69"/>
  <c r="AP365" i="69"/>
  <c r="AU365" i="69"/>
  <c r="AC370" i="69"/>
  <c r="X370" i="69"/>
  <c r="X360" i="69"/>
  <c r="AC360" i="69"/>
  <c r="AJ361" i="69"/>
  <c r="AO361" i="69"/>
  <c r="W362" i="69"/>
  <c r="AP363" i="69"/>
  <c r="AJ365" i="69"/>
  <c r="R369" i="69"/>
  <c r="V369" i="69"/>
  <c r="AO369" i="69"/>
  <c r="X354" i="69"/>
  <c r="AJ363" i="69"/>
  <c r="AU372" i="69"/>
  <c r="AP372" i="69"/>
  <c r="W373" i="69"/>
  <c r="R373" i="69"/>
  <c r="AC352" i="69"/>
  <c r="AC353" i="69"/>
  <c r="AI359" i="69"/>
  <c r="AD347" i="69"/>
  <c r="AU363" i="69"/>
  <c r="AP366" i="69"/>
  <c r="AU366" i="69"/>
  <c r="X341" i="69"/>
  <c r="R343" i="69"/>
  <c r="AI354" i="69"/>
  <c r="R361" i="69"/>
  <c r="AJ366" i="69"/>
  <c r="BH380" i="69"/>
  <c r="BM380" i="69"/>
  <c r="L383" i="69"/>
  <c r="AJ375" i="69"/>
  <c r="BH379" i="69"/>
  <c r="BB380" i="69"/>
  <c r="AY383" i="69"/>
  <c r="R355" i="69"/>
  <c r="AD366" i="69"/>
  <c r="AJ374" i="69"/>
  <c r="AO374" i="69"/>
  <c r="AV378" i="69"/>
  <c r="BA378" i="69"/>
  <c r="BB379" i="69"/>
  <c r="BH381" i="69"/>
  <c r="R359" i="69"/>
  <c r="AD363" i="69"/>
  <c r="X366" i="69"/>
  <c r="AC367" i="69"/>
  <c r="AV379" i="69"/>
  <c r="AA383" i="69"/>
  <c r="X363" i="69"/>
  <c r="X368" i="69"/>
  <c r="AU375" i="69"/>
  <c r="BB381" i="69"/>
  <c r="X240" i="69"/>
  <c r="AC240" i="69"/>
  <c r="X238" i="69"/>
  <c r="AC238" i="69"/>
  <c r="AD242" i="69"/>
  <c r="AI242" i="69"/>
  <c r="BM249" i="69"/>
  <c r="BH249" i="69"/>
  <c r="X241" i="69"/>
  <c r="AC241" i="69"/>
  <c r="X252" i="69"/>
  <c r="AC252" i="69"/>
  <c r="AT265" i="69"/>
  <c r="AZ265" i="69" s="1"/>
  <c r="BF265" i="69" s="1"/>
  <c r="BH265" i="69" s="1"/>
  <c r="AP265" i="69"/>
  <c r="AI248" i="69"/>
  <c r="AD248" i="69"/>
  <c r="AC237" i="69"/>
  <c r="W239" i="69"/>
  <c r="X247" i="69"/>
  <c r="AI250" i="69"/>
  <c r="AI253" i="69"/>
  <c r="AI262" i="69"/>
  <c r="AD262" i="69"/>
  <c r="X263" i="69"/>
  <c r="X269" i="69"/>
  <c r="AC269" i="69"/>
  <c r="AB276" i="69"/>
  <c r="AH276" i="69" s="1"/>
  <c r="AN276" i="69" s="1"/>
  <c r="AT276" i="69" s="1"/>
  <c r="AZ276" i="69" s="1"/>
  <c r="BF276" i="69" s="1"/>
  <c r="X276" i="69"/>
  <c r="AV244" i="69"/>
  <c r="AL295" i="69"/>
  <c r="AM295" i="69" s="1"/>
  <c r="AM246" i="69"/>
  <c r="AC270" i="69"/>
  <c r="AB280" i="69"/>
  <c r="R241" i="69"/>
  <c r="AP244" i="69"/>
  <c r="R248" i="69"/>
  <c r="BB249" i="69"/>
  <c r="X266" i="69"/>
  <c r="AC266" i="69"/>
  <c r="AI273" i="69"/>
  <c r="AD273" i="69"/>
  <c r="R249" i="69"/>
  <c r="AV249" i="69"/>
  <c r="R252" i="69"/>
  <c r="AI257" i="69"/>
  <c r="AD257" i="69"/>
  <c r="AC258" i="69"/>
  <c r="X258" i="69"/>
  <c r="AO264" i="69"/>
  <c r="BM265" i="69"/>
  <c r="R266" i="69"/>
  <c r="AO271" i="69"/>
  <c r="AJ271" i="69"/>
  <c r="R240" i="69"/>
  <c r="AJ244" i="69"/>
  <c r="X248" i="69"/>
  <c r="AP249" i="69"/>
  <c r="X253" i="69"/>
  <c r="R258" i="69"/>
  <c r="W261" i="69"/>
  <c r="R261" i="69"/>
  <c r="P295" i="69"/>
  <c r="AB236" i="69"/>
  <c r="AD244" i="69"/>
  <c r="R245" i="69"/>
  <c r="AJ249" i="69"/>
  <c r="V256" i="69"/>
  <c r="AB256" i="69" s="1"/>
  <c r="AH256" i="69" s="1"/>
  <c r="AN256" i="69" s="1"/>
  <c r="AT256" i="69" s="1"/>
  <c r="AZ256" i="69" s="1"/>
  <c r="BF256" i="69" s="1"/>
  <c r="R256" i="69"/>
  <c r="W259" i="69"/>
  <c r="R259" i="69"/>
  <c r="AH264" i="69"/>
  <c r="AN264" i="69" s="1"/>
  <c r="AT264" i="69" s="1"/>
  <c r="AZ264" i="69" s="1"/>
  <c r="BF264" i="69" s="1"/>
  <c r="AD264" i="69"/>
  <c r="Q295" i="69"/>
  <c r="AC236" i="69"/>
  <c r="BA244" i="69"/>
  <c r="AC247" i="69"/>
  <c r="AD249" i="69"/>
  <c r="AC251" i="69"/>
  <c r="R254" i="69"/>
  <c r="W254" i="69"/>
  <c r="X257" i="69"/>
  <c r="AC278" i="69"/>
  <c r="X278" i="69"/>
  <c r="R236" i="69"/>
  <c r="R242" i="69"/>
  <c r="X244" i="69"/>
  <c r="W245" i="69"/>
  <c r="X249" i="69"/>
  <c r="R257" i="69"/>
  <c r="AD277" i="69"/>
  <c r="AH277" i="69"/>
  <c r="AN277" i="69" s="1"/>
  <c r="AT277" i="69" s="1"/>
  <c r="AZ277" i="69" s="1"/>
  <c r="BF277" i="69" s="1"/>
  <c r="AJ286" i="69"/>
  <c r="AO286" i="69"/>
  <c r="AI276" i="69"/>
  <c r="AC283" i="69"/>
  <c r="X283" i="69"/>
  <c r="BM289" i="69"/>
  <c r="BH289" i="69"/>
  <c r="BB290" i="69"/>
  <c r="BG290" i="69"/>
  <c r="AV291" i="69"/>
  <c r="X255" i="69"/>
  <c r="V270" i="69"/>
  <c r="AB270" i="69" s="1"/>
  <c r="AH270" i="69" s="1"/>
  <c r="AN270" i="69" s="1"/>
  <c r="AT270" i="69" s="1"/>
  <c r="AZ270" i="69" s="1"/>
  <c r="BF270" i="69" s="1"/>
  <c r="R270" i="69"/>
  <c r="R271" i="69"/>
  <c r="AO279" i="69"/>
  <c r="AJ279" i="69"/>
  <c r="R281" i="69"/>
  <c r="AO287" i="69"/>
  <c r="AJ287" i="69"/>
  <c r="AO285" i="69"/>
  <c r="AJ285" i="69"/>
  <c r="AC255" i="69"/>
  <c r="AC256" i="69"/>
  <c r="X256" i="69"/>
  <c r="R260" i="69"/>
  <c r="X262" i="69"/>
  <c r="AJ265" i="69"/>
  <c r="AN268" i="69"/>
  <c r="AT268" i="69" s="1"/>
  <c r="BA277" i="69"/>
  <c r="BB289" i="69"/>
  <c r="BB291" i="69"/>
  <c r="BG294" i="69"/>
  <c r="R262" i="69"/>
  <c r="AD265" i="69"/>
  <c r="AC282" i="69"/>
  <c r="X282" i="69"/>
  <c r="BB293" i="69"/>
  <c r="R253" i="69"/>
  <c r="AO260" i="69"/>
  <c r="AJ260" i="69"/>
  <c r="X265" i="69"/>
  <c r="AC275" i="69"/>
  <c r="X275" i="69"/>
  <c r="AD279" i="69"/>
  <c r="X281" i="69"/>
  <c r="R283" i="69"/>
  <c r="X273" i="69"/>
  <c r="R275" i="69"/>
  <c r="AI284" i="69"/>
  <c r="AD284" i="69"/>
  <c r="BA292" i="69"/>
  <c r="AV292" i="69"/>
  <c r="AD271" i="69"/>
  <c r="BE295" i="69"/>
  <c r="X260" i="69"/>
  <c r="X264" i="69"/>
  <c r="X271" i="69"/>
  <c r="R274" i="69"/>
  <c r="X277" i="69"/>
  <c r="R279" i="69"/>
  <c r="AC281" i="69"/>
  <c r="BM291" i="69"/>
  <c r="BH291" i="69"/>
  <c r="L295" i="69"/>
  <c r="AH198" i="69"/>
  <c r="W205" i="69"/>
  <c r="R205" i="69"/>
  <c r="AU216" i="69"/>
  <c r="V218" i="69"/>
  <c r="AB218" i="69" s="1"/>
  <c r="R218" i="69"/>
  <c r="AB199" i="69"/>
  <c r="AH199" i="69" s="1"/>
  <c r="AN199" i="69" s="1"/>
  <c r="AT199" i="69" s="1"/>
  <c r="AZ199" i="69" s="1"/>
  <c r="BF199" i="69" s="1"/>
  <c r="X199" i="69"/>
  <c r="AU209" i="69"/>
  <c r="AM217" i="69"/>
  <c r="AI199" i="69"/>
  <c r="AD201" i="69"/>
  <c r="AI201" i="69"/>
  <c r="AC203" i="69"/>
  <c r="X203" i="69"/>
  <c r="AD208" i="69"/>
  <c r="AI208" i="69"/>
  <c r="AB202" i="69"/>
  <c r="AH202" i="69" s="1"/>
  <c r="AN202" i="69" s="1"/>
  <c r="AT202" i="69" s="1"/>
  <c r="AZ202" i="69" s="1"/>
  <c r="BF202" i="69" s="1"/>
  <c r="X202" i="69"/>
  <c r="W212" i="69"/>
  <c r="R212" i="69"/>
  <c r="AO224" i="69"/>
  <c r="AJ224" i="69"/>
  <c r="AN207" i="69"/>
  <c r="AT207" i="69" s="1"/>
  <c r="AU218" i="69"/>
  <c r="V209" i="69"/>
  <c r="AB209" i="69" s="1"/>
  <c r="R209" i="69"/>
  <c r="BM214" i="69"/>
  <c r="AD217" i="69"/>
  <c r="AI217" i="69"/>
  <c r="AJ217" i="69" s="1"/>
  <c r="AI202" i="69"/>
  <c r="V216" i="69"/>
  <c r="AB216" i="69" s="1"/>
  <c r="R216" i="69"/>
  <c r="AL230" i="69"/>
  <c r="AM230" i="69" s="1"/>
  <c r="AO220" i="69"/>
  <c r="AI211" i="69"/>
  <c r="W213" i="69"/>
  <c r="AC225" i="69"/>
  <c r="AF230" i="69"/>
  <c r="AG230" i="69" s="1"/>
  <c r="AO222" i="69"/>
  <c r="AM200" i="69"/>
  <c r="R204" i="69"/>
  <c r="X211" i="69"/>
  <c r="X217" i="69"/>
  <c r="X224" i="69"/>
  <c r="T230" i="69"/>
  <c r="U230" i="69" s="1"/>
  <c r="AR230" i="69"/>
  <c r="AS230" i="69" s="1"/>
  <c r="AG220" i="69"/>
  <c r="X221" i="69"/>
  <c r="AD222" i="69"/>
  <c r="AD224" i="69"/>
  <c r="V214" i="69"/>
  <c r="AB214" i="69" s="1"/>
  <c r="AH214" i="69" s="1"/>
  <c r="L203" i="69"/>
  <c r="AD207" i="69"/>
  <c r="R217" i="69"/>
  <c r="V220" i="69"/>
  <c r="R222" i="69"/>
  <c r="BH229" i="69"/>
  <c r="W200" i="69"/>
  <c r="AC204" i="69"/>
  <c r="X207" i="69"/>
  <c r="AC221" i="69"/>
  <c r="R223" i="69"/>
  <c r="R226" i="69"/>
  <c r="X120" i="69"/>
  <c r="AC120" i="69"/>
  <c r="AB126" i="69"/>
  <c r="AH126" i="69" s="1"/>
  <c r="AN126" i="69" s="1"/>
  <c r="AT126" i="69" s="1"/>
  <c r="AZ126" i="69" s="1"/>
  <c r="BF126" i="69" s="1"/>
  <c r="BH126" i="69" s="1"/>
  <c r="X126" i="69"/>
  <c r="AI128" i="69"/>
  <c r="X137" i="69"/>
  <c r="AB137" i="69"/>
  <c r="AH137" i="69" s="1"/>
  <c r="AN137" i="69" s="1"/>
  <c r="AT137" i="69" s="1"/>
  <c r="AZ137" i="69" s="1"/>
  <c r="BF137" i="69" s="1"/>
  <c r="AD117" i="69"/>
  <c r="AI117" i="69"/>
  <c r="AB115" i="69"/>
  <c r="AH115" i="69" s="1"/>
  <c r="AN115" i="69" s="1"/>
  <c r="AT115" i="69" s="1"/>
  <c r="AZ115" i="69" s="1"/>
  <c r="BF115" i="69" s="1"/>
  <c r="AC123" i="69"/>
  <c r="X123" i="69"/>
  <c r="AD116" i="69"/>
  <c r="AI116" i="69"/>
  <c r="AJ116" i="69" s="1"/>
  <c r="X121" i="69"/>
  <c r="AU132" i="69"/>
  <c r="AP132" i="69"/>
  <c r="AH119" i="69"/>
  <c r="AN119" i="69" s="1"/>
  <c r="AD119" i="69"/>
  <c r="AC121" i="69"/>
  <c r="AC125" i="69"/>
  <c r="AI142" i="69"/>
  <c r="AD144" i="69"/>
  <c r="AI144" i="69"/>
  <c r="AJ147" i="69"/>
  <c r="AC114" i="69"/>
  <c r="X124" i="69"/>
  <c r="W143" i="69"/>
  <c r="R143" i="69"/>
  <c r="W146" i="69"/>
  <c r="R146" i="69"/>
  <c r="AU147" i="69"/>
  <c r="AP147" i="69"/>
  <c r="X114" i="69"/>
  <c r="U118" i="69"/>
  <c r="R121" i="69"/>
  <c r="R124" i="69"/>
  <c r="AD134" i="69"/>
  <c r="AY115" i="69"/>
  <c r="X116" i="69"/>
  <c r="X117" i="69"/>
  <c r="W118" i="69"/>
  <c r="W122" i="69"/>
  <c r="R125" i="69"/>
  <c r="X128" i="69"/>
  <c r="W129" i="69"/>
  <c r="AJ132" i="69"/>
  <c r="X134" i="69"/>
  <c r="X135" i="69"/>
  <c r="R137" i="69"/>
  <c r="AC141" i="69"/>
  <c r="X141" i="69"/>
  <c r="AO148" i="69"/>
  <c r="R150" i="69"/>
  <c r="AI151" i="69"/>
  <c r="AD151" i="69"/>
  <c r="AD152" i="69"/>
  <c r="AI152" i="69"/>
  <c r="P190" i="69"/>
  <c r="AB114" i="69"/>
  <c r="AM116" i="69"/>
  <c r="R123" i="69"/>
  <c r="R126" i="69"/>
  <c r="X127" i="69"/>
  <c r="R128" i="69"/>
  <c r="AD132" i="69"/>
  <c r="R133" i="69"/>
  <c r="X147" i="69"/>
  <c r="R148" i="69"/>
  <c r="V148" i="69"/>
  <c r="X152" i="69"/>
  <c r="AM118" i="69"/>
  <c r="AC135" i="69"/>
  <c r="R114" i="69"/>
  <c r="X119" i="69"/>
  <c r="AJ126" i="69"/>
  <c r="X132" i="69"/>
  <c r="W133" i="69"/>
  <c r="AI137" i="69"/>
  <c r="W139" i="69"/>
  <c r="R139" i="69"/>
  <c r="AD147" i="69"/>
  <c r="R116" i="69"/>
  <c r="AC124" i="69"/>
  <c r="R132" i="69"/>
  <c r="AI134" i="69"/>
  <c r="AI149" i="69"/>
  <c r="AI181" i="69"/>
  <c r="BM189" i="69"/>
  <c r="BH189" i="69"/>
  <c r="X150" i="69"/>
  <c r="AC150" i="69"/>
  <c r="R165" i="69"/>
  <c r="AJ178" i="69"/>
  <c r="AB177" i="69"/>
  <c r="AH177" i="69" s="1"/>
  <c r="AN177" i="69" s="1"/>
  <c r="AT177" i="69" s="1"/>
  <c r="AZ177" i="69" s="1"/>
  <c r="BF177" i="69" s="1"/>
  <c r="AI156" i="69"/>
  <c r="AI160" i="69"/>
  <c r="W168" i="69"/>
  <c r="R168" i="69"/>
  <c r="AI173" i="69"/>
  <c r="AD173" i="69"/>
  <c r="W176" i="69"/>
  <c r="R176" i="69"/>
  <c r="AC165" i="69"/>
  <c r="AH171" i="69"/>
  <c r="AD171" i="69"/>
  <c r="AC175" i="69"/>
  <c r="R154" i="69"/>
  <c r="R158" i="69"/>
  <c r="AC167" i="69"/>
  <c r="X167" i="69"/>
  <c r="R170" i="69"/>
  <c r="AL190" i="69"/>
  <c r="AM190" i="69" s="1"/>
  <c r="AD159" i="69"/>
  <c r="AI159" i="69"/>
  <c r="AC162" i="69"/>
  <c r="W172" i="69"/>
  <c r="R172" i="69"/>
  <c r="AI153" i="69"/>
  <c r="AD153" i="69"/>
  <c r="W154" i="69"/>
  <c r="AI157" i="69"/>
  <c r="AD157" i="69"/>
  <c r="W158" i="69"/>
  <c r="AI161" i="69"/>
  <c r="AD161" i="69"/>
  <c r="AU171" i="69"/>
  <c r="AC174" i="69"/>
  <c r="X174" i="69"/>
  <c r="AU180" i="69"/>
  <c r="X181" i="69"/>
  <c r="AU182" i="69"/>
  <c r="AP182" i="69"/>
  <c r="BB184" i="69"/>
  <c r="AI185" i="69"/>
  <c r="AV186" i="69"/>
  <c r="AC166" i="69"/>
  <c r="X179" i="69"/>
  <c r="AC179" i="69"/>
  <c r="AJ180" i="69"/>
  <c r="AP183" i="69"/>
  <c r="AU183" i="69"/>
  <c r="AA190" i="69"/>
  <c r="W164" i="69"/>
  <c r="R164" i="69"/>
  <c r="R179" i="69"/>
  <c r="AJ183" i="69"/>
  <c r="BH184" i="69"/>
  <c r="BB189" i="69"/>
  <c r="R153" i="69"/>
  <c r="R157" i="69"/>
  <c r="R161" i="69"/>
  <c r="AC170" i="69"/>
  <c r="X170" i="69"/>
  <c r="X171" i="69"/>
  <c r="X178" i="69"/>
  <c r="AP184" i="69"/>
  <c r="BG186" i="69"/>
  <c r="BB186" i="69"/>
  <c r="X83" i="69"/>
  <c r="AC83" i="69"/>
  <c r="AD83" i="69" s="1"/>
  <c r="AI90" i="69"/>
  <c r="AD90" i="69"/>
  <c r="AB95" i="69"/>
  <c r="AH95" i="69" s="1"/>
  <c r="AN95" i="69" s="1"/>
  <c r="AT95" i="69" s="1"/>
  <c r="AZ95" i="69" s="1"/>
  <c r="BF95" i="69" s="1"/>
  <c r="X95" i="69"/>
  <c r="X85" i="69"/>
  <c r="AC85" i="69"/>
  <c r="AO96" i="69"/>
  <c r="AH98" i="69"/>
  <c r="AN98" i="69" s="1"/>
  <c r="AT98" i="69" s="1"/>
  <c r="AZ98" i="69" s="1"/>
  <c r="BF98" i="69" s="1"/>
  <c r="AD98" i="69"/>
  <c r="AD84" i="69"/>
  <c r="AT102" i="69"/>
  <c r="AZ102" i="69" s="1"/>
  <c r="BF102" i="69" s="1"/>
  <c r="AP102" i="69"/>
  <c r="AB81" i="69"/>
  <c r="W82" i="69"/>
  <c r="AB91" i="69"/>
  <c r="AH91" i="69" s="1"/>
  <c r="AN91" i="69" s="1"/>
  <c r="AT91" i="69" s="1"/>
  <c r="AZ91" i="69" s="1"/>
  <c r="BF91" i="69" s="1"/>
  <c r="V93" i="69"/>
  <c r="AB93" i="69" s="1"/>
  <c r="AH93" i="69" s="1"/>
  <c r="AN93" i="69" s="1"/>
  <c r="AT93" i="69" s="1"/>
  <c r="AZ93" i="69" s="1"/>
  <c r="BF93" i="69" s="1"/>
  <c r="X98" i="69"/>
  <c r="AJ102" i="69"/>
  <c r="V106" i="69"/>
  <c r="AB106" i="69" s="1"/>
  <c r="AH106" i="69" s="1"/>
  <c r="AN106" i="69" s="1"/>
  <c r="AT106" i="69" s="1"/>
  <c r="AZ106" i="69" s="1"/>
  <c r="BF106" i="69" s="1"/>
  <c r="X87" i="69"/>
  <c r="R89" i="69"/>
  <c r="AC94" i="69"/>
  <c r="AO98" i="69"/>
  <c r="AD99" i="69"/>
  <c r="AI99" i="69"/>
  <c r="AC101" i="69"/>
  <c r="BA102" i="69"/>
  <c r="BH108" i="69"/>
  <c r="AF110" i="69"/>
  <c r="AG110" i="69" s="1"/>
  <c r="R83" i="69"/>
  <c r="R85" i="69"/>
  <c r="R87" i="69"/>
  <c r="R90" i="69"/>
  <c r="X99" i="69"/>
  <c r="AU105" i="69"/>
  <c r="X84" i="69"/>
  <c r="X86" i="69"/>
  <c r="W88" i="69"/>
  <c r="X100" i="69"/>
  <c r="AD103" i="69"/>
  <c r="AI103" i="69"/>
  <c r="X90" i="69"/>
  <c r="W81" i="69"/>
  <c r="AG83" i="69"/>
  <c r="AC86" i="69"/>
  <c r="L88" i="69"/>
  <c r="AC93" i="69"/>
  <c r="AJ105" i="69"/>
  <c r="AC106" i="69"/>
  <c r="O81" i="69"/>
  <c r="AC87" i="69"/>
  <c r="AC89" i="69"/>
  <c r="R98" i="69"/>
  <c r="R99" i="69"/>
  <c r="AD102" i="69"/>
  <c r="AO107" i="69"/>
  <c r="X92" i="69"/>
  <c r="AI95" i="69"/>
  <c r="X97" i="69"/>
  <c r="AC97" i="69"/>
  <c r="BA109" i="69"/>
  <c r="AI56" i="69"/>
  <c r="AD56" i="69"/>
  <c r="AC59" i="69"/>
  <c r="X59" i="69"/>
  <c r="X61" i="69"/>
  <c r="AC61" i="69"/>
  <c r="X65" i="69"/>
  <c r="AC65" i="69"/>
  <c r="X69" i="69"/>
  <c r="AC69" i="69"/>
  <c r="AH55" i="69"/>
  <c r="X57" i="69"/>
  <c r="AC57" i="69"/>
  <c r="AC62" i="69"/>
  <c r="X62" i="69"/>
  <c r="AC66" i="69"/>
  <c r="X66" i="69"/>
  <c r="AC70" i="69"/>
  <c r="X70" i="69"/>
  <c r="AI60" i="69"/>
  <c r="AI72" i="69"/>
  <c r="AC58" i="69"/>
  <c r="X58" i="69"/>
  <c r="AI64" i="69"/>
  <c r="AD64" i="69"/>
  <c r="AI68" i="69"/>
  <c r="AD68" i="69"/>
  <c r="AU73" i="69"/>
  <c r="W55" i="69"/>
  <c r="V60" i="69"/>
  <c r="V75" i="69" s="1"/>
  <c r="W63" i="69"/>
  <c r="W67" i="69"/>
  <c r="W71" i="69"/>
  <c r="AU74" i="69"/>
  <c r="AL75" i="69"/>
  <c r="AM75" i="69" s="1"/>
  <c r="R57" i="69"/>
  <c r="R61" i="69"/>
  <c r="R65" i="69"/>
  <c r="R69" i="69"/>
  <c r="X56" i="69"/>
  <c r="U57" i="69"/>
  <c r="R59" i="69"/>
  <c r="R62" i="69"/>
  <c r="X64" i="69"/>
  <c r="R66" i="69"/>
  <c r="X68" i="69"/>
  <c r="Q75" i="69"/>
  <c r="R75" i="69" s="1"/>
  <c r="AD12" i="69"/>
  <c r="AI12" i="69"/>
  <c r="AC21" i="69"/>
  <c r="X21" i="69"/>
  <c r="AN20" i="69"/>
  <c r="AT20" i="69" s="1"/>
  <c r="AJ20" i="69"/>
  <c r="X5" i="69"/>
  <c r="AC5" i="69"/>
  <c r="AI11" i="69"/>
  <c r="AD11" i="69"/>
  <c r="X8" i="69"/>
  <c r="AC8" i="69"/>
  <c r="AD10" i="69"/>
  <c r="AI10" i="69"/>
  <c r="AD26" i="69"/>
  <c r="AI26" i="69"/>
  <c r="AC6" i="69"/>
  <c r="X6" i="69"/>
  <c r="AI13" i="69"/>
  <c r="AD13" i="69"/>
  <c r="AC9" i="69"/>
  <c r="X9" i="69"/>
  <c r="AN16" i="69"/>
  <c r="AT16" i="69" s="1"/>
  <c r="AJ16" i="69"/>
  <c r="V50" i="69"/>
  <c r="U7" i="69"/>
  <c r="U13" i="69"/>
  <c r="X26" i="69"/>
  <c r="X29" i="69"/>
  <c r="AB37" i="69"/>
  <c r="R8" i="69"/>
  <c r="X10" i="69"/>
  <c r="AI14" i="69"/>
  <c r="AI18" i="69"/>
  <c r="AI23" i="69"/>
  <c r="AD23" i="69"/>
  <c r="X32" i="69"/>
  <c r="AC32" i="69"/>
  <c r="BA37" i="69"/>
  <c r="X43" i="69"/>
  <c r="AC43" i="69"/>
  <c r="X4" i="69"/>
  <c r="R5" i="69"/>
  <c r="W7" i="69"/>
  <c r="AD22" i="69"/>
  <c r="AI22" i="69"/>
  <c r="W24" i="69"/>
  <c r="R24" i="69"/>
  <c r="BD50" i="69"/>
  <c r="BE50" i="69" s="1"/>
  <c r="BE35" i="69"/>
  <c r="X38" i="69"/>
  <c r="AC38" i="69"/>
  <c r="R6" i="69"/>
  <c r="O7" i="69"/>
  <c r="R9" i="69"/>
  <c r="X11" i="69"/>
  <c r="X12" i="69"/>
  <c r="X14" i="69"/>
  <c r="X18" i="69"/>
  <c r="X22" i="69"/>
  <c r="AI28" i="69"/>
  <c r="AD28" i="69"/>
  <c r="AC30" i="69"/>
  <c r="X30" i="69"/>
  <c r="R38" i="69"/>
  <c r="Q40" i="69"/>
  <c r="Q50" i="69" s="1"/>
  <c r="O40" i="69"/>
  <c r="P50" i="69"/>
  <c r="AA4" i="69"/>
  <c r="AA13" i="69"/>
  <c r="R21" i="69"/>
  <c r="AX50" i="69"/>
  <c r="AY50" i="69" s="1"/>
  <c r="AY22" i="69"/>
  <c r="X27" i="69"/>
  <c r="X35" i="69"/>
  <c r="R37" i="69"/>
  <c r="W39" i="69"/>
  <c r="R39" i="69"/>
  <c r="N50" i="69"/>
  <c r="O50" i="69" s="1"/>
  <c r="AB4" i="69"/>
  <c r="X23" i="69"/>
  <c r="X41" i="69"/>
  <c r="AC41" i="69"/>
  <c r="BG48" i="69"/>
  <c r="BB48" i="69"/>
  <c r="R4" i="69"/>
  <c r="AC4" i="69"/>
  <c r="AD16" i="69"/>
  <c r="AD20" i="69"/>
  <c r="R23" i="69"/>
  <c r="AI25" i="69"/>
  <c r="AD27" i="69"/>
  <c r="X28" i="69"/>
  <c r="AC35" i="69"/>
  <c r="AD35" i="69" s="1"/>
  <c r="R41" i="69"/>
  <c r="W42" i="69"/>
  <c r="R42" i="69"/>
  <c r="AY40" i="69"/>
  <c r="AJ45" i="69"/>
  <c r="AV46" i="69"/>
  <c r="BA46" i="69"/>
  <c r="R26" i="69"/>
  <c r="AF50" i="69"/>
  <c r="AG50" i="69" s="1"/>
  <c r="AO45" i="69"/>
  <c r="AC49" i="69"/>
  <c r="R30" i="69"/>
  <c r="AG35" i="69"/>
  <c r="AD44" i="69"/>
  <c r="AI44" i="69"/>
  <c r="AP47" i="69"/>
  <c r="AM50" i="69"/>
  <c r="X16" i="1" l="1"/>
  <c r="AI14" i="1"/>
  <c r="AJ15" i="1"/>
  <c r="X33" i="1"/>
  <c r="AD48" i="1"/>
  <c r="X20" i="1"/>
  <c r="AI29" i="1"/>
  <c r="AJ29" i="1" s="1"/>
  <c r="AD13" i="1"/>
  <c r="X14" i="1"/>
  <c r="AP19" i="1"/>
  <c r="X29" i="1"/>
  <c r="X39" i="1"/>
  <c r="AC36" i="1"/>
  <c r="AD36" i="1" s="1"/>
  <c r="X19" i="1"/>
  <c r="AD17" i="1"/>
  <c r="AD21" i="1"/>
  <c r="BA19" i="1"/>
  <c r="BG19" i="1" s="1"/>
  <c r="AC40" i="1"/>
  <c r="AD40" i="1" s="1"/>
  <c r="X23" i="1"/>
  <c r="AP39" i="1"/>
  <c r="AD23" i="1"/>
  <c r="AO23" i="1"/>
  <c r="AU23" i="1" s="1"/>
  <c r="AD19" i="1"/>
  <c r="AD42" i="1"/>
  <c r="R22" i="1"/>
  <c r="W22" i="1"/>
  <c r="AI40" i="1"/>
  <c r="X31" i="1"/>
  <c r="AC31" i="1"/>
  <c r="AD33" i="1"/>
  <c r="AI33" i="1"/>
  <c r="AC41" i="1"/>
  <c r="X41" i="1"/>
  <c r="AO14" i="1"/>
  <c r="AJ14" i="1"/>
  <c r="AP15" i="1"/>
  <c r="AU15" i="1"/>
  <c r="X5" i="1"/>
  <c r="AB5" i="1"/>
  <c r="AP18" i="1"/>
  <c r="AU18" i="1"/>
  <c r="X38" i="1"/>
  <c r="AC38" i="1"/>
  <c r="BB46" i="1"/>
  <c r="BG46" i="1"/>
  <c r="X25" i="1"/>
  <c r="AC25" i="1"/>
  <c r="AO29" i="1"/>
  <c r="AD12" i="1"/>
  <c r="AI12" i="1"/>
  <c r="V49" i="1"/>
  <c r="AB3" i="1"/>
  <c r="AU45" i="1"/>
  <c r="AP45" i="1"/>
  <c r="X26" i="1"/>
  <c r="AC26" i="1"/>
  <c r="AP44" i="1"/>
  <c r="AU44" i="1"/>
  <c r="AD28" i="1"/>
  <c r="AI28" i="1"/>
  <c r="X9" i="1"/>
  <c r="AC9" i="1"/>
  <c r="AI11" i="1"/>
  <c r="AD11" i="1"/>
  <c r="AO42" i="1"/>
  <c r="AJ42" i="1"/>
  <c r="BA39" i="1"/>
  <c r="AV39" i="1"/>
  <c r="BA47" i="1"/>
  <c r="AV47" i="1"/>
  <c r="AI27" i="1"/>
  <c r="AD27" i="1"/>
  <c r="X8" i="1"/>
  <c r="AB8" i="1"/>
  <c r="AJ43" i="1"/>
  <c r="AO43" i="1"/>
  <c r="AO17" i="1"/>
  <c r="AJ17" i="1"/>
  <c r="R49" i="1"/>
  <c r="AJ21" i="1"/>
  <c r="AO21" i="1"/>
  <c r="AO4" i="1"/>
  <c r="AJ4" i="1"/>
  <c r="AJ10" i="1"/>
  <c r="AO10" i="1"/>
  <c r="AO13" i="1"/>
  <c r="AJ13" i="1"/>
  <c r="AC35" i="1"/>
  <c r="X35" i="1"/>
  <c r="AD20" i="1"/>
  <c r="AI20" i="1"/>
  <c r="X6" i="1"/>
  <c r="AC6" i="1"/>
  <c r="AU8" i="1"/>
  <c r="AC30" i="1"/>
  <c r="X30" i="1"/>
  <c r="AI37" i="1"/>
  <c r="AD37" i="1"/>
  <c r="AJ39" i="1"/>
  <c r="AI24" i="1"/>
  <c r="AD24" i="1"/>
  <c r="AI32" i="1"/>
  <c r="AD32" i="1"/>
  <c r="W49" i="1"/>
  <c r="AC3" i="1"/>
  <c r="X3" i="1"/>
  <c r="AJ48" i="1"/>
  <c r="AO48" i="1"/>
  <c r="AD39" i="1"/>
  <c r="AC34" i="1"/>
  <c r="X34" i="1"/>
  <c r="AD16" i="1"/>
  <c r="AI16" i="1"/>
  <c r="AV7" i="1"/>
  <c r="BA7" i="1"/>
  <c r="W206" i="69"/>
  <c r="AD226" i="69"/>
  <c r="X142" i="69"/>
  <c r="Q230" i="69"/>
  <c r="AP226" i="69"/>
  <c r="AJ227" i="69"/>
  <c r="X227" i="69"/>
  <c r="AD227" i="69"/>
  <c r="BB265" i="69"/>
  <c r="AI349" i="69"/>
  <c r="AO145" i="69"/>
  <c r="AU145" i="69" s="1"/>
  <c r="AV145" i="69" s="1"/>
  <c r="AJ140" i="69"/>
  <c r="AV347" i="69"/>
  <c r="R50" i="69"/>
  <c r="AC267" i="69"/>
  <c r="AD250" i="69"/>
  <c r="X115" i="69"/>
  <c r="AO92" i="69"/>
  <c r="AJ92" i="69"/>
  <c r="X166" i="69"/>
  <c r="AD115" i="69"/>
  <c r="X144" i="69"/>
  <c r="AD92" i="69"/>
  <c r="AP20" i="69"/>
  <c r="X17" i="69"/>
  <c r="AI17" i="69"/>
  <c r="AC163" i="69"/>
  <c r="BB126" i="69"/>
  <c r="AV277" i="69"/>
  <c r="AD246" i="69"/>
  <c r="AP126" i="69"/>
  <c r="X246" i="69"/>
  <c r="X364" i="69"/>
  <c r="AJ342" i="69"/>
  <c r="AP277" i="69"/>
  <c r="X101" i="69"/>
  <c r="X280" i="69"/>
  <c r="AJ345" i="69"/>
  <c r="AP345" i="69"/>
  <c r="AD145" i="69"/>
  <c r="X169" i="69"/>
  <c r="X145" i="69"/>
  <c r="X140" i="69"/>
  <c r="AP207" i="69"/>
  <c r="AD345" i="69"/>
  <c r="X96" i="69"/>
  <c r="AV100" i="69"/>
  <c r="X149" i="69"/>
  <c r="AC136" i="69"/>
  <c r="AI136" i="69" s="1"/>
  <c r="AD288" i="69"/>
  <c r="AC243" i="69"/>
  <c r="BA377" i="69"/>
  <c r="BG377" i="69" s="1"/>
  <c r="AP377" i="69"/>
  <c r="X349" i="69"/>
  <c r="X344" i="69"/>
  <c r="AI138" i="69"/>
  <c r="AD177" i="69"/>
  <c r="V190" i="69"/>
  <c r="AV126" i="69"/>
  <c r="X345" i="69"/>
  <c r="AV345" i="69"/>
  <c r="X16" i="69"/>
  <c r="X138" i="69"/>
  <c r="AP371" i="69"/>
  <c r="AU320" i="69"/>
  <c r="BA320" i="69" s="1"/>
  <c r="X156" i="69"/>
  <c r="BA145" i="69"/>
  <c r="BG47" i="69"/>
  <c r="BH47" i="69" s="1"/>
  <c r="AP100" i="69"/>
  <c r="AD126" i="69"/>
  <c r="AD156" i="69"/>
  <c r="AD140" i="69"/>
  <c r="X219" i="69"/>
  <c r="AD202" i="69"/>
  <c r="AI219" i="69"/>
  <c r="X106" i="69"/>
  <c r="AP140" i="69"/>
  <c r="AD96" i="69"/>
  <c r="AJ100" i="69"/>
  <c r="Q110" i="69"/>
  <c r="R110" i="69" s="1"/>
  <c r="X177" i="69"/>
  <c r="AD137" i="69"/>
  <c r="AJ207" i="69"/>
  <c r="AD199" i="69"/>
  <c r="AJ277" i="69"/>
  <c r="AV265" i="69"/>
  <c r="X250" i="69"/>
  <c r="AD320" i="69"/>
  <c r="AC310" i="69"/>
  <c r="AD310" i="69" s="1"/>
  <c r="X329" i="69"/>
  <c r="X339" i="69"/>
  <c r="AV184" i="69"/>
  <c r="AC33" i="69"/>
  <c r="BH376" i="69"/>
  <c r="AD228" i="69"/>
  <c r="AI228" i="69"/>
  <c r="X34" i="69"/>
  <c r="X93" i="69"/>
  <c r="AP127" i="69"/>
  <c r="AO116" i="69"/>
  <c r="AU116" i="69" s="1"/>
  <c r="AC210" i="69"/>
  <c r="X210" i="69"/>
  <c r="AI29" i="69"/>
  <c r="AD29" i="69"/>
  <c r="V230" i="69"/>
  <c r="AJ335" i="69"/>
  <c r="X334" i="69"/>
  <c r="AB160" i="69"/>
  <c r="X160" i="69"/>
  <c r="AD335" i="69"/>
  <c r="AC19" i="69"/>
  <c r="X19" i="69"/>
  <c r="AJ226" i="69"/>
  <c r="AI169" i="69"/>
  <c r="AD169" i="69"/>
  <c r="AI155" i="69"/>
  <c r="AO155" i="69" s="1"/>
  <c r="AJ119" i="69"/>
  <c r="R136" i="69"/>
  <c r="AV127" i="69"/>
  <c r="AD214" i="69"/>
  <c r="AD223" i="69"/>
  <c r="BG382" i="69"/>
  <c r="AC332" i="69"/>
  <c r="AI332" i="69" s="1"/>
  <c r="X131" i="69"/>
  <c r="AC131" i="69"/>
  <c r="AC15" i="69"/>
  <c r="X15" i="69"/>
  <c r="AD91" i="69"/>
  <c r="AO34" i="69"/>
  <c r="AP34" i="69" s="1"/>
  <c r="AD34" i="69"/>
  <c r="AP27" i="69"/>
  <c r="AD31" i="69"/>
  <c r="AI83" i="69"/>
  <c r="AJ83" i="69" s="1"/>
  <c r="Q190" i="69"/>
  <c r="AO217" i="69"/>
  <c r="AP217" i="69" s="1"/>
  <c r="X335" i="69"/>
  <c r="AC130" i="69"/>
  <c r="X130" i="69"/>
  <c r="AI268" i="69"/>
  <c r="AD268" i="69"/>
  <c r="AI36" i="69"/>
  <c r="AD36" i="69"/>
  <c r="AH274" i="69"/>
  <c r="AD274" i="69"/>
  <c r="AI272" i="69"/>
  <c r="AD272" i="69"/>
  <c r="AP145" i="69"/>
  <c r="AJ127" i="69"/>
  <c r="R230" i="69"/>
  <c r="AV376" i="69"/>
  <c r="BB376" i="69"/>
  <c r="X367" i="69"/>
  <c r="AU104" i="69"/>
  <c r="AP104" i="69"/>
  <c r="AC198" i="69"/>
  <c r="X198" i="69"/>
  <c r="X215" i="69"/>
  <c r="AC215" i="69"/>
  <c r="X91" i="69"/>
  <c r="AI352" i="69"/>
  <c r="AD352" i="69"/>
  <c r="AU369" i="69"/>
  <c r="AD360" i="69"/>
  <c r="AI360" i="69"/>
  <c r="AD355" i="69"/>
  <c r="AI355" i="69"/>
  <c r="BG347" i="69"/>
  <c r="BB347" i="69"/>
  <c r="X357" i="69"/>
  <c r="AC357" i="69"/>
  <c r="AJ343" i="69"/>
  <c r="AO343" i="69"/>
  <c r="AJ307" i="69"/>
  <c r="AO307" i="69"/>
  <c r="AC356" i="69"/>
  <c r="X356" i="69"/>
  <c r="X338" i="69"/>
  <c r="AC338" i="69"/>
  <c r="AP339" i="69"/>
  <c r="AU339" i="69"/>
  <c r="AP342" i="69"/>
  <c r="AU342" i="69"/>
  <c r="AJ351" i="69"/>
  <c r="AO351" i="69"/>
  <c r="X350" i="69"/>
  <c r="AC350" i="69"/>
  <c r="AC322" i="69"/>
  <c r="X322" i="69"/>
  <c r="AI313" i="69"/>
  <c r="AD313" i="69"/>
  <c r="AC324" i="69"/>
  <c r="X324" i="69"/>
  <c r="AU312" i="69"/>
  <c r="AP312" i="69"/>
  <c r="X336" i="69"/>
  <c r="AC336" i="69"/>
  <c r="AD321" i="69"/>
  <c r="AI321" i="69"/>
  <c r="X337" i="69"/>
  <c r="AC337" i="69"/>
  <c r="AC315" i="69"/>
  <c r="X315" i="69"/>
  <c r="BB378" i="69"/>
  <c r="BG378" i="69"/>
  <c r="AV371" i="69"/>
  <c r="BA371" i="69"/>
  <c r="AD370" i="69"/>
  <c r="AI370" i="69"/>
  <c r="AP335" i="69"/>
  <c r="AU335" i="69"/>
  <c r="X303" i="69"/>
  <c r="AC303" i="69"/>
  <c r="AI306" i="69"/>
  <c r="AD306" i="69"/>
  <c r="AD334" i="69"/>
  <c r="AI334" i="69"/>
  <c r="AI364" i="69"/>
  <c r="AD364" i="69"/>
  <c r="AO354" i="69"/>
  <c r="AJ354" i="69"/>
  <c r="AJ368" i="69"/>
  <c r="AO368" i="69"/>
  <c r="AD309" i="69"/>
  <c r="AI309" i="69"/>
  <c r="AI314" i="69"/>
  <c r="AD314" i="69"/>
  <c r="BA375" i="69"/>
  <c r="AV375" i="69"/>
  <c r="BM382" i="69"/>
  <c r="BH382" i="69"/>
  <c r="AO304" i="69"/>
  <c r="AJ304" i="69"/>
  <c r="AI367" i="69"/>
  <c r="AD367" i="69"/>
  <c r="BA363" i="69"/>
  <c r="AV363" i="69"/>
  <c r="AV372" i="69"/>
  <c r="BA372" i="69"/>
  <c r="BA365" i="69"/>
  <c r="AV365" i="69"/>
  <c r="AP347" i="69"/>
  <c r="W383" i="69"/>
  <c r="X302" i="69"/>
  <c r="AC302" i="69"/>
  <c r="X340" i="69"/>
  <c r="AC340" i="69"/>
  <c r="V383" i="69"/>
  <c r="AB302" i="69"/>
  <c r="AP331" i="69"/>
  <c r="AU331" i="69"/>
  <c r="X348" i="69"/>
  <c r="AC348" i="69"/>
  <c r="AD332" i="69"/>
  <c r="AO311" i="69"/>
  <c r="AJ311" i="69"/>
  <c r="AP308" i="69"/>
  <c r="AU308" i="69"/>
  <c r="AO349" i="69"/>
  <c r="AJ349" i="69"/>
  <c r="X369" i="69"/>
  <c r="AB369" i="69"/>
  <c r="X373" i="69"/>
  <c r="AC373" i="69"/>
  <c r="AP374" i="69"/>
  <c r="AU374" i="69"/>
  <c r="AC362" i="69"/>
  <c r="X362" i="69"/>
  <c r="X327" i="69"/>
  <c r="AC327" i="69"/>
  <c r="X333" i="69"/>
  <c r="AC333" i="69"/>
  <c r="AD330" i="69"/>
  <c r="AI330" i="69"/>
  <c r="AJ317" i="69"/>
  <c r="AO317" i="69"/>
  <c r="AD305" i="69"/>
  <c r="AI305" i="69"/>
  <c r="AI326" i="69"/>
  <c r="AD326" i="69"/>
  <c r="AD353" i="69"/>
  <c r="AI353" i="69"/>
  <c r="AD344" i="69"/>
  <c r="AI344" i="69"/>
  <c r="BB377" i="69"/>
  <c r="BA366" i="69"/>
  <c r="AV366" i="69"/>
  <c r="AP341" i="69"/>
  <c r="AU341" i="69"/>
  <c r="AJ359" i="69"/>
  <c r="AO359" i="69"/>
  <c r="AU361" i="69"/>
  <c r="AP361" i="69"/>
  <c r="AD325" i="69"/>
  <c r="AI325" i="69"/>
  <c r="BB345" i="69"/>
  <c r="BG345" i="69"/>
  <c r="AC358" i="69"/>
  <c r="X358" i="69"/>
  <c r="AD328" i="69"/>
  <c r="AI328" i="69"/>
  <c r="AI318" i="69"/>
  <c r="AD318" i="69"/>
  <c r="AJ316" i="69"/>
  <c r="AO316" i="69"/>
  <c r="X323" i="69"/>
  <c r="AC323" i="69"/>
  <c r="AI329" i="69"/>
  <c r="AD329" i="69"/>
  <c r="BB346" i="69"/>
  <c r="BG346" i="69"/>
  <c r="AP319" i="69"/>
  <c r="AU319" i="69"/>
  <c r="AD275" i="69"/>
  <c r="AI275" i="69"/>
  <c r="AC245" i="69"/>
  <c r="X245" i="69"/>
  <c r="AB295" i="69"/>
  <c r="AH236" i="69"/>
  <c r="AJ264" i="69"/>
  <c r="X270" i="69"/>
  <c r="AO248" i="69"/>
  <c r="AJ248" i="69"/>
  <c r="AU264" i="69"/>
  <c r="AP264" i="69"/>
  <c r="AI270" i="69"/>
  <c r="AD270" i="69"/>
  <c r="AJ262" i="69"/>
  <c r="AO262" i="69"/>
  <c r="AO242" i="69"/>
  <c r="AJ242" i="69"/>
  <c r="AC254" i="69"/>
  <c r="X254" i="69"/>
  <c r="AH280" i="69"/>
  <c r="AD280" i="69"/>
  <c r="AZ268" i="69"/>
  <c r="AU285" i="69"/>
  <c r="AP285" i="69"/>
  <c r="AD251" i="69"/>
  <c r="AI251" i="69"/>
  <c r="AI281" i="69"/>
  <c r="AD281" i="69"/>
  <c r="BB292" i="69"/>
  <c r="BG292" i="69"/>
  <c r="AJ288" i="69"/>
  <c r="AO288" i="69"/>
  <c r="X259" i="69"/>
  <c r="AC259" i="69"/>
  <c r="AI269" i="69"/>
  <c r="AD269" i="69"/>
  <c r="AO253" i="69"/>
  <c r="AJ253" i="69"/>
  <c r="AI247" i="69"/>
  <c r="AD247" i="69"/>
  <c r="AI258" i="69"/>
  <c r="AD258" i="69"/>
  <c r="AI243" i="69"/>
  <c r="AD243" i="69"/>
  <c r="AO246" i="69"/>
  <c r="AO250" i="69"/>
  <c r="AJ250" i="69"/>
  <c r="AI252" i="69"/>
  <c r="AD252" i="69"/>
  <c r="AI238" i="69"/>
  <c r="AD238" i="69"/>
  <c r="BM290" i="69"/>
  <c r="BH290" i="69"/>
  <c r="AJ284" i="69"/>
  <c r="AO284" i="69"/>
  <c r="AD283" i="69"/>
  <c r="AI283" i="69"/>
  <c r="BG244" i="69"/>
  <c r="BB244" i="69"/>
  <c r="X261" i="69"/>
  <c r="AC261" i="69"/>
  <c r="AP271" i="69"/>
  <c r="AU271" i="69"/>
  <c r="AD255" i="69"/>
  <c r="AI255" i="69"/>
  <c r="AP286" i="69"/>
  <c r="AU286" i="69"/>
  <c r="BM294" i="69"/>
  <c r="BH294" i="69"/>
  <c r="AP287" i="69"/>
  <c r="AU287" i="69"/>
  <c r="AD276" i="69"/>
  <c r="AI278" i="69"/>
  <c r="AD278" i="69"/>
  <c r="AD236" i="69"/>
  <c r="AI236" i="69"/>
  <c r="AJ257" i="69"/>
  <c r="AO257" i="69"/>
  <c r="AJ273" i="69"/>
  <c r="AO273" i="69"/>
  <c r="W295" i="69"/>
  <c r="AD267" i="69"/>
  <c r="AI267" i="69"/>
  <c r="AC239" i="69"/>
  <c r="AC295" i="69" s="1"/>
  <c r="AD295" i="69" s="1"/>
  <c r="X239" i="69"/>
  <c r="AI241" i="69"/>
  <c r="AD241" i="69"/>
  <c r="AI240" i="69"/>
  <c r="AD240" i="69"/>
  <c r="AI282" i="69"/>
  <c r="AD282" i="69"/>
  <c r="AP260" i="69"/>
  <c r="AU260" i="69"/>
  <c r="BG277" i="69"/>
  <c r="BB277" i="69"/>
  <c r="AI256" i="69"/>
  <c r="AD256" i="69"/>
  <c r="AP279" i="69"/>
  <c r="AU279" i="69"/>
  <c r="AO276" i="69"/>
  <c r="AJ276" i="69"/>
  <c r="R295" i="69"/>
  <c r="AI266" i="69"/>
  <c r="AD266" i="69"/>
  <c r="V295" i="69"/>
  <c r="AI263" i="69"/>
  <c r="AD263" i="69"/>
  <c r="AI237" i="69"/>
  <c r="AD237" i="69"/>
  <c r="BM226" i="69"/>
  <c r="AI204" i="69"/>
  <c r="AD204" i="69"/>
  <c r="AU220" i="69"/>
  <c r="AP227" i="69"/>
  <c r="AU227" i="69"/>
  <c r="X200" i="69"/>
  <c r="AC200" i="69"/>
  <c r="AJ202" i="69"/>
  <c r="AO202" i="69"/>
  <c r="AB220" i="69"/>
  <c r="AB230" i="69" s="1"/>
  <c r="X220" i="69"/>
  <c r="AZ226" i="69"/>
  <c r="AV226" i="69"/>
  <c r="AO201" i="69"/>
  <c r="AJ201" i="69"/>
  <c r="AI221" i="69"/>
  <c r="AD221" i="69"/>
  <c r="W230" i="69"/>
  <c r="AI225" i="69"/>
  <c r="AD225" i="69"/>
  <c r="AO223" i="69"/>
  <c r="AJ223" i="69"/>
  <c r="BA218" i="69"/>
  <c r="X212" i="69"/>
  <c r="AC212" i="69"/>
  <c r="BA209" i="69"/>
  <c r="BA216" i="69"/>
  <c r="X205" i="69"/>
  <c r="AC205" i="69"/>
  <c r="AU222" i="69"/>
  <c r="AP222" i="69"/>
  <c r="X206" i="69"/>
  <c r="AC206" i="69"/>
  <c r="AH209" i="69"/>
  <c r="AD209" i="69"/>
  <c r="AU224" i="69"/>
  <c r="AP224" i="69"/>
  <c r="AI203" i="69"/>
  <c r="AD203" i="69"/>
  <c r="AH218" i="69"/>
  <c r="AD218" i="69"/>
  <c r="X218" i="69"/>
  <c r="AN214" i="69"/>
  <c r="AJ214" i="69"/>
  <c r="AC213" i="69"/>
  <c r="X213" i="69"/>
  <c r="X214" i="69"/>
  <c r="X209" i="69"/>
  <c r="AJ211" i="69"/>
  <c r="AO211" i="69"/>
  <c r="X216" i="69"/>
  <c r="AZ207" i="69"/>
  <c r="AV207" i="69"/>
  <c r="AJ199" i="69"/>
  <c r="AO199" i="69"/>
  <c r="AN198" i="69"/>
  <c r="AH216" i="69"/>
  <c r="AD216" i="69"/>
  <c r="AO208" i="69"/>
  <c r="AJ208" i="69"/>
  <c r="AO219" i="69"/>
  <c r="AJ219" i="69"/>
  <c r="BM186" i="69"/>
  <c r="BH186" i="69"/>
  <c r="BA183" i="69"/>
  <c r="AV183" i="69"/>
  <c r="AJ185" i="69"/>
  <c r="AO185" i="69"/>
  <c r="BA171" i="69"/>
  <c r="X154" i="69"/>
  <c r="AC154" i="69"/>
  <c r="AI165" i="69"/>
  <c r="AD165" i="69"/>
  <c r="AU178" i="69"/>
  <c r="AP178" i="69"/>
  <c r="AO149" i="69"/>
  <c r="AJ149" i="69"/>
  <c r="BA140" i="69"/>
  <c r="AV140" i="69"/>
  <c r="AO151" i="69"/>
  <c r="AJ151" i="69"/>
  <c r="AI125" i="69"/>
  <c r="AD125" i="69"/>
  <c r="AH114" i="69"/>
  <c r="AC122" i="69"/>
  <c r="X122" i="69"/>
  <c r="AD114" i="69"/>
  <c r="AI114" i="69"/>
  <c r="AI121" i="69"/>
  <c r="AD121" i="69"/>
  <c r="AI123" i="69"/>
  <c r="AD123" i="69"/>
  <c r="BA147" i="69"/>
  <c r="AV147" i="69"/>
  <c r="W190" i="69"/>
  <c r="AV132" i="69"/>
  <c r="BA132" i="69"/>
  <c r="AU148" i="69"/>
  <c r="AC118" i="69"/>
  <c r="X118" i="69"/>
  <c r="AJ128" i="69"/>
  <c r="AO128" i="69"/>
  <c r="X176" i="69"/>
  <c r="AC176" i="69"/>
  <c r="BG127" i="69"/>
  <c r="BB127" i="69"/>
  <c r="AO117" i="69"/>
  <c r="AJ117" i="69"/>
  <c r="X168" i="69"/>
  <c r="AC168" i="69"/>
  <c r="AJ153" i="69"/>
  <c r="AO153" i="69"/>
  <c r="AO177" i="69"/>
  <c r="AJ177" i="69"/>
  <c r="AO134" i="69"/>
  <c r="AJ134" i="69"/>
  <c r="AD135" i="69"/>
  <c r="AI135" i="69"/>
  <c r="AD170" i="69"/>
  <c r="AI170" i="69"/>
  <c r="BA180" i="69"/>
  <c r="AV180" i="69"/>
  <c r="X158" i="69"/>
  <c r="AC158" i="69"/>
  <c r="R190" i="69"/>
  <c r="AI175" i="69"/>
  <c r="AD175" i="69"/>
  <c r="AC139" i="69"/>
  <c r="X139" i="69"/>
  <c r="AO152" i="69"/>
  <c r="AJ152" i="69"/>
  <c r="AC129" i="69"/>
  <c r="X129" i="69"/>
  <c r="X133" i="69"/>
  <c r="AC133" i="69"/>
  <c r="AO160" i="69"/>
  <c r="BG145" i="69"/>
  <c r="BB145" i="69"/>
  <c r="X148" i="69"/>
  <c r="AB148" i="69"/>
  <c r="AI179" i="69"/>
  <c r="AD179" i="69"/>
  <c r="AI150" i="69"/>
  <c r="AD150" i="69"/>
  <c r="X172" i="69"/>
  <c r="AC172" i="69"/>
  <c r="AO156" i="69"/>
  <c r="AJ156" i="69"/>
  <c r="AI163" i="69"/>
  <c r="AD163" i="69"/>
  <c r="X146" i="69"/>
  <c r="AC146" i="69"/>
  <c r="X164" i="69"/>
  <c r="AC164" i="69"/>
  <c r="AD166" i="69"/>
  <c r="AI166" i="69"/>
  <c r="AD162" i="69"/>
  <c r="AI162" i="69"/>
  <c r="AJ173" i="69"/>
  <c r="AO173" i="69"/>
  <c r="AI124" i="69"/>
  <c r="AD124" i="69"/>
  <c r="AD141" i="69"/>
  <c r="AI141" i="69"/>
  <c r="AC143" i="69"/>
  <c r="X143" i="69"/>
  <c r="AO142" i="69"/>
  <c r="AJ142" i="69"/>
  <c r="AT119" i="69"/>
  <c r="AP119" i="69"/>
  <c r="AI120" i="69"/>
  <c r="AD120" i="69"/>
  <c r="AD167" i="69"/>
  <c r="AI167" i="69"/>
  <c r="AV182" i="69"/>
  <c r="BA182" i="69"/>
  <c r="AJ161" i="69"/>
  <c r="AO161" i="69"/>
  <c r="AO144" i="69"/>
  <c r="AJ144" i="69"/>
  <c r="AD174" i="69"/>
  <c r="AI174" i="69"/>
  <c r="AJ157" i="69"/>
  <c r="AO157" i="69"/>
  <c r="AO159" i="69"/>
  <c r="AJ159" i="69"/>
  <c r="AN171" i="69"/>
  <c r="AJ171" i="69"/>
  <c r="AO181" i="69"/>
  <c r="AJ181" i="69"/>
  <c r="AO137" i="69"/>
  <c r="AJ137" i="69"/>
  <c r="AO115" i="69"/>
  <c r="AJ115" i="69"/>
  <c r="AI106" i="69"/>
  <c r="AD106" i="69"/>
  <c r="AB110" i="69"/>
  <c r="AH81" i="69"/>
  <c r="AD86" i="69"/>
  <c r="AI86" i="69"/>
  <c r="AO90" i="69"/>
  <c r="AJ90" i="69"/>
  <c r="AI89" i="69"/>
  <c r="AD89" i="69"/>
  <c r="AU98" i="69"/>
  <c r="AP98" i="69"/>
  <c r="AD85" i="69"/>
  <c r="AI85" i="69"/>
  <c r="AU107" i="69"/>
  <c r="AP107" i="69"/>
  <c r="AC82" i="69"/>
  <c r="X82" i="69"/>
  <c r="BB109" i="69"/>
  <c r="BG109" i="69"/>
  <c r="AO83" i="69"/>
  <c r="AI97" i="69"/>
  <c r="AD97" i="69"/>
  <c r="AC88" i="69"/>
  <c r="X88" i="69"/>
  <c r="AO99" i="69"/>
  <c r="AJ99" i="69"/>
  <c r="W110" i="69"/>
  <c r="X81" i="69"/>
  <c r="AC81" i="69"/>
  <c r="V110" i="69"/>
  <c r="AO95" i="69"/>
  <c r="AJ95" i="69"/>
  <c r="AD95" i="69"/>
  <c r="AI87" i="69"/>
  <c r="AD87" i="69"/>
  <c r="AO103" i="69"/>
  <c r="AJ103" i="69"/>
  <c r="BA105" i="69"/>
  <c r="AV105" i="69"/>
  <c r="AI101" i="69"/>
  <c r="AD101" i="69"/>
  <c r="AI93" i="69"/>
  <c r="AD93" i="69"/>
  <c r="AO84" i="69"/>
  <c r="AJ84" i="69"/>
  <c r="AU96" i="69"/>
  <c r="AP96" i="69"/>
  <c r="AO91" i="69"/>
  <c r="AJ91" i="69"/>
  <c r="BG102" i="69"/>
  <c r="BB102" i="69"/>
  <c r="AI94" i="69"/>
  <c r="AD94" i="69"/>
  <c r="BG100" i="69"/>
  <c r="BB100" i="69"/>
  <c r="AV102" i="69"/>
  <c r="AJ98" i="69"/>
  <c r="AO68" i="69"/>
  <c r="AJ68" i="69"/>
  <c r="AI61" i="69"/>
  <c r="AD61" i="69"/>
  <c r="BA73" i="69"/>
  <c r="AV73" i="69"/>
  <c r="AO72" i="69"/>
  <c r="AJ72" i="69"/>
  <c r="AI62" i="69"/>
  <c r="AD62" i="69"/>
  <c r="AI65" i="69"/>
  <c r="AD65" i="69"/>
  <c r="AO60" i="69"/>
  <c r="BA74" i="69"/>
  <c r="AV74" i="69"/>
  <c r="AI57" i="69"/>
  <c r="AD57" i="69"/>
  <c r="AC71" i="69"/>
  <c r="X71" i="69"/>
  <c r="AC67" i="69"/>
  <c r="X67" i="69"/>
  <c r="AO64" i="69"/>
  <c r="AJ64" i="69"/>
  <c r="AI70" i="69"/>
  <c r="AD70" i="69"/>
  <c r="AN55" i="69"/>
  <c r="AC63" i="69"/>
  <c r="X63" i="69"/>
  <c r="AI59" i="69"/>
  <c r="AD59" i="69"/>
  <c r="AB60" i="69"/>
  <c r="X60" i="69"/>
  <c r="AD58" i="69"/>
  <c r="AI58" i="69"/>
  <c r="AI66" i="69"/>
  <c r="AD66" i="69"/>
  <c r="AI69" i="69"/>
  <c r="AD69" i="69"/>
  <c r="AC55" i="69"/>
  <c r="W75" i="69"/>
  <c r="X75" i="69" s="1"/>
  <c r="X55" i="69"/>
  <c r="AO56" i="69"/>
  <c r="AJ56" i="69"/>
  <c r="AJ23" i="69"/>
  <c r="AO23" i="69"/>
  <c r="AI8" i="69"/>
  <c r="AD8" i="69"/>
  <c r="AI21" i="69"/>
  <c r="AD21" i="69"/>
  <c r="BG37" i="69"/>
  <c r="AJ26" i="69"/>
  <c r="AO26" i="69"/>
  <c r="AO17" i="69"/>
  <c r="AJ17" i="69"/>
  <c r="AO11" i="69"/>
  <c r="AJ11" i="69"/>
  <c r="AC39" i="69"/>
  <c r="X39" i="69"/>
  <c r="AO18" i="69"/>
  <c r="AJ18" i="69"/>
  <c r="AO31" i="69"/>
  <c r="AJ31" i="69"/>
  <c r="AI4" i="69"/>
  <c r="AD4" i="69"/>
  <c r="AO22" i="69"/>
  <c r="AJ22" i="69"/>
  <c r="AO14" i="69"/>
  <c r="AJ14" i="69"/>
  <c r="AD49" i="69"/>
  <c r="AI49" i="69"/>
  <c r="AH4" i="69"/>
  <c r="AB50" i="69"/>
  <c r="AI5" i="69"/>
  <c r="AD5" i="69"/>
  <c r="AP45" i="69"/>
  <c r="AU45" i="69"/>
  <c r="BM48" i="69"/>
  <c r="BH48" i="69"/>
  <c r="AJ28" i="69"/>
  <c r="AO28" i="69"/>
  <c r="AI32" i="69"/>
  <c r="AD32" i="69"/>
  <c r="AO13" i="69"/>
  <c r="AJ13" i="69"/>
  <c r="X42" i="69"/>
  <c r="AC42" i="69"/>
  <c r="BG46" i="69"/>
  <c r="BB46" i="69"/>
  <c r="X24" i="69"/>
  <c r="AC24" i="69"/>
  <c r="AZ16" i="69"/>
  <c r="AV16" i="69"/>
  <c r="AC7" i="69"/>
  <c r="X7" i="69"/>
  <c r="AO10" i="69"/>
  <c r="AJ10" i="69"/>
  <c r="AO12" i="69"/>
  <c r="AJ12" i="69"/>
  <c r="AP16" i="69"/>
  <c r="AD30" i="69"/>
  <c r="AI30" i="69"/>
  <c r="AI9" i="69"/>
  <c r="AD9" i="69"/>
  <c r="AI35" i="69"/>
  <c r="AO25" i="69"/>
  <c r="AJ25" i="69"/>
  <c r="AI41" i="69"/>
  <c r="AD41" i="69"/>
  <c r="AO44" i="69"/>
  <c r="AJ44" i="69"/>
  <c r="R40" i="69"/>
  <c r="W40" i="69"/>
  <c r="W50" i="69" s="1"/>
  <c r="X50" i="69" s="1"/>
  <c r="AI38" i="69"/>
  <c r="AD38" i="69"/>
  <c r="AV27" i="69"/>
  <c r="BA27" i="69"/>
  <c r="AD43" i="69"/>
  <c r="AI43" i="69"/>
  <c r="AD37" i="69"/>
  <c r="AH37" i="69"/>
  <c r="AI6" i="69"/>
  <c r="AD6" i="69"/>
  <c r="AZ20" i="69"/>
  <c r="AV20" i="69"/>
  <c r="BB19" i="1" l="1"/>
  <c r="AI36" i="1"/>
  <c r="AC22" i="1"/>
  <c r="X22" i="1"/>
  <c r="AP23" i="1"/>
  <c r="BA18" i="1"/>
  <c r="AV18" i="1"/>
  <c r="AI41" i="1"/>
  <c r="AD41" i="1"/>
  <c r="AD35" i="1"/>
  <c r="AI35" i="1"/>
  <c r="AO28" i="1"/>
  <c r="AJ28" i="1"/>
  <c r="AO33" i="1"/>
  <c r="AJ33" i="1"/>
  <c r="BG7" i="1"/>
  <c r="BB7" i="1"/>
  <c r="AO36" i="1"/>
  <c r="AJ36" i="1"/>
  <c r="BA8" i="1"/>
  <c r="AU13" i="1"/>
  <c r="AP13" i="1"/>
  <c r="AH8" i="1"/>
  <c r="AD8" i="1"/>
  <c r="BA44" i="1"/>
  <c r="AV44" i="1"/>
  <c r="AO12" i="1"/>
  <c r="AJ12" i="1"/>
  <c r="AI38" i="1"/>
  <c r="AD38" i="1"/>
  <c r="BA15" i="1"/>
  <c r="AV15" i="1"/>
  <c r="AI31" i="1"/>
  <c r="AD31" i="1"/>
  <c r="AD25" i="1"/>
  <c r="AI25" i="1"/>
  <c r="BG47" i="1"/>
  <c r="BB47" i="1"/>
  <c r="AV45" i="1"/>
  <c r="BA45" i="1"/>
  <c r="BM46" i="1"/>
  <c r="BH46" i="1"/>
  <c r="AI6" i="1"/>
  <c r="AD6" i="1"/>
  <c r="AU10" i="1"/>
  <c r="AP10" i="1"/>
  <c r="AU42" i="1"/>
  <c r="AP42" i="1"/>
  <c r="AD34" i="1"/>
  <c r="AI34" i="1"/>
  <c r="AI30" i="1"/>
  <c r="AD30" i="1"/>
  <c r="AP43" i="1"/>
  <c r="AU43" i="1"/>
  <c r="AH5" i="1"/>
  <c r="AD5" i="1"/>
  <c r="AU48" i="1"/>
  <c r="AP48" i="1"/>
  <c r="AU21" i="1"/>
  <c r="AP21" i="1"/>
  <c r="AO16" i="1"/>
  <c r="AJ16" i="1"/>
  <c r="AC49" i="1"/>
  <c r="AD3" i="1"/>
  <c r="AI3" i="1"/>
  <c r="AV23" i="1"/>
  <c r="BA23" i="1"/>
  <c r="AI26" i="1"/>
  <c r="AD26" i="1"/>
  <c r="AJ37" i="1"/>
  <c r="AO37" i="1"/>
  <c r="AI9" i="1"/>
  <c r="AD9" i="1"/>
  <c r="AO32" i="1"/>
  <c r="AJ32" i="1"/>
  <c r="AU17" i="1"/>
  <c r="AP17" i="1"/>
  <c r="AP4" i="1"/>
  <c r="AU4" i="1"/>
  <c r="AB49" i="1"/>
  <c r="AH3" i="1"/>
  <c r="AJ24" i="1"/>
  <c r="AO24" i="1"/>
  <c r="BG39" i="1"/>
  <c r="BB39" i="1"/>
  <c r="X49" i="1"/>
  <c r="AJ20" i="1"/>
  <c r="AO20" i="1"/>
  <c r="BM19" i="1"/>
  <c r="BH19" i="1"/>
  <c r="AJ27" i="1"/>
  <c r="AO27" i="1"/>
  <c r="AO11" i="1"/>
  <c r="AJ11" i="1"/>
  <c r="AP29" i="1"/>
  <c r="AU29" i="1"/>
  <c r="AP14" i="1"/>
  <c r="AU14" i="1"/>
  <c r="AJ40" i="1"/>
  <c r="AO40" i="1"/>
  <c r="AP116" i="69"/>
  <c r="AI310" i="69"/>
  <c r="AV320" i="69"/>
  <c r="X230" i="69"/>
  <c r="AB190" i="69"/>
  <c r="AD136" i="69"/>
  <c r="AP92" i="69"/>
  <c r="AU92" i="69"/>
  <c r="AI33" i="69"/>
  <c r="AD33" i="69"/>
  <c r="AU217" i="69"/>
  <c r="AO138" i="69"/>
  <c r="AJ138" i="69"/>
  <c r="AJ155" i="69"/>
  <c r="X190" i="69"/>
  <c r="BM47" i="69"/>
  <c r="AD198" i="69"/>
  <c r="AI198" i="69"/>
  <c r="AO268" i="69"/>
  <c r="AJ268" i="69"/>
  <c r="AI131" i="69"/>
  <c r="AD131" i="69"/>
  <c r="AI210" i="69"/>
  <c r="AD210" i="69"/>
  <c r="AJ169" i="69"/>
  <c r="AO169" i="69"/>
  <c r="AN274" i="69"/>
  <c r="AJ274" i="69"/>
  <c r="AV104" i="69"/>
  <c r="BA104" i="69"/>
  <c r="X383" i="69"/>
  <c r="AD215" i="69"/>
  <c r="AI215" i="69"/>
  <c r="AD15" i="69"/>
  <c r="AI15" i="69"/>
  <c r="AI130" i="69"/>
  <c r="AD130" i="69"/>
  <c r="AU34" i="69"/>
  <c r="AO36" i="69"/>
  <c r="AJ36" i="69"/>
  <c r="AO228" i="69"/>
  <c r="AJ228" i="69"/>
  <c r="AO272" i="69"/>
  <c r="AJ272" i="69"/>
  <c r="AH160" i="69"/>
  <c r="AD160" i="69"/>
  <c r="AI19" i="69"/>
  <c r="AD19" i="69"/>
  <c r="AO29" i="69"/>
  <c r="AJ29" i="69"/>
  <c r="BA319" i="69"/>
  <c r="AV319" i="69"/>
  <c r="AP316" i="69"/>
  <c r="AU316" i="69"/>
  <c r="BM345" i="69"/>
  <c r="BH345" i="69"/>
  <c r="BA341" i="69"/>
  <c r="AV341" i="69"/>
  <c r="AJ353" i="69"/>
  <c r="AO353" i="69"/>
  <c r="AJ330" i="69"/>
  <c r="AO330" i="69"/>
  <c r="AV374" i="69"/>
  <c r="BA374" i="69"/>
  <c r="BA308" i="69"/>
  <c r="AV308" i="69"/>
  <c r="BA331" i="69"/>
  <c r="AV331" i="69"/>
  <c r="BA335" i="69"/>
  <c r="AV335" i="69"/>
  <c r="BM378" i="69"/>
  <c r="BH378" i="69"/>
  <c r="AD336" i="69"/>
  <c r="AI336" i="69"/>
  <c r="AP307" i="69"/>
  <c r="AU307" i="69"/>
  <c r="AJ355" i="69"/>
  <c r="AO355" i="69"/>
  <c r="AJ367" i="69"/>
  <c r="AO367" i="69"/>
  <c r="AJ314" i="69"/>
  <c r="AO314" i="69"/>
  <c r="AJ364" i="69"/>
  <c r="AO364" i="69"/>
  <c r="AI322" i="69"/>
  <c r="AD322" i="69"/>
  <c r="BB320" i="69"/>
  <c r="BG320" i="69"/>
  <c r="AB383" i="69"/>
  <c r="AH302" i="69"/>
  <c r="AJ309" i="69"/>
  <c r="AO309" i="69"/>
  <c r="AJ334" i="69"/>
  <c r="AO334" i="69"/>
  <c r="AO370" i="69"/>
  <c r="AJ370" i="69"/>
  <c r="AI350" i="69"/>
  <c r="AD350" i="69"/>
  <c r="BA339" i="69"/>
  <c r="AV339" i="69"/>
  <c r="AU343" i="69"/>
  <c r="AP343" i="69"/>
  <c r="AJ360" i="69"/>
  <c r="AO360" i="69"/>
  <c r="BA369" i="69"/>
  <c r="AJ325" i="69"/>
  <c r="AO325" i="69"/>
  <c r="AI333" i="69"/>
  <c r="AD333" i="69"/>
  <c r="AD315" i="69"/>
  <c r="AI315" i="69"/>
  <c r="AO328" i="69"/>
  <c r="AJ328" i="69"/>
  <c r="AJ305" i="69"/>
  <c r="AO305" i="69"/>
  <c r="AI340" i="69"/>
  <c r="AD340" i="69"/>
  <c r="AP351" i="69"/>
  <c r="AU351" i="69"/>
  <c r="AJ329" i="69"/>
  <c r="AO329" i="69"/>
  <c r="AV361" i="69"/>
  <c r="BA361" i="69"/>
  <c r="BH377" i="69"/>
  <c r="BM377" i="69"/>
  <c r="AJ306" i="69"/>
  <c r="AO306" i="69"/>
  <c r="AI324" i="69"/>
  <c r="AD324" i="69"/>
  <c r="AI373" i="69"/>
  <c r="AD373" i="69"/>
  <c r="AJ318" i="69"/>
  <c r="AO318" i="69"/>
  <c r="AO326" i="69"/>
  <c r="AJ326" i="69"/>
  <c r="BB365" i="69"/>
  <c r="BG365" i="69"/>
  <c r="AV312" i="69"/>
  <c r="BA312" i="69"/>
  <c r="AH369" i="69"/>
  <c r="AD369" i="69"/>
  <c r="BB371" i="69"/>
  <c r="BG371" i="69"/>
  <c r="AD338" i="69"/>
  <c r="AI338" i="69"/>
  <c r="AD323" i="69"/>
  <c r="AI323" i="69"/>
  <c r="AP359" i="69"/>
  <c r="AU359" i="69"/>
  <c r="AO344" i="69"/>
  <c r="AJ344" i="69"/>
  <c r="AU317" i="69"/>
  <c r="AP317" i="69"/>
  <c r="AD348" i="69"/>
  <c r="AI348" i="69"/>
  <c r="AC383" i="69"/>
  <c r="AI302" i="69"/>
  <c r="AD302" i="69"/>
  <c r="AD303" i="69"/>
  <c r="AI303" i="69"/>
  <c r="AO310" i="69"/>
  <c r="AJ310" i="69"/>
  <c r="AJ321" i="69"/>
  <c r="AO321" i="69"/>
  <c r="AV342" i="69"/>
  <c r="BA342" i="69"/>
  <c r="BM346" i="69"/>
  <c r="BH346" i="69"/>
  <c r="BB366" i="69"/>
  <c r="BG366" i="69"/>
  <c r="AP311" i="69"/>
  <c r="AU311" i="69"/>
  <c r="AP304" i="69"/>
  <c r="AU304" i="69"/>
  <c r="AD327" i="69"/>
  <c r="AI327" i="69"/>
  <c r="AJ332" i="69"/>
  <c r="AO332" i="69"/>
  <c r="BG372" i="69"/>
  <c r="BB372" i="69"/>
  <c r="AU368" i="69"/>
  <c r="AP368" i="69"/>
  <c r="AI337" i="69"/>
  <c r="AD337" i="69"/>
  <c r="AI357" i="69"/>
  <c r="AD357" i="69"/>
  <c r="AI358" i="69"/>
  <c r="AD358" i="69"/>
  <c r="AD362" i="69"/>
  <c r="AI362" i="69"/>
  <c r="AU349" i="69"/>
  <c r="AP349" i="69"/>
  <c r="BB363" i="69"/>
  <c r="BG363" i="69"/>
  <c r="BB375" i="69"/>
  <c r="BG375" i="69"/>
  <c r="AP354" i="69"/>
  <c r="AU354" i="69"/>
  <c r="AJ313" i="69"/>
  <c r="AO313" i="69"/>
  <c r="AI356" i="69"/>
  <c r="AD356" i="69"/>
  <c r="BM347" i="69"/>
  <c r="BH347" i="69"/>
  <c r="AJ352" i="69"/>
  <c r="AO352" i="69"/>
  <c r="BA279" i="69"/>
  <c r="AV279" i="69"/>
  <c r="AO267" i="69"/>
  <c r="AJ267" i="69"/>
  <c r="AH295" i="69"/>
  <c r="AN236" i="69"/>
  <c r="AJ243" i="69"/>
  <c r="AO243" i="69"/>
  <c r="AJ269" i="69"/>
  <c r="AO269" i="69"/>
  <c r="AJ281" i="69"/>
  <c r="AO281" i="69"/>
  <c r="AN280" i="69"/>
  <c r="AJ280" i="69"/>
  <c r="AO270" i="69"/>
  <c r="AJ270" i="69"/>
  <c r="AJ263" i="69"/>
  <c r="AO263" i="69"/>
  <c r="AO282" i="69"/>
  <c r="AJ282" i="69"/>
  <c r="X295" i="69"/>
  <c r="BH244" i="69"/>
  <c r="BM244" i="69"/>
  <c r="AJ238" i="69"/>
  <c r="AO238" i="69"/>
  <c r="AI259" i="69"/>
  <c r="AD259" i="69"/>
  <c r="AO251" i="69"/>
  <c r="AJ251" i="69"/>
  <c r="AJ240" i="69"/>
  <c r="AO240" i="69"/>
  <c r="AJ255" i="69"/>
  <c r="AO255" i="69"/>
  <c r="AO283" i="69"/>
  <c r="AJ283" i="69"/>
  <c r="AJ258" i="69"/>
  <c r="AO258" i="69"/>
  <c r="AD254" i="69"/>
  <c r="AI254" i="69"/>
  <c r="BA264" i="69"/>
  <c r="AV264" i="69"/>
  <c r="AD245" i="69"/>
  <c r="AI245" i="69"/>
  <c r="AO256" i="69"/>
  <c r="AJ256" i="69"/>
  <c r="BM277" i="69"/>
  <c r="BH277" i="69"/>
  <c r="AO241" i="69"/>
  <c r="AJ241" i="69"/>
  <c r="AU257" i="69"/>
  <c r="AP257" i="69"/>
  <c r="BA287" i="69"/>
  <c r="AV287" i="69"/>
  <c r="BA271" i="69"/>
  <c r="AV271" i="69"/>
  <c r="AU284" i="69"/>
  <c r="AP284" i="69"/>
  <c r="AJ247" i="69"/>
  <c r="AO247" i="69"/>
  <c r="BA285" i="69"/>
  <c r="AV285" i="69"/>
  <c r="AP242" i="69"/>
  <c r="AU242" i="69"/>
  <c r="AU248" i="69"/>
  <c r="AP248" i="69"/>
  <c r="AV286" i="69"/>
  <c r="BA286" i="69"/>
  <c r="AO278" i="69"/>
  <c r="AJ278" i="69"/>
  <c r="AJ266" i="69"/>
  <c r="AO266" i="69"/>
  <c r="AJ252" i="69"/>
  <c r="AO252" i="69"/>
  <c r="BA260" i="69"/>
  <c r="AV260" i="69"/>
  <c r="AU250" i="69"/>
  <c r="AP250" i="69"/>
  <c r="BH292" i="69"/>
  <c r="BM292" i="69"/>
  <c r="AU262" i="69"/>
  <c r="AP262" i="69"/>
  <c r="AO275" i="69"/>
  <c r="AJ275" i="69"/>
  <c r="AU273" i="69"/>
  <c r="AP273" i="69"/>
  <c r="AU288" i="69"/>
  <c r="AP288" i="69"/>
  <c r="AJ237" i="69"/>
  <c r="AO237" i="69"/>
  <c r="AU276" i="69"/>
  <c r="AP276" i="69"/>
  <c r="AI239" i="69"/>
  <c r="AD239" i="69"/>
  <c r="AO236" i="69"/>
  <c r="AJ236" i="69"/>
  <c r="AI261" i="69"/>
  <c r="AD261" i="69"/>
  <c r="AU246" i="69"/>
  <c r="AP246" i="69"/>
  <c r="AU253" i="69"/>
  <c r="AP253" i="69"/>
  <c r="BF268" i="69"/>
  <c r="AN216" i="69"/>
  <c r="AJ216" i="69"/>
  <c r="AU211" i="69"/>
  <c r="AP211" i="69"/>
  <c r="AO203" i="69"/>
  <c r="AJ203" i="69"/>
  <c r="BA222" i="69"/>
  <c r="AV222" i="69"/>
  <c r="AU202" i="69"/>
  <c r="AP202" i="69"/>
  <c r="BA227" i="69"/>
  <c r="AV227" i="69"/>
  <c r="AT198" i="69"/>
  <c r="BA224" i="69"/>
  <c r="AV224" i="69"/>
  <c r="AU199" i="69"/>
  <c r="AP199" i="69"/>
  <c r="AP201" i="69"/>
  <c r="AU201" i="69"/>
  <c r="BA220" i="69"/>
  <c r="BG216" i="69"/>
  <c r="AI205" i="69"/>
  <c r="AD205" i="69"/>
  <c r="BG218" i="69"/>
  <c r="AJ221" i="69"/>
  <c r="AO221" i="69"/>
  <c r="AN218" i="69"/>
  <c r="AJ218" i="69"/>
  <c r="AP223" i="69"/>
  <c r="AU223" i="69"/>
  <c r="BF207" i="69"/>
  <c r="BH207" i="69" s="1"/>
  <c r="BB207" i="69"/>
  <c r="AJ225" i="69"/>
  <c r="AO225" i="69"/>
  <c r="AI200" i="69"/>
  <c r="AD200" i="69"/>
  <c r="AC230" i="69"/>
  <c r="AD230" i="69" s="1"/>
  <c r="AU219" i="69"/>
  <c r="AP219" i="69"/>
  <c r="AN209" i="69"/>
  <c r="AJ209" i="69"/>
  <c r="AI213" i="69"/>
  <c r="AD213" i="69"/>
  <c r="AV217" i="69"/>
  <c r="BA217" i="69"/>
  <c r="AI206" i="69"/>
  <c r="AD206" i="69"/>
  <c r="BG209" i="69"/>
  <c r="BF226" i="69"/>
  <c r="BH226" i="69" s="1"/>
  <c r="BB226" i="69"/>
  <c r="AJ204" i="69"/>
  <c r="AO204" i="69"/>
  <c r="AP208" i="69"/>
  <c r="AU208" i="69"/>
  <c r="AT214" i="69"/>
  <c r="AP214" i="69"/>
  <c r="AI212" i="69"/>
  <c r="AD212" i="69"/>
  <c r="AH220" i="69"/>
  <c r="AD220" i="69"/>
  <c r="AD158" i="69"/>
  <c r="AI158" i="69"/>
  <c r="AJ123" i="69"/>
  <c r="AO123" i="69"/>
  <c r="AN114" i="69"/>
  <c r="AP137" i="69"/>
  <c r="AU137" i="69"/>
  <c r="AJ124" i="69"/>
  <c r="AO124" i="69"/>
  <c r="AD129" i="69"/>
  <c r="AI129" i="69"/>
  <c r="AO174" i="69"/>
  <c r="AJ174" i="69"/>
  <c r="AU173" i="69"/>
  <c r="AP173" i="69"/>
  <c r="AI146" i="69"/>
  <c r="AD146" i="69"/>
  <c r="AP134" i="69"/>
  <c r="AU134" i="69"/>
  <c r="AP155" i="69"/>
  <c r="AU155" i="69"/>
  <c r="AU149" i="69"/>
  <c r="AP149" i="69"/>
  <c r="BG171" i="69"/>
  <c r="AU160" i="69"/>
  <c r="AP185" i="69"/>
  <c r="AU185" i="69"/>
  <c r="AV178" i="69"/>
  <c r="BA178" i="69"/>
  <c r="AJ121" i="69"/>
  <c r="AO121" i="69"/>
  <c r="AU161" i="69"/>
  <c r="AP161" i="69"/>
  <c r="AO141" i="69"/>
  <c r="AJ141" i="69"/>
  <c r="AO166" i="69"/>
  <c r="AJ166" i="69"/>
  <c r="AH148" i="69"/>
  <c r="AH190" i="69" s="1"/>
  <c r="AD148" i="69"/>
  <c r="BA116" i="69"/>
  <c r="AV116" i="69"/>
  <c r="BM127" i="69"/>
  <c r="BH127" i="69"/>
  <c r="AI118" i="69"/>
  <c r="AD118" i="69"/>
  <c r="AC190" i="69"/>
  <c r="AU151" i="69"/>
  <c r="AP151" i="69"/>
  <c r="AO165" i="69"/>
  <c r="AJ165" i="69"/>
  <c r="BB183" i="69"/>
  <c r="BG183" i="69"/>
  <c r="AU128" i="69"/>
  <c r="AP128" i="69"/>
  <c r="AP181" i="69"/>
  <c r="AU181" i="69"/>
  <c r="AJ150" i="69"/>
  <c r="AO150" i="69"/>
  <c r="AP152" i="69"/>
  <c r="AU152" i="69"/>
  <c r="AO167" i="69"/>
  <c r="AJ167" i="69"/>
  <c r="AO162" i="69"/>
  <c r="AJ162" i="69"/>
  <c r="AU177" i="69"/>
  <c r="AP177" i="69"/>
  <c r="AO114" i="69"/>
  <c r="AJ114" i="69"/>
  <c r="AT171" i="69"/>
  <c r="AP171" i="69"/>
  <c r="AP144" i="69"/>
  <c r="AU144" i="69"/>
  <c r="AO170" i="69"/>
  <c r="AJ170" i="69"/>
  <c r="AO136" i="69"/>
  <c r="AJ136" i="69"/>
  <c r="AP159" i="69"/>
  <c r="AU159" i="69"/>
  <c r="AJ120" i="69"/>
  <c r="AO120" i="69"/>
  <c r="AP156" i="69"/>
  <c r="AU156" i="69"/>
  <c r="AO175" i="69"/>
  <c r="AJ175" i="69"/>
  <c r="AJ135" i="69"/>
  <c r="AO135" i="69"/>
  <c r="AI168" i="69"/>
  <c r="AD168" i="69"/>
  <c r="AI176" i="69"/>
  <c r="AD176" i="69"/>
  <c r="BA148" i="69"/>
  <c r="BG147" i="69"/>
  <c r="BB147" i="69"/>
  <c r="AD154" i="69"/>
  <c r="AI154" i="69"/>
  <c r="AZ119" i="69"/>
  <c r="AV119" i="69"/>
  <c r="BM145" i="69"/>
  <c r="BH145" i="69"/>
  <c r="AU142" i="69"/>
  <c r="AP142" i="69"/>
  <c r="BG132" i="69"/>
  <c r="BB132" i="69"/>
  <c r="AD133" i="69"/>
  <c r="AI133" i="69"/>
  <c r="BG180" i="69"/>
  <c r="BB180" i="69"/>
  <c r="AP117" i="69"/>
  <c r="AU117" i="69"/>
  <c r="AO125" i="69"/>
  <c r="AJ125" i="69"/>
  <c r="AP115" i="69"/>
  <c r="AU115" i="69"/>
  <c r="AI143" i="69"/>
  <c r="AD143" i="69"/>
  <c r="AO163" i="69"/>
  <c r="AJ163" i="69"/>
  <c r="AJ179" i="69"/>
  <c r="AO179" i="69"/>
  <c r="AI139" i="69"/>
  <c r="AD139" i="69"/>
  <c r="AU153" i="69"/>
  <c r="AP153" i="69"/>
  <c r="AU157" i="69"/>
  <c r="AP157" i="69"/>
  <c r="BG182" i="69"/>
  <c r="BB182" i="69"/>
  <c r="AI164" i="69"/>
  <c r="AD164" i="69"/>
  <c r="AI172" i="69"/>
  <c r="AD172" i="69"/>
  <c r="AD122" i="69"/>
  <c r="AI122" i="69"/>
  <c r="BB140" i="69"/>
  <c r="BG140" i="69"/>
  <c r="AJ87" i="69"/>
  <c r="AO87" i="69"/>
  <c r="AP99" i="69"/>
  <c r="AU99" i="69"/>
  <c r="AD82" i="69"/>
  <c r="AI82" i="69"/>
  <c r="BM102" i="69"/>
  <c r="BH102" i="69"/>
  <c r="AJ86" i="69"/>
  <c r="AO86" i="69"/>
  <c r="BA98" i="69"/>
  <c r="AV98" i="69"/>
  <c r="BA96" i="69"/>
  <c r="AV96" i="69"/>
  <c r="AC110" i="69"/>
  <c r="AD110" i="69" s="1"/>
  <c r="AI81" i="69"/>
  <c r="AD81" i="69"/>
  <c r="AJ97" i="69"/>
  <c r="AO97" i="69"/>
  <c r="AJ89" i="69"/>
  <c r="AO89" i="69"/>
  <c r="BH109" i="69"/>
  <c r="BM109" i="69"/>
  <c r="AJ101" i="69"/>
  <c r="AO101" i="69"/>
  <c r="AD88" i="69"/>
  <c r="AI88" i="69"/>
  <c r="AO94" i="69"/>
  <c r="AJ94" i="69"/>
  <c r="AP84" i="69"/>
  <c r="AU84" i="69"/>
  <c r="AP103" i="69"/>
  <c r="AU103" i="69"/>
  <c r="AJ93" i="69"/>
  <c r="AO93" i="69"/>
  <c r="AO85" i="69"/>
  <c r="AJ85" i="69"/>
  <c r="AP91" i="69"/>
  <c r="AU91" i="69"/>
  <c r="AP95" i="69"/>
  <c r="AU95" i="69"/>
  <c r="BM100" i="69"/>
  <c r="BH100" i="69"/>
  <c r="BB105" i="69"/>
  <c r="BG105" i="69"/>
  <c r="AH110" i="69"/>
  <c r="AN81" i="69"/>
  <c r="X110" i="69"/>
  <c r="AU83" i="69"/>
  <c r="AP83" i="69"/>
  <c r="AV107" i="69"/>
  <c r="BA107" i="69"/>
  <c r="AU90" i="69"/>
  <c r="AP90" i="69"/>
  <c r="AJ106" i="69"/>
  <c r="AO106" i="69"/>
  <c r="AU64" i="69"/>
  <c r="AP64" i="69"/>
  <c r="AO59" i="69"/>
  <c r="AJ59" i="69"/>
  <c r="AU72" i="69"/>
  <c r="AP72" i="69"/>
  <c r="AD63" i="69"/>
  <c r="AI63" i="69"/>
  <c r="BB73" i="69"/>
  <c r="BG73" i="69"/>
  <c r="AT55" i="69"/>
  <c r="AJ69" i="69"/>
  <c r="AO69" i="69"/>
  <c r="BB74" i="69"/>
  <c r="BG74" i="69"/>
  <c r="AO66" i="69"/>
  <c r="AJ66" i="69"/>
  <c r="AD67" i="69"/>
  <c r="AI67" i="69"/>
  <c r="AU60" i="69"/>
  <c r="AU56" i="69"/>
  <c r="AP56" i="69"/>
  <c r="AO58" i="69"/>
  <c r="AJ58" i="69"/>
  <c r="AD71" i="69"/>
  <c r="AI71" i="69"/>
  <c r="AJ65" i="69"/>
  <c r="AO65" i="69"/>
  <c r="AJ61" i="69"/>
  <c r="AO61" i="69"/>
  <c r="AD55" i="69"/>
  <c r="AI55" i="69"/>
  <c r="AC75" i="69"/>
  <c r="AH60" i="69"/>
  <c r="AB75" i="69"/>
  <c r="AD60" i="69"/>
  <c r="AO70" i="69"/>
  <c r="AJ70" i="69"/>
  <c r="AJ57" i="69"/>
  <c r="AO57" i="69"/>
  <c r="AO62" i="69"/>
  <c r="AJ62" i="69"/>
  <c r="AU68" i="69"/>
  <c r="AP68" i="69"/>
  <c r="AO6" i="69"/>
  <c r="AJ6" i="69"/>
  <c r="AJ41" i="69"/>
  <c r="AO41" i="69"/>
  <c r="AI24" i="69"/>
  <c r="AD24" i="69"/>
  <c r="BG27" i="69"/>
  <c r="BB27" i="69"/>
  <c r="AO9" i="69"/>
  <c r="AJ9" i="69"/>
  <c r="BF16" i="69"/>
  <c r="BH16" i="69" s="1"/>
  <c r="BB16" i="69"/>
  <c r="AP13" i="69"/>
  <c r="AU13" i="69"/>
  <c r="AN4" i="69"/>
  <c r="AH50" i="69"/>
  <c r="AO4" i="69"/>
  <c r="AJ4" i="69"/>
  <c r="BM37" i="69"/>
  <c r="AP11" i="69"/>
  <c r="AU11" i="69"/>
  <c r="AJ21" i="69"/>
  <c r="AO21" i="69"/>
  <c r="AJ49" i="69"/>
  <c r="AO49" i="69"/>
  <c r="AN37" i="69"/>
  <c r="AJ37" i="69"/>
  <c r="AJ32" i="69"/>
  <c r="AO32" i="69"/>
  <c r="AP12" i="69"/>
  <c r="AU12" i="69"/>
  <c r="AI42" i="69"/>
  <c r="AD42" i="69"/>
  <c r="BA34" i="69"/>
  <c r="AV34" i="69"/>
  <c r="AP18" i="69"/>
  <c r="AU18" i="69"/>
  <c r="AP17" i="69"/>
  <c r="AU17" i="69"/>
  <c r="AJ8" i="69"/>
  <c r="AO8" i="69"/>
  <c r="AP25" i="69"/>
  <c r="AU25" i="69"/>
  <c r="AU31" i="69"/>
  <c r="AP31" i="69"/>
  <c r="AO35" i="69"/>
  <c r="AJ35" i="69"/>
  <c r="BM46" i="69"/>
  <c r="BH46" i="69"/>
  <c r="AJ43" i="69"/>
  <c r="AO43" i="69"/>
  <c r="AI7" i="69"/>
  <c r="AD7" i="69"/>
  <c r="AJ5" i="69"/>
  <c r="AO5" i="69"/>
  <c r="AP22" i="69"/>
  <c r="AU22" i="69"/>
  <c r="AP26" i="69"/>
  <c r="AU26" i="69"/>
  <c r="AP23" i="69"/>
  <c r="AU23" i="69"/>
  <c r="AO30" i="69"/>
  <c r="AJ30" i="69"/>
  <c r="AJ38" i="69"/>
  <c r="AO38" i="69"/>
  <c r="AV45" i="69"/>
  <c r="BA45" i="69"/>
  <c r="AC40" i="69"/>
  <c r="X40" i="69"/>
  <c r="AP10" i="69"/>
  <c r="AU10" i="69"/>
  <c r="AP14" i="69"/>
  <c r="AU14" i="69"/>
  <c r="BF20" i="69"/>
  <c r="BH20" i="69" s="1"/>
  <c r="BB20" i="69"/>
  <c r="AP44" i="69"/>
  <c r="AU44" i="69"/>
  <c r="AU28" i="69"/>
  <c r="AP28" i="69"/>
  <c r="AI39" i="69"/>
  <c r="AD39" i="69"/>
  <c r="AI22" i="1" l="1"/>
  <c r="AD22" i="1"/>
  <c r="AH49" i="1"/>
  <c r="AN3" i="1"/>
  <c r="BG45" i="1"/>
  <c r="BB45" i="1"/>
  <c r="AP32" i="1"/>
  <c r="AU32" i="1"/>
  <c r="BA21" i="1"/>
  <c r="AV21" i="1"/>
  <c r="BG8" i="1"/>
  <c r="AI49" i="1"/>
  <c r="AO3" i="1"/>
  <c r="AJ3" i="1"/>
  <c r="AV48" i="1"/>
  <c r="BA48" i="1"/>
  <c r="AJ31" i="1"/>
  <c r="AO31" i="1"/>
  <c r="BG44" i="1"/>
  <c r="BB44" i="1"/>
  <c r="AP11" i="1"/>
  <c r="AU11" i="1"/>
  <c r="AD49" i="1"/>
  <c r="AN5" i="1"/>
  <c r="AJ5" i="1"/>
  <c r="AV42" i="1"/>
  <c r="BA42" i="1"/>
  <c r="BB15" i="1"/>
  <c r="BG15" i="1"/>
  <c r="AN8" i="1"/>
  <c r="AJ8" i="1"/>
  <c r="BH7" i="1"/>
  <c r="BM7" i="1"/>
  <c r="AJ41" i="1"/>
  <c r="AO41" i="1"/>
  <c r="BA14" i="1"/>
  <c r="AV14" i="1"/>
  <c r="AO26" i="1"/>
  <c r="AJ26" i="1"/>
  <c r="BG23" i="1"/>
  <c r="BB23" i="1"/>
  <c r="AJ30" i="1"/>
  <c r="AO30" i="1"/>
  <c r="AJ6" i="1"/>
  <c r="AO6" i="1"/>
  <c r="AU28" i="1"/>
  <c r="AP28" i="1"/>
  <c r="AP20" i="1"/>
  <c r="AU20" i="1"/>
  <c r="AJ9" i="1"/>
  <c r="AO9" i="1"/>
  <c r="AJ34" i="1"/>
  <c r="AO34" i="1"/>
  <c r="AJ35" i="1"/>
  <c r="AO35" i="1"/>
  <c r="AV4" i="1"/>
  <c r="BA4" i="1"/>
  <c r="AU36" i="1"/>
  <c r="AP36" i="1"/>
  <c r="AP40" i="1"/>
  <c r="AU40" i="1"/>
  <c r="AU27" i="1"/>
  <c r="AP27" i="1"/>
  <c r="BH39" i="1"/>
  <c r="BM39" i="1"/>
  <c r="BA17" i="1"/>
  <c r="AV17" i="1"/>
  <c r="BA43" i="1"/>
  <c r="AV43" i="1"/>
  <c r="AO25" i="1"/>
  <c r="AJ25" i="1"/>
  <c r="AP12" i="1"/>
  <c r="AU12" i="1"/>
  <c r="BA29" i="1"/>
  <c r="AV29" i="1"/>
  <c r="AU37" i="1"/>
  <c r="AP37" i="1"/>
  <c r="AP24" i="1"/>
  <c r="AU24" i="1"/>
  <c r="AP16" i="1"/>
  <c r="AU16" i="1"/>
  <c r="AV10" i="1"/>
  <c r="BA10" i="1"/>
  <c r="BM47" i="1"/>
  <c r="BH47" i="1"/>
  <c r="AO38" i="1"/>
  <c r="AJ38" i="1"/>
  <c r="BA13" i="1"/>
  <c r="AV13" i="1"/>
  <c r="AP33" i="1"/>
  <c r="AU33" i="1"/>
  <c r="BB18" i="1"/>
  <c r="BG18" i="1"/>
  <c r="AV92" i="69"/>
  <c r="BA92" i="69"/>
  <c r="AD190" i="69"/>
  <c r="AI295" i="69"/>
  <c r="AJ295" i="69" s="1"/>
  <c r="AU138" i="69"/>
  <c r="AP138" i="69"/>
  <c r="AO33" i="69"/>
  <c r="AJ33" i="69"/>
  <c r="AN160" i="69"/>
  <c r="AJ160" i="69"/>
  <c r="AU36" i="69"/>
  <c r="AP36" i="69"/>
  <c r="AO210" i="69"/>
  <c r="AJ210" i="69"/>
  <c r="BG104" i="69"/>
  <c r="BB104" i="69"/>
  <c r="AU272" i="69"/>
  <c r="AP272" i="69"/>
  <c r="AJ131" i="69"/>
  <c r="AO131" i="69"/>
  <c r="AO130" i="69"/>
  <c r="AJ130" i="69"/>
  <c r="AP29" i="69"/>
  <c r="AU29" i="69"/>
  <c r="AP228" i="69"/>
  <c r="AU228" i="69"/>
  <c r="AO15" i="69"/>
  <c r="AJ15" i="69"/>
  <c r="AT274" i="69"/>
  <c r="AP274" i="69"/>
  <c r="AU268" i="69"/>
  <c r="AP268" i="69"/>
  <c r="AU169" i="69"/>
  <c r="AP169" i="69"/>
  <c r="AJ198" i="69"/>
  <c r="AO198" i="69"/>
  <c r="AO19" i="69"/>
  <c r="AJ19" i="69"/>
  <c r="AJ215" i="69"/>
  <c r="AO215" i="69"/>
  <c r="AP314" i="69"/>
  <c r="AU314" i="69"/>
  <c r="AJ327" i="69"/>
  <c r="AO327" i="69"/>
  <c r="AJ350" i="69"/>
  <c r="AO350" i="69"/>
  <c r="BA349" i="69"/>
  <c r="AV349" i="69"/>
  <c r="AJ337" i="69"/>
  <c r="AO337" i="69"/>
  <c r="BM371" i="69"/>
  <c r="BH371" i="69"/>
  <c r="AU306" i="69"/>
  <c r="AP306" i="69"/>
  <c r="AV351" i="69"/>
  <c r="BA351" i="69"/>
  <c r="AO315" i="69"/>
  <c r="AJ315" i="69"/>
  <c r="AP360" i="69"/>
  <c r="AU360" i="69"/>
  <c r="BH320" i="69"/>
  <c r="BM320" i="69"/>
  <c r="AU367" i="69"/>
  <c r="AP367" i="69"/>
  <c r="BG374" i="69"/>
  <c r="BB374" i="69"/>
  <c r="BA304" i="69"/>
  <c r="AV304" i="69"/>
  <c r="AU326" i="69"/>
  <c r="AP326" i="69"/>
  <c r="AP370" i="69"/>
  <c r="AU370" i="69"/>
  <c r="AP355" i="69"/>
  <c r="AU355" i="69"/>
  <c r="AP330" i="69"/>
  <c r="AU330" i="69"/>
  <c r="AV316" i="69"/>
  <c r="BA316" i="69"/>
  <c r="AJ357" i="69"/>
  <c r="AO357" i="69"/>
  <c r="AU310" i="69"/>
  <c r="AP310" i="69"/>
  <c r="AH383" i="69"/>
  <c r="AN302" i="69"/>
  <c r="AU313" i="69"/>
  <c r="AP313" i="69"/>
  <c r="AJ303" i="69"/>
  <c r="AO303" i="69"/>
  <c r="BB308" i="69"/>
  <c r="BG308" i="69"/>
  <c r="AU352" i="69"/>
  <c r="AP352" i="69"/>
  <c r="AP344" i="69"/>
  <c r="AU344" i="69"/>
  <c r="AP334" i="69"/>
  <c r="AU334" i="69"/>
  <c r="BM375" i="69"/>
  <c r="BH375" i="69"/>
  <c r="AV311" i="69"/>
  <c r="BA311" i="69"/>
  <c r="AP321" i="69"/>
  <c r="AU321" i="69"/>
  <c r="AD383" i="69"/>
  <c r="AN369" i="69"/>
  <c r="AJ369" i="69"/>
  <c r="AJ340" i="69"/>
  <c r="AO340" i="69"/>
  <c r="AJ333" i="69"/>
  <c r="AO333" i="69"/>
  <c r="AV343" i="69"/>
  <c r="BA343" i="69"/>
  <c r="AJ322" i="69"/>
  <c r="AO322" i="69"/>
  <c r="BB335" i="69"/>
  <c r="BG335" i="69"/>
  <c r="AJ356" i="69"/>
  <c r="AO356" i="69"/>
  <c r="BM365" i="69"/>
  <c r="BH365" i="69"/>
  <c r="AP329" i="69"/>
  <c r="AU329" i="69"/>
  <c r="AJ336" i="69"/>
  <c r="AO336" i="69"/>
  <c r="AU328" i="69"/>
  <c r="AP328" i="69"/>
  <c r="AV354" i="69"/>
  <c r="BA354" i="69"/>
  <c r="AO358" i="69"/>
  <c r="AJ358" i="69"/>
  <c r="BM372" i="69"/>
  <c r="BH372" i="69"/>
  <c r="AO348" i="69"/>
  <c r="AJ348" i="69"/>
  <c r="AJ323" i="69"/>
  <c r="AO323" i="69"/>
  <c r="BG312" i="69"/>
  <c r="BB312" i="69"/>
  <c r="BG361" i="69"/>
  <c r="BB361" i="69"/>
  <c r="AU305" i="69"/>
  <c r="AP305" i="69"/>
  <c r="AP325" i="69"/>
  <c r="AU325" i="69"/>
  <c r="AP309" i="69"/>
  <c r="AU309" i="69"/>
  <c r="AP364" i="69"/>
  <c r="AU364" i="69"/>
  <c r="AV307" i="69"/>
  <c r="BA307" i="69"/>
  <c r="AU353" i="69"/>
  <c r="AP353" i="69"/>
  <c r="AO338" i="69"/>
  <c r="AJ338" i="69"/>
  <c r="AV317" i="69"/>
  <c r="BA317" i="69"/>
  <c r="AO324" i="69"/>
  <c r="AJ324" i="69"/>
  <c r="BG369" i="69"/>
  <c r="BB341" i="69"/>
  <c r="BG341" i="69"/>
  <c r="AO362" i="69"/>
  <c r="AJ362" i="69"/>
  <c r="BB342" i="69"/>
  <c r="BG342" i="69"/>
  <c r="AV368" i="69"/>
  <c r="BA368" i="69"/>
  <c r="AI383" i="69"/>
  <c r="AJ302" i="69"/>
  <c r="AO302" i="69"/>
  <c r="BA359" i="69"/>
  <c r="AV359" i="69"/>
  <c r="AU318" i="69"/>
  <c r="AP318" i="69"/>
  <c r="BM363" i="69"/>
  <c r="BH363" i="69"/>
  <c r="AP332" i="69"/>
  <c r="AU332" i="69"/>
  <c r="BM366" i="69"/>
  <c r="BH366" i="69"/>
  <c r="AJ373" i="69"/>
  <c r="AO373" i="69"/>
  <c r="BB339" i="69"/>
  <c r="BG339" i="69"/>
  <c r="BB331" i="69"/>
  <c r="BG331" i="69"/>
  <c r="BB319" i="69"/>
  <c r="BG319" i="69"/>
  <c r="BG286" i="69"/>
  <c r="BB286" i="69"/>
  <c r="BA276" i="69"/>
  <c r="AV276" i="69"/>
  <c r="AP256" i="69"/>
  <c r="AU256" i="69"/>
  <c r="AV288" i="69"/>
  <c r="BA288" i="69"/>
  <c r="BA248" i="69"/>
  <c r="AV248" i="69"/>
  <c r="AV284" i="69"/>
  <c r="BA284" i="69"/>
  <c r="AU241" i="69"/>
  <c r="AP241" i="69"/>
  <c r="BB264" i="69"/>
  <c r="BG264" i="69"/>
  <c r="AU243" i="69"/>
  <c r="AP243" i="69"/>
  <c r="BA253" i="69"/>
  <c r="AV253" i="69"/>
  <c r="BA242" i="69"/>
  <c r="AV242" i="69"/>
  <c r="AJ254" i="69"/>
  <c r="AO254" i="69"/>
  <c r="AU240" i="69"/>
  <c r="AP240" i="69"/>
  <c r="AU270" i="69"/>
  <c r="AP270" i="69"/>
  <c r="AO239" i="69"/>
  <c r="AJ239" i="69"/>
  <c r="AV273" i="69"/>
  <c r="BA273" i="69"/>
  <c r="BA250" i="69"/>
  <c r="AV250" i="69"/>
  <c r="AU278" i="69"/>
  <c r="AP278" i="69"/>
  <c r="BB271" i="69"/>
  <c r="BG271" i="69"/>
  <c r="AN295" i="69"/>
  <c r="AT236" i="69"/>
  <c r="BA246" i="69"/>
  <c r="AV246" i="69"/>
  <c r="AT280" i="69"/>
  <c r="AP280" i="69"/>
  <c r="AU251" i="69"/>
  <c r="AP251" i="69"/>
  <c r="AU281" i="69"/>
  <c r="AP281" i="69"/>
  <c r="BG260" i="69"/>
  <c r="BB260" i="69"/>
  <c r="BB287" i="69"/>
  <c r="BG287" i="69"/>
  <c r="AJ261" i="69"/>
  <c r="AO261" i="69"/>
  <c r="AU237" i="69"/>
  <c r="AP237" i="69"/>
  <c r="AP252" i="69"/>
  <c r="AU252" i="69"/>
  <c r="AU247" i="69"/>
  <c r="AP247" i="69"/>
  <c r="AJ245" i="69"/>
  <c r="AO245" i="69"/>
  <c r="AU282" i="69"/>
  <c r="AP282" i="69"/>
  <c r="AP267" i="69"/>
  <c r="AU267" i="69"/>
  <c r="AU258" i="69"/>
  <c r="AP258" i="69"/>
  <c r="AP275" i="69"/>
  <c r="AU275" i="69"/>
  <c r="BG285" i="69"/>
  <c r="BB285" i="69"/>
  <c r="BA262" i="69"/>
  <c r="AV262" i="69"/>
  <c r="AV257" i="69"/>
  <c r="BA257" i="69"/>
  <c r="AP283" i="69"/>
  <c r="AU283" i="69"/>
  <c r="AJ259" i="69"/>
  <c r="AO259" i="69"/>
  <c r="AU263" i="69"/>
  <c r="AP263" i="69"/>
  <c r="AU269" i="69"/>
  <c r="AP269" i="69"/>
  <c r="AP236" i="69"/>
  <c r="AU236" i="69"/>
  <c r="AU266" i="69"/>
  <c r="AP266" i="69"/>
  <c r="AU255" i="69"/>
  <c r="AP255" i="69"/>
  <c r="AU238" i="69"/>
  <c r="AP238" i="69"/>
  <c r="BB279" i="69"/>
  <c r="BG279" i="69"/>
  <c r="AZ198" i="69"/>
  <c r="AV208" i="69"/>
  <c r="BA208" i="69"/>
  <c r="AU204" i="69"/>
  <c r="AP204" i="69"/>
  <c r="BG217" i="69"/>
  <c r="BB217" i="69"/>
  <c r="BM218" i="69"/>
  <c r="AN220" i="69"/>
  <c r="AJ220" i="69"/>
  <c r="AH230" i="69"/>
  <c r="BM216" i="69"/>
  <c r="BG224" i="69"/>
  <c r="BB224" i="69"/>
  <c r="BG222" i="69"/>
  <c r="BB222" i="69"/>
  <c r="AJ200" i="69"/>
  <c r="AO200" i="69"/>
  <c r="AI230" i="69"/>
  <c r="AJ230" i="69" s="1"/>
  <c r="AT218" i="69"/>
  <c r="AP218" i="69"/>
  <c r="AJ205" i="69"/>
  <c r="AO205" i="69"/>
  <c r="AJ212" i="69"/>
  <c r="AO212" i="69"/>
  <c r="AJ213" i="69"/>
  <c r="AO213" i="69"/>
  <c r="AU225" i="69"/>
  <c r="AP225" i="69"/>
  <c r="BG220" i="69"/>
  <c r="AP203" i="69"/>
  <c r="AU203" i="69"/>
  <c r="BA201" i="69"/>
  <c r="AV201" i="69"/>
  <c r="AZ214" i="69"/>
  <c r="AV214" i="69"/>
  <c r="BM209" i="69"/>
  <c r="AT209" i="69"/>
  <c r="AP209" i="69"/>
  <c r="AP221" i="69"/>
  <c r="AU221" i="69"/>
  <c r="BB227" i="69"/>
  <c r="BG227" i="69"/>
  <c r="BA211" i="69"/>
  <c r="AV211" i="69"/>
  <c r="AJ206" i="69"/>
  <c r="AO206" i="69"/>
  <c r="AV219" i="69"/>
  <c r="BA219" i="69"/>
  <c r="BA223" i="69"/>
  <c r="AV223" i="69"/>
  <c r="AV199" i="69"/>
  <c r="BA199" i="69"/>
  <c r="BA202" i="69"/>
  <c r="AV202" i="69"/>
  <c r="AT216" i="69"/>
  <c r="AP216" i="69"/>
  <c r="AJ154" i="69"/>
  <c r="AO154" i="69"/>
  <c r="BB178" i="69"/>
  <c r="BG178" i="69"/>
  <c r="BA137" i="69"/>
  <c r="AV137" i="69"/>
  <c r="AU120" i="69"/>
  <c r="AP120" i="69"/>
  <c r="AU165" i="69"/>
  <c r="AP165" i="69"/>
  <c r="BM182" i="69"/>
  <c r="BH182" i="69"/>
  <c r="AU125" i="69"/>
  <c r="AP125" i="69"/>
  <c r="BH132" i="69"/>
  <c r="BM132" i="69"/>
  <c r="AJ168" i="69"/>
  <c r="AO168" i="69"/>
  <c r="AV181" i="69"/>
  <c r="BA181" i="69"/>
  <c r="BB116" i="69"/>
  <c r="BG116" i="69"/>
  <c r="AV161" i="69"/>
  <c r="BA161" i="69"/>
  <c r="BA149" i="69"/>
  <c r="AV149" i="69"/>
  <c r="BA173" i="69"/>
  <c r="AV173" i="69"/>
  <c r="AT114" i="69"/>
  <c r="BM140" i="69"/>
  <c r="BH140" i="69"/>
  <c r="AU179" i="69"/>
  <c r="AP179" i="69"/>
  <c r="BA144" i="69"/>
  <c r="AV144" i="69"/>
  <c r="AO122" i="69"/>
  <c r="AJ122" i="69"/>
  <c r="BA117" i="69"/>
  <c r="AV117" i="69"/>
  <c r="BA159" i="69"/>
  <c r="AV159" i="69"/>
  <c r="AV128" i="69"/>
  <c r="BA128" i="69"/>
  <c r="AO129" i="69"/>
  <c r="AJ129" i="69"/>
  <c r="AJ172" i="69"/>
  <c r="AO172" i="69"/>
  <c r="BA153" i="69"/>
  <c r="AV153" i="69"/>
  <c r="AO143" i="69"/>
  <c r="AJ143" i="69"/>
  <c r="BM180" i="69"/>
  <c r="BH180" i="69"/>
  <c r="BG148" i="69"/>
  <c r="AU175" i="69"/>
  <c r="AP175" i="69"/>
  <c r="AU136" i="69"/>
  <c r="AP136" i="69"/>
  <c r="AU114" i="69"/>
  <c r="AP114" i="69"/>
  <c r="BA152" i="69"/>
  <c r="AV152" i="69"/>
  <c r="BM183" i="69"/>
  <c r="BH183" i="69"/>
  <c r="AJ118" i="69"/>
  <c r="AO118" i="69"/>
  <c r="AP166" i="69"/>
  <c r="AU166" i="69"/>
  <c r="AU135" i="69"/>
  <c r="AP135" i="69"/>
  <c r="BA155" i="69"/>
  <c r="AV155" i="69"/>
  <c r="BA157" i="69"/>
  <c r="AV157" i="69"/>
  <c r="AZ171" i="69"/>
  <c r="AV171" i="69"/>
  <c r="AN148" i="69"/>
  <c r="AJ148" i="69"/>
  <c r="AU167" i="69"/>
  <c r="AP167" i="69"/>
  <c r="BA134" i="69"/>
  <c r="AV134" i="69"/>
  <c r="AV115" i="69"/>
  <c r="BA115" i="69"/>
  <c r="AJ133" i="69"/>
  <c r="AO133" i="69"/>
  <c r="BA156" i="69"/>
  <c r="AV156" i="69"/>
  <c r="AI190" i="69"/>
  <c r="AJ190" i="69" s="1"/>
  <c r="AU124" i="69"/>
  <c r="AP124" i="69"/>
  <c r="AJ158" i="69"/>
  <c r="AO158" i="69"/>
  <c r="AV177" i="69"/>
  <c r="BA177" i="69"/>
  <c r="AP162" i="69"/>
  <c r="AU162" i="69"/>
  <c r="AV151" i="69"/>
  <c r="BA151" i="69"/>
  <c r="BA185" i="69"/>
  <c r="AV185" i="69"/>
  <c r="AP163" i="69"/>
  <c r="AU163" i="69"/>
  <c r="BA142" i="69"/>
  <c r="AV142" i="69"/>
  <c r="BM147" i="69"/>
  <c r="BH147" i="69"/>
  <c r="AP174" i="69"/>
  <c r="AU174" i="69"/>
  <c r="AU121" i="69"/>
  <c r="AP121" i="69"/>
  <c r="BA160" i="69"/>
  <c r="AU123" i="69"/>
  <c r="AP123" i="69"/>
  <c r="AJ164" i="69"/>
  <c r="AO164" i="69"/>
  <c r="AO139" i="69"/>
  <c r="AJ139" i="69"/>
  <c r="BF119" i="69"/>
  <c r="BH119" i="69" s="1"/>
  <c r="BB119" i="69"/>
  <c r="AJ176" i="69"/>
  <c r="AO176" i="69"/>
  <c r="AP170" i="69"/>
  <c r="AU170" i="69"/>
  <c r="AU150" i="69"/>
  <c r="AP150" i="69"/>
  <c r="AP141" i="69"/>
  <c r="AU141" i="69"/>
  <c r="BM171" i="69"/>
  <c r="AJ146" i="69"/>
  <c r="AO146" i="69"/>
  <c r="BG107" i="69"/>
  <c r="BB107" i="69"/>
  <c r="AI110" i="69"/>
  <c r="AJ110" i="69" s="1"/>
  <c r="AJ81" i="69"/>
  <c r="AO81" i="69"/>
  <c r="AU89" i="69"/>
  <c r="AP89" i="69"/>
  <c r="BA83" i="69"/>
  <c r="AV83" i="69"/>
  <c r="AO88" i="69"/>
  <c r="AJ88" i="69"/>
  <c r="BB96" i="69"/>
  <c r="BG96" i="69"/>
  <c r="AN110" i="69"/>
  <c r="AT81" i="69"/>
  <c r="BA95" i="69"/>
  <c r="AV95" i="69"/>
  <c r="BA103" i="69"/>
  <c r="AV103" i="69"/>
  <c r="AU101" i="69"/>
  <c r="AP101" i="69"/>
  <c r="AU97" i="69"/>
  <c r="AP97" i="69"/>
  <c r="BG98" i="69"/>
  <c r="BB98" i="69"/>
  <c r="AP85" i="69"/>
  <c r="AU85" i="69"/>
  <c r="AU106" i="69"/>
  <c r="AP106" i="69"/>
  <c r="AU86" i="69"/>
  <c r="AP86" i="69"/>
  <c r="AU87" i="69"/>
  <c r="AP87" i="69"/>
  <c r="AU94" i="69"/>
  <c r="AP94" i="69"/>
  <c r="AO82" i="69"/>
  <c r="AJ82" i="69"/>
  <c r="AU93" i="69"/>
  <c r="AP93" i="69"/>
  <c r="BA99" i="69"/>
  <c r="AV99" i="69"/>
  <c r="BA90" i="69"/>
  <c r="AV90" i="69"/>
  <c r="BM105" i="69"/>
  <c r="BH105" i="69"/>
  <c r="BA91" i="69"/>
  <c r="AV91" i="69"/>
  <c r="BA84" i="69"/>
  <c r="AV84" i="69"/>
  <c r="AU61" i="69"/>
  <c r="AP61" i="69"/>
  <c r="AO63" i="69"/>
  <c r="AJ63" i="69"/>
  <c r="AU65" i="69"/>
  <c r="AP65" i="69"/>
  <c r="AU69" i="69"/>
  <c r="AP69" i="69"/>
  <c r="AD75" i="69"/>
  <c r="AI75" i="69"/>
  <c r="AO55" i="69"/>
  <c r="AJ55" i="69"/>
  <c r="BM73" i="69"/>
  <c r="BH73" i="69"/>
  <c r="BM74" i="69"/>
  <c r="BH74" i="69"/>
  <c r="AU70" i="69"/>
  <c r="AP70" i="69"/>
  <c r="BA56" i="69"/>
  <c r="AV56" i="69"/>
  <c r="BA68" i="69"/>
  <c r="AV68" i="69"/>
  <c r="BA60" i="69"/>
  <c r="BA72" i="69"/>
  <c r="AV72" i="69"/>
  <c r="AN60" i="69"/>
  <c r="AH75" i="69"/>
  <c r="AJ60" i="69"/>
  <c r="AO71" i="69"/>
  <c r="AJ71" i="69"/>
  <c r="AO67" i="69"/>
  <c r="AJ67" i="69"/>
  <c r="AZ55" i="69"/>
  <c r="AU62" i="69"/>
  <c r="AP62" i="69"/>
  <c r="AP59" i="69"/>
  <c r="AU59" i="69"/>
  <c r="AU57" i="69"/>
  <c r="AP57" i="69"/>
  <c r="AU58" i="69"/>
  <c r="AP58" i="69"/>
  <c r="AU66" i="69"/>
  <c r="AP66" i="69"/>
  <c r="BA64" i="69"/>
  <c r="AV64" i="69"/>
  <c r="AJ42" i="69"/>
  <c r="AO42" i="69"/>
  <c r="AV44" i="69"/>
  <c r="BA44" i="69"/>
  <c r="BA23" i="69"/>
  <c r="AV23" i="69"/>
  <c r="BA17" i="69"/>
  <c r="AV17" i="69"/>
  <c r="BA12" i="69"/>
  <c r="AV12" i="69"/>
  <c r="AP49" i="69"/>
  <c r="AU49" i="69"/>
  <c r="AN50" i="69"/>
  <c r="AT4" i="69"/>
  <c r="BM27" i="69"/>
  <c r="BH27" i="69"/>
  <c r="AO7" i="69"/>
  <c r="AJ7" i="69"/>
  <c r="BB45" i="69"/>
  <c r="BG45" i="69"/>
  <c r="AP21" i="69"/>
  <c r="AU21" i="69"/>
  <c r="AV31" i="69"/>
  <c r="BA31" i="69"/>
  <c r="BA14" i="69"/>
  <c r="AV14" i="69"/>
  <c r="BA11" i="69"/>
  <c r="AV11" i="69"/>
  <c r="AD40" i="69"/>
  <c r="AI40" i="69"/>
  <c r="AI50" i="69" s="1"/>
  <c r="AJ50" i="69" s="1"/>
  <c r="AC50" i="69"/>
  <c r="AD50" i="69" s="1"/>
  <c r="AU35" i="69"/>
  <c r="AP35" i="69"/>
  <c r="BA13" i="69"/>
  <c r="AV13" i="69"/>
  <c r="BA18" i="69"/>
  <c r="AV18" i="69"/>
  <c r="AO39" i="69"/>
  <c r="AJ39" i="69"/>
  <c r="AV22" i="69"/>
  <c r="BA22" i="69"/>
  <c r="BA25" i="69"/>
  <c r="AV25" i="69"/>
  <c r="AV28" i="69"/>
  <c r="BA28" i="69"/>
  <c r="AP37" i="69"/>
  <c r="AT37" i="69"/>
  <c r="AU4" i="69"/>
  <c r="AP4" i="69"/>
  <c r="AP30" i="69"/>
  <c r="AU30" i="69"/>
  <c r="AV26" i="69"/>
  <c r="BA26" i="69"/>
  <c r="AU32" i="69"/>
  <c r="AP32" i="69"/>
  <c r="AJ24" i="69"/>
  <c r="AO24" i="69"/>
  <c r="AU41" i="69"/>
  <c r="AP41" i="69"/>
  <c r="AU38" i="69"/>
  <c r="AP38" i="69"/>
  <c r="AP43" i="69"/>
  <c r="AU43" i="69"/>
  <c r="BB34" i="69"/>
  <c r="BG34" i="69"/>
  <c r="BA10" i="69"/>
  <c r="AV10" i="69"/>
  <c r="AU5" i="69"/>
  <c r="AP5" i="69"/>
  <c r="AU8" i="69"/>
  <c r="AP8" i="69"/>
  <c r="AU9" i="69"/>
  <c r="AP9" i="69"/>
  <c r="AU6" i="69"/>
  <c r="AP6" i="69"/>
  <c r="AJ49" i="1" l="1"/>
  <c r="AO22" i="1"/>
  <c r="AJ22" i="1"/>
  <c r="BH23" i="1"/>
  <c r="BM23" i="1"/>
  <c r="BG48" i="1"/>
  <c r="BB48" i="1"/>
  <c r="AV27" i="1"/>
  <c r="BA27" i="1"/>
  <c r="AT8" i="1"/>
  <c r="AP8" i="1"/>
  <c r="BA16" i="1"/>
  <c r="AV16" i="1"/>
  <c r="BA12" i="1"/>
  <c r="AV12" i="1"/>
  <c r="BB4" i="1"/>
  <c r="BG4" i="1"/>
  <c r="BH4" i="1" s="1"/>
  <c r="AV20" i="1"/>
  <c r="BA20" i="1"/>
  <c r="BG13" i="1"/>
  <c r="BB13" i="1"/>
  <c r="AP35" i="1"/>
  <c r="AU35" i="1"/>
  <c r="AU26" i="1"/>
  <c r="AP26" i="1"/>
  <c r="AV40" i="1"/>
  <c r="BA40" i="1"/>
  <c r="AV37" i="1"/>
  <c r="BA37" i="1"/>
  <c r="BB43" i="1"/>
  <c r="BG43" i="1"/>
  <c r="BB14" i="1"/>
  <c r="BG14" i="1"/>
  <c r="BM45" i="1"/>
  <c r="BH45" i="1"/>
  <c r="AT5" i="1"/>
  <c r="AP5" i="1"/>
  <c r="AV24" i="1"/>
  <c r="BA24" i="1"/>
  <c r="BA32" i="1"/>
  <c r="AV32" i="1"/>
  <c r="AP25" i="1"/>
  <c r="AU25" i="1"/>
  <c r="BA28" i="1"/>
  <c r="AV28" i="1"/>
  <c r="BA11" i="1"/>
  <c r="AV11" i="1"/>
  <c r="AU34" i="1"/>
  <c r="AP34" i="1"/>
  <c r="BA33" i="1"/>
  <c r="AV33" i="1"/>
  <c r="BG10" i="1"/>
  <c r="BB10" i="1"/>
  <c r="AU9" i="1"/>
  <c r="AP9" i="1"/>
  <c r="AU30" i="1"/>
  <c r="AP30" i="1"/>
  <c r="AU41" i="1"/>
  <c r="AP41" i="1"/>
  <c r="BG42" i="1"/>
  <c r="BB42" i="1"/>
  <c r="BH44" i="1"/>
  <c r="BM44" i="1"/>
  <c r="AN49" i="1"/>
  <c r="AT3" i="1"/>
  <c r="BG21" i="1"/>
  <c r="BB21" i="1"/>
  <c r="AU38" i="1"/>
  <c r="AP38" i="1"/>
  <c r="BM18" i="1"/>
  <c r="BH18" i="1"/>
  <c r="AU6" i="1"/>
  <c r="AP6" i="1"/>
  <c r="BM15" i="1"/>
  <c r="BH15" i="1"/>
  <c r="AO49" i="1"/>
  <c r="AP3" i="1"/>
  <c r="AU3" i="1"/>
  <c r="BB29" i="1"/>
  <c r="BG29" i="1"/>
  <c r="BG17" i="1"/>
  <c r="BB17" i="1"/>
  <c r="BA36" i="1"/>
  <c r="AV36" i="1"/>
  <c r="AU31" i="1"/>
  <c r="AP31" i="1"/>
  <c r="BM8" i="1"/>
  <c r="BB92" i="69"/>
  <c r="BG92" i="69"/>
  <c r="AO295" i="69"/>
  <c r="AN190" i="69"/>
  <c r="AP33" i="69"/>
  <c r="AU33" i="69"/>
  <c r="BA138" i="69"/>
  <c r="AV138" i="69"/>
  <c r="AJ383" i="69"/>
  <c r="AV29" i="69"/>
  <c r="BA29" i="69"/>
  <c r="BA268" i="69"/>
  <c r="AV268" i="69"/>
  <c r="BH104" i="69"/>
  <c r="BM104" i="69"/>
  <c r="AP19" i="69"/>
  <c r="AU19" i="69"/>
  <c r="AP198" i="69"/>
  <c r="AU198" i="69"/>
  <c r="AZ274" i="69"/>
  <c r="AV274" i="69"/>
  <c r="AU130" i="69"/>
  <c r="AP130" i="69"/>
  <c r="AU210" i="69"/>
  <c r="AP210" i="69"/>
  <c r="AU15" i="69"/>
  <c r="AP15" i="69"/>
  <c r="BA36" i="69"/>
  <c r="AV36" i="69"/>
  <c r="AU131" i="69"/>
  <c r="AP131" i="69"/>
  <c r="AV169" i="69"/>
  <c r="BA169" i="69"/>
  <c r="BA228" i="69"/>
  <c r="AV228" i="69"/>
  <c r="AU215" i="69"/>
  <c r="AP215" i="69"/>
  <c r="BA272" i="69"/>
  <c r="AV272" i="69"/>
  <c r="AT160" i="69"/>
  <c r="AP160" i="69"/>
  <c r="BH312" i="69"/>
  <c r="BM312" i="69"/>
  <c r="AP358" i="69"/>
  <c r="AU358" i="69"/>
  <c r="AT369" i="69"/>
  <c r="AP369" i="69"/>
  <c r="AV334" i="69"/>
  <c r="BA334" i="69"/>
  <c r="AP303" i="69"/>
  <c r="AU303" i="69"/>
  <c r="AP357" i="69"/>
  <c r="AU357" i="69"/>
  <c r="BA370" i="69"/>
  <c r="AV370" i="69"/>
  <c r="BB351" i="69"/>
  <c r="BG351" i="69"/>
  <c r="AU373" i="69"/>
  <c r="AP373" i="69"/>
  <c r="AV321" i="69"/>
  <c r="BA321" i="69"/>
  <c r="BA344" i="69"/>
  <c r="AV344" i="69"/>
  <c r="BG316" i="69"/>
  <c r="BB316" i="69"/>
  <c r="AU350" i="69"/>
  <c r="AP350" i="69"/>
  <c r="AU356" i="69"/>
  <c r="AP356" i="69"/>
  <c r="AU333" i="69"/>
  <c r="AP333" i="69"/>
  <c r="AV313" i="69"/>
  <c r="BA313" i="69"/>
  <c r="AV326" i="69"/>
  <c r="BA326" i="69"/>
  <c r="AV306" i="69"/>
  <c r="BA306" i="69"/>
  <c r="BM369" i="69"/>
  <c r="BH339" i="69"/>
  <c r="BM339" i="69"/>
  <c r="BG368" i="69"/>
  <c r="BB368" i="69"/>
  <c r="AV325" i="69"/>
  <c r="BA325" i="69"/>
  <c r="AV367" i="69"/>
  <c r="BA367" i="69"/>
  <c r="AV353" i="69"/>
  <c r="BA353" i="69"/>
  <c r="BM342" i="69"/>
  <c r="BH342" i="69"/>
  <c r="BB307" i="69"/>
  <c r="BG307" i="69"/>
  <c r="BM319" i="69"/>
  <c r="BH319" i="69"/>
  <c r="AP324" i="69"/>
  <c r="AU324" i="69"/>
  <c r="AP348" i="69"/>
  <c r="AU348" i="69"/>
  <c r="BB359" i="69"/>
  <c r="BG359" i="69"/>
  <c r="BG317" i="69"/>
  <c r="BB317" i="69"/>
  <c r="AV364" i="69"/>
  <c r="BA364" i="69"/>
  <c r="AP336" i="69"/>
  <c r="AU336" i="69"/>
  <c r="BM335" i="69"/>
  <c r="BH335" i="69"/>
  <c r="AP340" i="69"/>
  <c r="AU340" i="69"/>
  <c r="BA352" i="69"/>
  <c r="AV352" i="69"/>
  <c r="BB304" i="69"/>
  <c r="BG304" i="69"/>
  <c r="BG354" i="69"/>
  <c r="BB354" i="69"/>
  <c r="BG343" i="69"/>
  <c r="BB343" i="69"/>
  <c r="AV305" i="69"/>
  <c r="BA305" i="69"/>
  <c r="BA328" i="69"/>
  <c r="AV328" i="69"/>
  <c r="AN383" i="69"/>
  <c r="AT302" i="69"/>
  <c r="AV360" i="69"/>
  <c r="BA360" i="69"/>
  <c r="BH331" i="69"/>
  <c r="BM331" i="69"/>
  <c r="AV332" i="69"/>
  <c r="BA332" i="69"/>
  <c r="AO383" i="69"/>
  <c r="AP383" i="69" s="1"/>
  <c r="AU302" i="69"/>
  <c r="AP302" i="69"/>
  <c r="AP362" i="69"/>
  <c r="AU362" i="69"/>
  <c r="BH361" i="69"/>
  <c r="BM361" i="69"/>
  <c r="BM308" i="69"/>
  <c r="BH308" i="69"/>
  <c r="AV355" i="69"/>
  <c r="BA355" i="69"/>
  <c r="AU337" i="69"/>
  <c r="AP337" i="69"/>
  <c r="BA314" i="69"/>
  <c r="AV314" i="69"/>
  <c r="AP338" i="69"/>
  <c r="AU338" i="69"/>
  <c r="AP323" i="69"/>
  <c r="AU323" i="69"/>
  <c r="BG349" i="69"/>
  <c r="BB349" i="69"/>
  <c r="AV318" i="69"/>
  <c r="BA318" i="69"/>
  <c r="BB311" i="69"/>
  <c r="BG311" i="69"/>
  <c r="AV330" i="69"/>
  <c r="BA330" i="69"/>
  <c r="AP327" i="69"/>
  <c r="AU327" i="69"/>
  <c r="BM341" i="69"/>
  <c r="BH341" i="69"/>
  <c r="AV309" i="69"/>
  <c r="BA309" i="69"/>
  <c r="AV329" i="69"/>
  <c r="BA329" i="69"/>
  <c r="AU322" i="69"/>
  <c r="AP322" i="69"/>
  <c r="BA310" i="69"/>
  <c r="AV310" i="69"/>
  <c r="BM374" i="69"/>
  <c r="BH374" i="69"/>
  <c r="AP315" i="69"/>
  <c r="AU315" i="69"/>
  <c r="BH285" i="69"/>
  <c r="BM285" i="69"/>
  <c r="BA266" i="69"/>
  <c r="AV266" i="69"/>
  <c r="AP259" i="69"/>
  <c r="AU259" i="69"/>
  <c r="AT295" i="69"/>
  <c r="AZ236" i="69"/>
  <c r="BG273" i="69"/>
  <c r="BB273" i="69"/>
  <c r="AP254" i="69"/>
  <c r="AU254" i="69"/>
  <c r="BM264" i="69"/>
  <c r="BH264" i="69"/>
  <c r="BG288" i="69"/>
  <c r="BB288" i="69"/>
  <c r="BA236" i="69"/>
  <c r="AV236" i="69"/>
  <c r="AV281" i="69"/>
  <c r="BA281" i="69"/>
  <c r="BA283" i="69"/>
  <c r="AV283" i="69"/>
  <c r="BA275" i="69"/>
  <c r="AV275" i="69"/>
  <c r="AP245" i="69"/>
  <c r="AU245" i="69"/>
  <c r="AU261" i="69"/>
  <c r="AP261" i="69"/>
  <c r="BM271" i="69"/>
  <c r="BH271" i="69"/>
  <c r="BA256" i="69"/>
  <c r="AV256" i="69"/>
  <c r="BA251" i="69"/>
  <c r="AV251" i="69"/>
  <c r="AU239" i="69"/>
  <c r="AP239" i="69"/>
  <c r="BB242" i="69"/>
  <c r="BG242" i="69"/>
  <c r="BA241" i="69"/>
  <c r="AV241" i="69"/>
  <c r="BM287" i="69"/>
  <c r="BH287" i="69"/>
  <c r="BG284" i="69"/>
  <c r="BB284" i="69"/>
  <c r="AV237" i="69"/>
  <c r="BA237" i="69"/>
  <c r="AP295" i="69"/>
  <c r="AV269" i="69"/>
  <c r="BA269" i="69"/>
  <c r="BA258" i="69"/>
  <c r="AV258" i="69"/>
  <c r="AV247" i="69"/>
  <c r="BA247" i="69"/>
  <c r="AZ280" i="69"/>
  <c r="AV280" i="69"/>
  <c r="BA278" i="69"/>
  <c r="AV278" i="69"/>
  <c r="BA270" i="69"/>
  <c r="AV270" i="69"/>
  <c r="BG253" i="69"/>
  <c r="BB253" i="69"/>
  <c r="BG276" i="69"/>
  <c r="BB276" i="69"/>
  <c r="BG257" i="69"/>
  <c r="BB257" i="69"/>
  <c r="AV255" i="69"/>
  <c r="BA255" i="69"/>
  <c r="BA267" i="69"/>
  <c r="AV267" i="69"/>
  <c r="AV252" i="69"/>
  <c r="BA252" i="69"/>
  <c r="BM279" i="69"/>
  <c r="BH279" i="69"/>
  <c r="BA282" i="69"/>
  <c r="AV282" i="69"/>
  <c r="AV238" i="69"/>
  <c r="BA238" i="69"/>
  <c r="AV263" i="69"/>
  <c r="BA263" i="69"/>
  <c r="BG262" i="69"/>
  <c r="BB262" i="69"/>
  <c r="BM260" i="69"/>
  <c r="BH260" i="69"/>
  <c r="BG246" i="69"/>
  <c r="BB246" i="69"/>
  <c r="BG250" i="69"/>
  <c r="BB250" i="69"/>
  <c r="AV240" i="69"/>
  <c r="BA240" i="69"/>
  <c r="AV243" i="69"/>
  <c r="BA243" i="69"/>
  <c r="BG248" i="69"/>
  <c r="BB248" i="69"/>
  <c r="BM286" i="69"/>
  <c r="BH286" i="69"/>
  <c r="BF214" i="69"/>
  <c r="BH214" i="69" s="1"/>
  <c r="BB214" i="69"/>
  <c r="BH222" i="69"/>
  <c r="BM222" i="69"/>
  <c r="BG208" i="69"/>
  <c r="BB208" i="69"/>
  <c r="BB201" i="69"/>
  <c r="BG201" i="69"/>
  <c r="BG202" i="69"/>
  <c r="BB202" i="69"/>
  <c r="AZ218" i="69"/>
  <c r="AV218" i="69"/>
  <c r="BM217" i="69"/>
  <c r="BH217" i="69"/>
  <c r="BM227" i="69"/>
  <c r="BH227" i="69"/>
  <c r="AU212" i="69"/>
  <c r="AP212" i="69"/>
  <c r="BB223" i="69"/>
  <c r="BG223" i="69"/>
  <c r="AT220" i="69"/>
  <c r="AT230" i="69" s="1"/>
  <c r="AP220" i="69"/>
  <c r="BG219" i="69"/>
  <c r="BB219" i="69"/>
  <c r="AV221" i="69"/>
  <c r="BA221" i="69"/>
  <c r="AP205" i="69"/>
  <c r="AU205" i="69"/>
  <c r="AZ216" i="69"/>
  <c r="AV216" i="69"/>
  <c r="AP206" i="69"/>
  <c r="AU206" i="69"/>
  <c r="BA203" i="69"/>
  <c r="AV203" i="69"/>
  <c r="BM224" i="69"/>
  <c r="BH224" i="69"/>
  <c r="AZ209" i="69"/>
  <c r="AV209" i="69"/>
  <c r="AV225" i="69"/>
  <c r="BA225" i="69"/>
  <c r="BG199" i="69"/>
  <c r="BB199" i="69"/>
  <c r="AN230" i="69"/>
  <c r="AU213" i="69"/>
  <c r="AP213" i="69"/>
  <c r="BG211" i="69"/>
  <c r="BB211" i="69"/>
  <c r="BM220" i="69"/>
  <c r="AP200" i="69"/>
  <c r="AU200" i="69"/>
  <c r="AO230" i="69"/>
  <c r="AP230" i="69" s="1"/>
  <c r="AV204" i="69"/>
  <c r="BA204" i="69"/>
  <c r="BF198" i="69"/>
  <c r="BG151" i="69"/>
  <c r="BB151" i="69"/>
  <c r="BF171" i="69"/>
  <c r="BH171" i="69" s="1"/>
  <c r="BB171" i="69"/>
  <c r="BA114" i="69"/>
  <c r="AV114" i="69"/>
  <c r="BG161" i="69"/>
  <c r="BB161" i="69"/>
  <c r="AV123" i="69"/>
  <c r="BA123" i="69"/>
  <c r="AV124" i="69"/>
  <c r="BA124" i="69"/>
  <c r="AU118" i="69"/>
  <c r="AP118" i="69"/>
  <c r="AO190" i="69"/>
  <c r="AP129" i="69"/>
  <c r="AU129" i="69"/>
  <c r="AP122" i="69"/>
  <c r="AU122" i="69"/>
  <c r="AV120" i="69"/>
  <c r="BA120" i="69"/>
  <c r="BM116" i="69"/>
  <c r="BH116" i="69"/>
  <c r="BA125" i="69"/>
  <c r="AV125" i="69"/>
  <c r="BB137" i="69"/>
  <c r="BG137" i="69"/>
  <c r="AU176" i="69"/>
  <c r="AP176" i="69"/>
  <c r="AZ114" i="69"/>
  <c r="BG142" i="69"/>
  <c r="BB142" i="69"/>
  <c r="AU143" i="69"/>
  <c r="AP143" i="69"/>
  <c r="BA163" i="69"/>
  <c r="AV163" i="69"/>
  <c r="BA167" i="69"/>
  <c r="AV167" i="69"/>
  <c r="AU139" i="69"/>
  <c r="AP139" i="69"/>
  <c r="BA121" i="69"/>
  <c r="AV121" i="69"/>
  <c r="AP133" i="69"/>
  <c r="AU133" i="69"/>
  <c r="BA175" i="69"/>
  <c r="AV175" i="69"/>
  <c r="BG153" i="69"/>
  <c r="BB153" i="69"/>
  <c r="BG159" i="69"/>
  <c r="BB159" i="69"/>
  <c r="AV179" i="69"/>
  <c r="BA179" i="69"/>
  <c r="BG173" i="69"/>
  <c r="BB173" i="69"/>
  <c r="BA141" i="69"/>
  <c r="AV141" i="69"/>
  <c r="BA162" i="69"/>
  <c r="AV162" i="69"/>
  <c r="BG157" i="69"/>
  <c r="BB157" i="69"/>
  <c r="BG128" i="69"/>
  <c r="BB128" i="69"/>
  <c r="BG160" i="69"/>
  <c r="BG177" i="69"/>
  <c r="BB177" i="69"/>
  <c r="AU164" i="69"/>
  <c r="AP164" i="69"/>
  <c r="BA174" i="69"/>
  <c r="AV174" i="69"/>
  <c r="AP158" i="69"/>
  <c r="AU158" i="69"/>
  <c r="AT148" i="69"/>
  <c r="AP148" i="69"/>
  <c r="AV135" i="69"/>
  <c r="BA135" i="69"/>
  <c r="BB152" i="69"/>
  <c r="BG152" i="69"/>
  <c r="BM148" i="69"/>
  <c r="AU172" i="69"/>
  <c r="AP172" i="69"/>
  <c r="AU168" i="69"/>
  <c r="AP168" i="69"/>
  <c r="AP154" i="69"/>
  <c r="AU154" i="69"/>
  <c r="BB134" i="69"/>
  <c r="BG134" i="69"/>
  <c r="BA136" i="69"/>
  <c r="AV136" i="69"/>
  <c r="BG144" i="69"/>
  <c r="BB144" i="69"/>
  <c r="AU146" i="69"/>
  <c r="AP146" i="69"/>
  <c r="BB156" i="69"/>
  <c r="BG156" i="69"/>
  <c r="BG155" i="69"/>
  <c r="BB155" i="69"/>
  <c r="BB181" i="69"/>
  <c r="BG181" i="69"/>
  <c r="BM178" i="69"/>
  <c r="BH178" i="69"/>
  <c r="AV150" i="69"/>
  <c r="BA150" i="69"/>
  <c r="BA170" i="69"/>
  <c r="AV170" i="69"/>
  <c r="BB185" i="69"/>
  <c r="BG185" i="69"/>
  <c r="BB115" i="69"/>
  <c r="BG115" i="69"/>
  <c r="BA166" i="69"/>
  <c r="AV166" i="69"/>
  <c r="BB117" i="69"/>
  <c r="BG117" i="69"/>
  <c r="BB149" i="69"/>
  <c r="BG149" i="69"/>
  <c r="BA165" i="69"/>
  <c r="AV165" i="69"/>
  <c r="AV106" i="69"/>
  <c r="BA106" i="69"/>
  <c r="BA94" i="69"/>
  <c r="AV94" i="69"/>
  <c r="BB91" i="69"/>
  <c r="BG91" i="69"/>
  <c r="AV93" i="69"/>
  <c r="BA93" i="69"/>
  <c r="AV86" i="69"/>
  <c r="BA86" i="69"/>
  <c r="BM98" i="69"/>
  <c r="BH98" i="69"/>
  <c r="BB95" i="69"/>
  <c r="BG95" i="69"/>
  <c r="BG83" i="69"/>
  <c r="BB83" i="69"/>
  <c r="AV89" i="69"/>
  <c r="BA89" i="69"/>
  <c r="AO110" i="69"/>
  <c r="AP110" i="69" s="1"/>
  <c r="AU81" i="69"/>
  <c r="AP81" i="69"/>
  <c r="AV101" i="69"/>
  <c r="BA101" i="69"/>
  <c r="BM96" i="69"/>
  <c r="BH96" i="69"/>
  <c r="BA85" i="69"/>
  <c r="AV85" i="69"/>
  <c r="AT110" i="69"/>
  <c r="AZ81" i="69"/>
  <c r="AV97" i="69"/>
  <c r="BA97" i="69"/>
  <c r="BB84" i="69"/>
  <c r="BG84" i="69"/>
  <c r="BB99" i="69"/>
  <c r="BG99" i="69"/>
  <c r="AV87" i="69"/>
  <c r="BA87" i="69"/>
  <c r="BB103" i="69"/>
  <c r="BG103" i="69"/>
  <c r="AP88" i="69"/>
  <c r="AU88" i="69"/>
  <c r="AP82" i="69"/>
  <c r="AU82" i="69"/>
  <c r="BG90" i="69"/>
  <c r="BB90" i="69"/>
  <c r="BH107" i="69"/>
  <c r="BM107" i="69"/>
  <c r="AV57" i="69"/>
  <c r="BA57" i="69"/>
  <c r="BA59" i="69"/>
  <c r="AV59" i="69"/>
  <c r="BG64" i="69"/>
  <c r="BB64" i="69"/>
  <c r="AP71" i="69"/>
  <c r="AU71" i="69"/>
  <c r="BA66" i="69"/>
  <c r="AV66" i="69"/>
  <c r="BA62" i="69"/>
  <c r="AV62" i="69"/>
  <c r="AJ75" i="69"/>
  <c r="AP67" i="69"/>
  <c r="AU67" i="69"/>
  <c r="BG60" i="69"/>
  <c r="AV69" i="69"/>
  <c r="BA69" i="69"/>
  <c r="BG68" i="69"/>
  <c r="BB68" i="69"/>
  <c r="AV65" i="69"/>
  <c r="BA65" i="69"/>
  <c r="AT60" i="69"/>
  <c r="AN75" i="69"/>
  <c r="AP60" i="69"/>
  <c r="BG56" i="69"/>
  <c r="BB56" i="69"/>
  <c r="AP55" i="69"/>
  <c r="AO75" i="69"/>
  <c r="AU55" i="69"/>
  <c r="AP63" i="69"/>
  <c r="AU63" i="69"/>
  <c r="BA58" i="69"/>
  <c r="AV58" i="69"/>
  <c r="BF55" i="69"/>
  <c r="BG72" i="69"/>
  <c r="BB72" i="69"/>
  <c r="BA70" i="69"/>
  <c r="AV70" i="69"/>
  <c r="AV61" i="69"/>
  <c r="BA61" i="69"/>
  <c r="BB18" i="69"/>
  <c r="BG18" i="69"/>
  <c r="AV30" i="69"/>
  <c r="BA30" i="69"/>
  <c r="BG23" i="69"/>
  <c r="BB23" i="69"/>
  <c r="BA6" i="69"/>
  <c r="AV6" i="69"/>
  <c r="AV43" i="69"/>
  <c r="BA43" i="69"/>
  <c r="AU24" i="69"/>
  <c r="AP24" i="69"/>
  <c r="BG25" i="69"/>
  <c r="BB25" i="69"/>
  <c r="BB13" i="69"/>
  <c r="BG13" i="69"/>
  <c r="BH45" i="69"/>
  <c r="BM45" i="69"/>
  <c r="AV49" i="69"/>
  <c r="BA49" i="69"/>
  <c r="BB44" i="69"/>
  <c r="BG44" i="69"/>
  <c r="BG31" i="69"/>
  <c r="BB31" i="69"/>
  <c r="AV21" i="69"/>
  <c r="BA21" i="69"/>
  <c r="BB11" i="69"/>
  <c r="BG11" i="69"/>
  <c r="AV35" i="69"/>
  <c r="BA35" i="69"/>
  <c r="AU7" i="69"/>
  <c r="AP7" i="69"/>
  <c r="BB12" i="69"/>
  <c r="BG12" i="69"/>
  <c r="BM34" i="69"/>
  <c r="BH34" i="69"/>
  <c r="BB22" i="69"/>
  <c r="BG22" i="69"/>
  <c r="BB10" i="69"/>
  <c r="BG10" i="69"/>
  <c r="AV32" i="69"/>
  <c r="BA32" i="69"/>
  <c r="AZ37" i="69"/>
  <c r="AV37" i="69"/>
  <c r="BB26" i="69"/>
  <c r="BG26" i="69"/>
  <c r="AU39" i="69"/>
  <c r="AP39" i="69"/>
  <c r="AO40" i="69"/>
  <c r="AJ40" i="69"/>
  <c r="AU42" i="69"/>
  <c r="AP42" i="69"/>
  <c r="AT50" i="69"/>
  <c r="AZ4" i="69"/>
  <c r="AV8" i="69"/>
  <c r="BA8" i="69"/>
  <c r="AV5" i="69"/>
  <c r="BA5" i="69"/>
  <c r="BA4" i="69"/>
  <c r="AV4" i="69"/>
  <c r="BB14" i="69"/>
  <c r="BG14" i="69"/>
  <c r="BA9" i="69"/>
  <c r="AV9" i="69"/>
  <c r="AO50" i="69"/>
  <c r="AP50" i="69" s="1"/>
  <c r="AV38" i="69"/>
  <c r="BA38" i="69"/>
  <c r="AV41" i="69"/>
  <c r="BA41" i="69"/>
  <c r="BB28" i="69"/>
  <c r="BG28" i="69"/>
  <c r="BB17" i="69"/>
  <c r="BG17" i="69"/>
  <c r="AU22" i="1" l="1"/>
  <c r="AP22" i="1"/>
  <c r="BB20" i="1"/>
  <c r="BG20" i="1"/>
  <c r="BM17" i="1"/>
  <c r="BH17" i="1"/>
  <c r="AT49" i="1"/>
  <c r="AZ3" i="1"/>
  <c r="BM14" i="1"/>
  <c r="BH14" i="1"/>
  <c r="BG27" i="1"/>
  <c r="BB27" i="1"/>
  <c r="BG40" i="1"/>
  <c r="BB40" i="1"/>
  <c r="BB33" i="1"/>
  <c r="BG33" i="1"/>
  <c r="BG24" i="1"/>
  <c r="BB24" i="1"/>
  <c r="BM43" i="1"/>
  <c r="BH43" i="1"/>
  <c r="BA35" i="1"/>
  <c r="AV35" i="1"/>
  <c r="BM21" i="1"/>
  <c r="BH21" i="1"/>
  <c r="AV34" i="1"/>
  <c r="BA34" i="1"/>
  <c r="AV9" i="1"/>
  <c r="BA9" i="1"/>
  <c r="BB12" i="1"/>
  <c r="BG12" i="1"/>
  <c r="AV31" i="1"/>
  <c r="BA31" i="1"/>
  <c r="BB37" i="1"/>
  <c r="BG37" i="1"/>
  <c r="BB36" i="1"/>
  <c r="BG36" i="1"/>
  <c r="AV25" i="1"/>
  <c r="BA25" i="1"/>
  <c r="AV41" i="1"/>
  <c r="BA41" i="1"/>
  <c r="AZ8" i="1"/>
  <c r="AV8" i="1"/>
  <c r="BM29" i="1"/>
  <c r="BH29" i="1"/>
  <c r="AV6" i="1"/>
  <c r="BA6" i="1"/>
  <c r="BA30" i="1"/>
  <c r="AV30" i="1"/>
  <c r="BG32" i="1"/>
  <c r="BB32" i="1"/>
  <c r="BA26" i="1"/>
  <c r="AV26" i="1"/>
  <c r="AU49" i="1"/>
  <c r="BA3" i="1"/>
  <c r="AV3" i="1"/>
  <c r="BB11" i="1"/>
  <c r="BG11" i="1"/>
  <c r="BM48" i="1"/>
  <c r="BH48" i="1"/>
  <c r="AP49" i="1"/>
  <c r="AV38" i="1"/>
  <c r="BA38" i="1"/>
  <c r="BM42" i="1"/>
  <c r="BH42" i="1"/>
  <c r="BH10" i="1"/>
  <c r="BM10" i="1"/>
  <c r="BG28" i="1"/>
  <c r="BB28" i="1"/>
  <c r="AZ5" i="1"/>
  <c r="AV5" i="1"/>
  <c r="BM13" i="1"/>
  <c r="BH13" i="1"/>
  <c r="BB16" i="1"/>
  <c r="BG16" i="1"/>
  <c r="AP190" i="69"/>
  <c r="AP75" i="69"/>
  <c r="AT190" i="69"/>
  <c r="BM92" i="69"/>
  <c r="BH92" i="69"/>
  <c r="BB138" i="69"/>
  <c r="BG138" i="69"/>
  <c r="BA33" i="69"/>
  <c r="AV33" i="69"/>
  <c r="BG268" i="69"/>
  <c r="BB268" i="69"/>
  <c r="AZ160" i="69"/>
  <c r="AV160" i="69"/>
  <c r="BA210" i="69"/>
  <c r="AV210" i="69"/>
  <c r="AV215" i="69"/>
  <c r="BA215" i="69"/>
  <c r="BG272" i="69"/>
  <c r="BB272" i="69"/>
  <c r="BA198" i="69"/>
  <c r="AV198" i="69"/>
  <c r="BB29" i="69"/>
  <c r="BG29" i="69"/>
  <c r="BA131" i="69"/>
  <c r="AV131" i="69"/>
  <c r="BF274" i="69"/>
  <c r="BH274" i="69" s="1"/>
  <c r="BB274" i="69"/>
  <c r="BB228" i="69"/>
  <c r="BG228" i="69"/>
  <c r="BA15" i="69"/>
  <c r="AV15" i="69"/>
  <c r="BA130" i="69"/>
  <c r="AV130" i="69"/>
  <c r="BB36" i="69"/>
  <c r="BG36" i="69"/>
  <c r="BG169" i="69"/>
  <c r="BB169" i="69"/>
  <c r="BA19" i="69"/>
  <c r="AV19" i="69"/>
  <c r="BB314" i="69"/>
  <c r="BG314" i="69"/>
  <c r="BB353" i="69"/>
  <c r="BG353" i="69"/>
  <c r="BA362" i="69"/>
  <c r="AV362" i="69"/>
  <c r="AV322" i="69"/>
  <c r="BA322" i="69"/>
  <c r="BM349" i="69"/>
  <c r="BH349" i="69"/>
  <c r="AV337" i="69"/>
  <c r="BA337" i="69"/>
  <c r="BG360" i="69"/>
  <c r="BB360" i="69"/>
  <c r="AV340" i="69"/>
  <c r="BA340" i="69"/>
  <c r="BG367" i="69"/>
  <c r="BB367" i="69"/>
  <c r="BA315" i="69"/>
  <c r="AV315" i="69"/>
  <c r="BB344" i="69"/>
  <c r="BG344" i="69"/>
  <c r="BB370" i="69"/>
  <c r="BG370" i="69"/>
  <c r="AZ369" i="69"/>
  <c r="AV369" i="69"/>
  <c r="BB310" i="69"/>
  <c r="BG310" i="69"/>
  <c r="BG364" i="69"/>
  <c r="BB364" i="69"/>
  <c r="BB334" i="69"/>
  <c r="BG334" i="69"/>
  <c r="AV327" i="69"/>
  <c r="BA327" i="69"/>
  <c r="BM316" i="69"/>
  <c r="BH316" i="69"/>
  <c r="BB329" i="69"/>
  <c r="BG329" i="69"/>
  <c r="BB355" i="69"/>
  <c r="BG355" i="69"/>
  <c r="AT383" i="69"/>
  <c r="AZ302" i="69"/>
  <c r="BB309" i="69"/>
  <c r="BG309" i="69"/>
  <c r="BM311" i="69"/>
  <c r="BH311" i="69"/>
  <c r="AV338" i="69"/>
  <c r="BA338" i="69"/>
  <c r="BM354" i="69"/>
  <c r="BH354" i="69"/>
  <c r="AV356" i="69"/>
  <c r="BA356" i="69"/>
  <c r="BM351" i="69"/>
  <c r="BH351" i="69"/>
  <c r="BG352" i="69"/>
  <c r="BB352" i="69"/>
  <c r="BB330" i="69"/>
  <c r="BG330" i="69"/>
  <c r="BM343" i="69"/>
  <c r="BH343" i="69"/>
  <c r="BH317" i="69"/>
  <c r="BM317" i="69"/>
  <c r="AV333" i="69"/>
  <c r="BA333" i="69"/>
  <c r="BM359" i="69"/>
  <c r="BH359" i="69"/>
  <c r="BB325" i="69"/>
  <c r="BG325" i="69"/>
  <c r="BG306" i="69"/>
  <c r="BB306" i="69"/>
  <c r="BG321" i="69"/>
  <c r="BB321" i="69"/>
  <c r="AV357" i="69"/>
  <c r="BA357" i="69"/>
  <c r="BG332" i="69"/>
  <c r="BB332" i="69"/>
  <c r="BM304" i="69"/>
  <c r="BH304" i="69"/>
  <c r="AV336" i="69"/>
  <c r="BA336" i="69"/>
  <c r="BA348" i="69"/>
  <c r="AV348" i="69"/>
  <c r="BG326" i="69"/>
  <c r="BB326" i="69"/>
  <c r="BA303" i="69"/>
  <c r="AV303" i="69"/>
  <c r="BG305" i="69"/>
  <c r="BB305" i="69"/>
  <c r="BA324" i="69"/>
  <c r="AV324" i="69"/>
  <c r="BG313" i="69"/>
  <c r="BB313" i="69"/>
  <c r="BA323" i="69"/>
  <c r="AV323" i="69"/>
  <c r="AU383" i="69"/>
  <c r="AV302" i="69"/>
  <c r="BA302" i="69"/>
  <c r="BM307" i="69"/>
  <c r="BH307" i="69"/>
  <c r="BA358" i="69"/>
  <c r="AV358" i="69"/>
  <c r="BB318" i="69"/>
  <c r="BG318" i="69"/>
  <c r="BB328" i="69"/>
  <c r="BG328" i="69"/>
  <c r="BH368" i="69"/>
  <c r="BM368" i="69"/>
  <c r="AV350" i="69"/>
  <c r="BA350" i="69"/>
  <c r="AV373" i="69"/>
  <c r="BA373" i="69"/>
  <c r="BF280" i="69"/>
  <c r="BH280" i="69" s="1"/>
  <c r="BB280" i="69"/>
  <c r="BG255" i="69"/>
  <c r="BB255" i="69"/>
  <c r="AV239" i="69"/>
  <c r="BA239" i="69"/>
  <c r="BG263" i="69"/>
  <c r="BB263" i="69"/>
  <c r="BB252" i="69"/>
  <c r="BG252" i="69"/>
  <c r="BB241" i="69"/>
  <c r="BG241" i="69"/>
  <c r="BG256" i="69"/>
  <c r="BB256" i="69"/>
  <c r="BB275" i="69"/>
  <c r="BG275" i="69"/>
  <c r="AZ295" i="69"/>
  <c r="BF236" i="69"/>
  <c r="BG237" i="69"/>
  <c r="BB237" i="69"/>
  <c r="BM242" i="69"/>
  <c r="BH242" i="69"/>
  <c r="BH288" i="69"/>
  <c r="BM288" i="69"/>
  <c r="BG238" i="69"/>
  <c r="BB238" i="69"/>
  <c r="BG247" i="69"/>
  <c r="BB247" i="69"/>
  <c r="BB283" i="69"/>
  <c r="BG283" i="69"/>
  <c r="AV259" i="69"/>
  <c r="BA259" i="69"/>
  <c r="BM248" i="69"/>
  <c r="BH248" i="69"/>
  <c r="BG281" i="69"/>
  <c r="BB281" i="69"/>
  <c r="BA254" i="69"/>
  <c r="AV254" i="69"/>
  <c r="BM250" i="69"/>
  <c r="BH250" i="69"/>
  <c r="BH253" i="69"/>
  <c r="BM253" i="69"/>
  <c r="BG282" i="69"/>
  <c r="BB282" i="69"/>
  <c r="BG270" i="69"/>
  <c r="BB270" i="69"/>
  <c r="BG258" i="69"/>
  <c r="BB258" i="69"/>
  <c r="BA245" i="69"/>
  <c r="AV245" i="69"/>
  <c r="BG266" i="69"/>
  <c r="BB266" i="69"/>
  <c r="BB267" i="69"/>
  <c r="BG267" i="69"/>
  <c r="BH284" i="69"/>
  <c r="BM284" i="69"/>
  <c r="BG240" i="69"/>
  <c r="BB240" i="69"/>
  <c r="BG269" i="69"/>
  <c r="BB269" i="69"/>
  <c r="BB251" i="69"/>
  <c r="BG251" i="69"/>
  <c r="BB236" i="69"/>
  <c r="BG236" i="69"/>
  <c r="BM276" i="69"/>
  <c r="BH276" i="69"/>
  <c r="BM246" i="69"/>
  <c r="BH246" i="69"/>
  <c r="BG243" i="69"/>
  <c r="BB243" i="69"/>
  <c r="AV261" i="69"/>
  <c r="BA261" i="69"/>
  <c r="BM262" i="69"/>
  <c r="BH262" i="69"/>
  <c r="BM257" i="69"/>
  <c r="BH257" i="69"/>
  <c r="BG278" i="69"/>
  <c r="BB278" i="69"/>
  <c r="AU295" i="69"/>
  <c r="AV295" i="69" s="1"/>
  <c r="BM273" i="69"/>
  <c r="BH273" i="69"/>
  <c r="BM199" i="69"/>
  <c r="BH199" i="69"/>
  <c r="BB225" i="69"/>
  <c r="BG225" i="69"/>
  <c r="AV206" i="69"/>
  <c r="BA206" i="69"/>
  <c r="BM211" i="69"/>
  <c r="BH211" i="69"/>
  <c r="BB221" i="69"/>
  <c r="BG221" i="69"/>
  <c r="BM208" i="69"/>
  <c r="BH208" i="69"/>
  <c r="BF209" i="69"/>
  <c r="BH209" i="69" s="1"/>
  <c r="BB209" i="69"/>
  <c r="BH219" i="69"/>
  <c r="BM219" i="69"/>
  <c r="AV212" i="69"/>
  <c r="BA212" i="69"/>
  <c r="BF218" i="69"/>
  <c r="BH218" i="69" s="1"/>
  <c r="BB218" i="69"/>
  <c r="BB203" i="69"/>
  <c r="BG203" i="69"/>
  <c r="AV205" i="69"/>
  <c r="BA205" i="69"/>
  <c r="BM223" i="69"/>
  <c r="BH223" i="69"/>
  <c r="BM201" i="69"/>
  <c r="BH201" i="69"/>
  <c r="BG204" i="69"/>
  <c r="BB204" i="69"/>
  <c r="BA200" i="69"/>
  <c r="AV200" i="69"/>
  <c r="AU230" i="69"/>
  <c r="AV230" i="69" s="1"/>
  <c r="AV213" i="69"/>
  <c r="BA213" i="69"/>
  <c r="BF216" i="69"/>
  <c r="BH216" i="69" s="1"/>
  <c r="BB216" i="69"/>
  <c r="AZ220" i="69"/>
  <c r="AV220" i="69"/>
  <c r="BM202" i="69"/>
  <c r="BH202" i="69"/>
  <c r="BM155" i="69"/>
  <c r="BH155" i="69"/>
  <c r="BM156" i="69"/>
  <c r="BH156" i="69"/>
  <c r="BB166" i="69"/>
  <c r="BG166" i="69"/>
  <c r="BH153" i="69"/>
  <c r="BM153" i="69"/>
  <c r="BM115" i="69"/>
  <c r="BH115" i="69"/>
  <c r="AV154" i="69"/>
  <c r="BA154" i="69"/>
  <c r="BM117" i="69"/>
  <c r="BH117" i="69"/>
  <c r="BM137" i="69"/>
  <c r="BH137" i="69"/>
  <c r="BG120" i="69"/>
  <c r="BB120" i="69"/>
  <c r="BA118" i="69"/>
  <c r="AV118" i="69"/>
  <c r="BM161" i="69"/>
  <c r="BH161" i="69"/>
  <c r="BB170" i="69"/>
  <c r="BG170" i="69"/>
  <c r="BM177" i="69"/>
  <c r="BH177" i="69"/>
  <c r="BB162" i="69"/>
  <c r="BG162" i="69"/>
  <c r="BM159" i="69"/>
  <c r="BH159" i="69"/>
  <c r="BG121" i="69"/>
  <c r="BB121" i="69"/>
  <c r="BA143" i="69"/>
  <c r="AV143" i="69"/>
  <c r="BG124" i="69"/>
  <c r="BB124" i="69"/>
  <c r="BG150" i="69"/>
  <c r="BB150" i="69"/>
  <c r="BM160" i="69"/>
  <c r="BA122" i="69"/>
  <c r="AV122" i="69"/>
  <c r="BG114" i="69"/>
  <c r="BB114" i="69"/>
  <c r="BM142" i="69"/>
  <c r="BH142" i="69"/>
  <c r="BG125" i="69"/>
  <c r="BB125" i="69"/>
  <c r="BG123" i="69"/>
  <c r="BB123" i="69"/>
  <c r="AU190" i="69"/>
  <c r="BA129" i="69"/>
  <c r="AV129" i="69"/>
  <c r="BG136" i="69"/>
  <c r="BB136" i="69"/>
  <c r="BM134" i="69"/>
  <c r="BH134" i="69"/>
  <c r="BA139" i="69"/>
  <c r="AV139" i="69"/>
  <c r="BG165" i="69"/>
  <c r="BB165" i="69"/>
  <c r="AV146" i="69"/>
  <c r="BA146" i="69"/>
  <c r="BB174" i="69"/>
  <c r="BG174" i="69"/>
  <c r="BH128" i="69"/>
  <c r="BM128" i="69"/>
  <c r="BH173" i="69"/>
  <c r="BM173" i="69"/>
  <c r="BG175" i="69"/>
  <c r="BB175" i="69"/>
  <c r="BB167" i="69"/>
  <c r="BG167" i="69"/>
  <c r="AV172" i="69"/>
  <c r="BA172" i="69"/>
  <c r="BF114" i="69"/>
  <c r="BM149" i="69"/>
  <c r="BH149" i="69"/>
  <c r="BM185" i="69"/>
  <c r="BH185" i="69"/>
  <c r="BM181" i="69"/>
  <c r="BH181" i="69"/>
  <c r="BG135" i="69"/>
  <c r="BB135" i="69"/>
  <c r="BG179" i="69"/>
  <c r="BB179" i="69"/>
  <c r="BA133" i="69"/>
  <c r="AV133" i="69"/>
  <c r="AZ148" i="69"/>
  <c r="AV148" i="69"/>
  <c r="AV158" i="69"/>
  <c r="BA158" i="69"/>
  <c r="BB141" i="69"/>
  <c r="BG141" i="69"/>
  <c r="BM152" i="69"/>
  <c r="BH152" i="69"/>
  <c r="BM144" i="69"/>
  <c r="BH144" i="69"/>
  <c r="AV168" i="69"/>
  <c r="BA168" i="69"/>
  <c r="AV164" i="69"/>
  <c r="BA164" i="69"/>
  <c r="BH157" i="69"/>
  <c r="BM157" i="69"/>
  <c r="BB163" i="69"/>
  <c r="BG163" i="69"/>
  <c r="AV176" i="69"/>
  <c r="BA176" i="69"/>
  <c r="BM151" i="69"/>
  <c r="BH151" i="69"/>
  <c r="BG93" i="69"/>
  <c r="BB93" i="69"/>
  <c r="BH95" i="69"/>
  <c r="BM95" i="69"/>
  <c r="BM91" i="69"/>
  <c r="BH91" i="69"/>
  <c r="BG97" i="69"/>
  <c r="BB97" i="69"/>
  <c r="BA82" i="69"/>
  <c r="AV82" i="69"/>
  <c r="BG94" i="69"/>
  <c r="BB94" i="69"/>
  <c r="BM103" i="69"/>
  <c r="BH103" i="69"/>
  <c r="BG101" i="69"/>
  <c r="BB101" i="69"/>
  <c r="BG87" i="69"/>
  <c r="BB87" i="69"/>
  <c r="BM90" i="69"/>
  <c r="BH90" i="69"/>
  <c r="AU110" i="69"/>
  <c r="AV110" i="69" s="1"/>
  <c r="AV81" i="69"/>
  <c r="BA81" i="69"/>
  <c r="BB85" i="69"/>
  <c r="BG85" i="69"/>
  <c r="BG89" i="69"/>
  <c r="BB89" i="69"/>
  <c r="BG86" i="69"/>
  <c r="BB86" i="69"/>
  <c r="BG106" i="69"/>
  <c r="BB106" i="69"/>
  <c r="BM83" i="69"/>
  <c r="BH83" i="69"/>
  <c r="AZ110" i="69"/>
  <c r="BF81" i="69"/>
  <c r="BF110" i="69" s="1"/>
  <c r="BM99" i="69"/>
  <c r="BH99" i="69"/>
  <c r="BA88" i="69"/>
  <c r="AV88" i="69"/>
  <c r="BM84" i="69"/>
  <c r="BH84" i="69"/>
  <c r="BG70" i="69"/>
  <c r="BB70" i="69"/>
  <c r="AZ60" i="69"/>
  <c r="AT75" i="69"/>
  <c r="AV60" i="69"/>
  <c r="BM60" i="69"/>
  <c r="BA71" i="69"/>
  <c r="AV71" i="69"/>
  <c r="BA55" i="69"/>
  <c r="AU75" i="69"/>
  <c r="AV55" i="69"/>
  <c r="BG65" i="69"/>
  <c r="BB65" i="69"/>
  <c r="BA67" i="69"/>
  <c r="AV67" i="69"/>
  <c r="BM72" i="69"/>
  <c r="BH72" i="69"/>
  <c r="BM64" i="69"/>
  <c r="BH64" i="69"/>
  <c r="BM68" i="69"/>
  <c r="BH68" i="69"/>
  <c r="BG61" i="69"/>
  <c r="BB61" i="69"/>
  <c r="BM56" i="69"/>
  <c r="BH56" i="69"/>
  <c r="BG69" i="69"/>
  <c r="BB69" i="69"/>
  <c r="BG62" i="69"/>
  <c r="BB62" i="69"/>
  <c r="BB59" i="69"/>
  <c r="BG59" i="69"/>
  <c r="BG58" i="69"/>
  <c r="BB58" i="69"/>
  <c r="BG57" i="69"/>
  <c r="BB57" i="69"/>
  <c r="BA63" i="69"/>
  <c r="AV63" i="69"/>
  <c r="BG66" i="69"/>
  <c r="BB66" i="69"/>
  <c r="BB35" i="69"/>
  <c r="BG35" i="69"/>
  <c r="BA42" i="69"/>
  <c r="AV42" i="69"/>
  <c r="BG32" i="69"/>
  <c r="BB32" i="69"/>
  <c r="BM44" i="69"/>
  <c r="BH44" i="69"/>
  <c r="AP40" i="69"/>
  <c r="AU40" i="69"/>
  <c r="BM25" i="69"/>
  <c r="BH25" i="69"/>
  <c r="BB21" i="69"/>
  <c r="BG21" i="69"/>
  <c r="BM14" i="69"/>
  <c r="BH14" i="69"/>
  <c r="AV39" i="69"/>
  <c r="BA39" i="69"/>
  <c r="AV24" i="69"/>
  <c r="BA24" i="69"/>
  <c r="BG38" i="69"/>
  <c r="BB38" i="69"/>
  <c r="BM31" i="69"/>
  <c r="BH31" i="69"/>
  <c r="BG6" i="69"/>
  <c r="BB6" i="69"/>
  <c r="BH28" i="69"/>
  <c r="BM28" i="69"/>
  <c r="BG5" i="69"/>
  <c r="BH5" i="69" s="1"/>
  <c r="BB5" i="69"/>
  <c r="BM23" i="69"/>
  <c r="BH23" i="69"/>
  <c r="BG41" i="69"/>
  <c r="BB41" i="69"/>
  <c r="BG8" i="69"/>
  <c r="BB8" i="69"/>
  <c r="BM12" i="69"/>
  <c r="BH12" i="69"/>
  <c r="BB30" i="69"/>
  <c r="BG30" i="69"/>
  <c r="BM17" i="69"/>
  <c r="BH17" i="69"/>
  <c r="AZ50" i="69"/>
  <c r="BF4" i="69"/>
  <c r="BM26" i="69"/>
  <c r="BH26" i="69"/>
  <c r="BB43" i="69"/>
  <c r="BG43" i="69"/>
  <c r="BM18" i="69"/>
  <c r="BH18" i="69"/>
  <c r="BG4" i="69"/>
  <c r="BB4" i="69"/>
  <c r="BM22" i="69"/>
  <c r="BH22" i="69"/>
  <c r="BM13" i="69"/>
  <c r="BH13" i="69"/>
  <c r="BF37" i="69"/>
  <c r="BH37" i="69" s="1"/>
  <c r="BB37" i="69"/>
  <c r="BM11" i="69"/>
  <c r="BH11" i="69"/>
  <c r="BG9" i="69"/>
  <c r="BB9" i="69"/>
  <c r="BM10" i="69"/>
  <c r="BH10" i="69"/>
  <c r="BB49" i="69"/>
  <c r="BG49" i="69"/>
  <c r="BA7" i="69"/>
  <c r="AV7" i="69"/>
  <c r="AV22" i="1" l="1"/>
  <c r="BA22" i="1"/>
  <c r="BM16" i="1"/>
  <c r="BH16" i="1"/>
  <c r="BM37" i="1"/>
  <c r="BH37" i="1"/>
  <c r="BG34" i="1"/>
  <c r="BB34" i="1"/>
  <c r="BG30" i="1"/>
  <c r="BB30" i="1"/>
  <c r="BH32" i="1"/>
  <c r="BM32" i="1"/>
  <c r="BG31" i="1"/>
  <c r="BB31" i="1"/>
  <c r="AZ49" i="1"/>
  <c r="BF3" i="1"/>
  <c r="BF5" i="1"/>
  <c r="BH5" i="1" s="1"/>
  <c r="BB5" i="1"/>
  <c r="AV49" i="1"/>
  <c r="BB35" i="1"/>
  <c r="BG35" i="1"/>
  <c r="BM40" i="1"/>
  <c r="BH40" i="1"/>
  <c r="BF8" i="1"/>
  <c r="BH8" i="1" s="1"/>
  <c r="BB8" i="1"/>
  <c r="BM33" i="1"/>
  <c r="BH33" i="1"/>
  <c r="BA49" i="1"/>
  <c r="BG3" i="1"/>
  <c r="BB3" i="1"/>
  <c r="BB25" i="1"/>
  <c r="BG25" i="1"/>
  <c r="BH36" i="1"/>
  <c r="BM36" i="1"/>
  <c r="BG9" i="1"/>
  <c r="BB9" i="1"/>
  <c r="BM20" i="1"/>
  <c r="BH20" i="1"/>
  <c r="BM11" i="1"/>
  <c r="BH11" i="1"/>
  <c r="BH24" i="1"/>
  <c r="BM24" i="1"/>
  <c r="BG41" i="1"/>
  <c r="BB41" i="1"/>
  <c r="BG38" i="1"/>
  <c r="BB38" i="1"/>
  <c r="BG6" i="1"/>
  <c r="BB6" i="1"/>
  <c r="BM12" i="1"/>
  <c r="BH12" i="1"/>
  <c r="BH28" i="1"/>
  <c r="BM28" i="1"/>
  <c r="BG26" i="1"/>
  <c r="BB26" i="1"/>
  <c r="BH27" i="1"/>
  <c r="BM27" i="1"/>
  <c r="AV190" i="69"/>
  <c r="BF50" i="69"/>
  <c r="BA295" i="69"/>
  <c r="BB295" i="69" s="1"/>
  <c r="BF295" i="69"/>
  <c r="BB33" i="69"/>
  <c r="BG33" i="69"/>
  <c r="AZ190" i="69"/>
  <c r="BM138" i="69"/>
  <c r="BH138" i="69"/>
  <c r="BB130" i="69"/>
  <c r="BG130" i="69"/>
  <c r="BB131" i="69"/>
  <c r="BG131" i="69"/>
  <c r="BM29" i="69"/>
  <c r="BH29" i="69"/>
  <c r="AV383" i="69"/>
  <c r="BB19" i="69"/>
  <c r="BG19" i="69"/>
  <c r="BG15" i="69"/>
  <c r="BB15" i="69"/>
  <c r="BB210" i="69"/>
  <c r="BG210" i="69"/>
  <c r="BH228" i="69"/>
  <c r="BM228" i="69"/>
  <c r="BH169" i="69"/>
  <c r="BM169" i="69"/>
  <c r="BB198" i="69"/>
  <c r="BG198" i="69"/>
  <c r="BF160" i="69"/>
  <c r="BH160" i="69" s="1"/>
  <c r="BB160" i="69"/>
  <c r="BA190" i="69"/>
  <c r="BB190" i="69" s="1"/>
  <c r="BM36" i="69"/>
  <c r="BH36" i="69"/>
  <c r="BB215" i="69"/>
  <c r="BG215" i="69"/>
  <c r="BM272" i="69"/>
  <c r="BH272" i="69"/>
  <c r="BM268" i="69"/>
  <c r="BH268" i="69"/>
  <c r="BM370" i="69"/>
  <c r="BH370" i="69"/>
  <c r="BM305" i="69"/>
  <c r="BH305" i="69"/>
  <c r="BG350" i="69"/>
  <c r="BB350" i="69"/>
  <c r="BB323" i="69"/>
  <c r="BG323" i="69"/>
  <c r="BB303" i="69"/>
  <c r="BG303" i="69"/>
  <c r="BH306" i="69"/>
  <c r="BM306" i="69"/>
  <c r="BM364" i="69"/>
  <c r="BH364" i="69"/>
  <c r="BM360" i="69"/>
  <c r="BH360" i="69"/>
  <c r="BB362" i="69"/>
  <c r="BG362" i="69"/>
  <c r="BM310" i="69"/>
  <c r="BH310" i="69"/>
  <c r="BG337" i="69"/>
  <c r="BB337" i="69"/>
  <c r="BH353" i="69"/>
  <c r="BM353" i="69"/>
  <c r="BM355" i="69"/>
  <c r="BH355" i="69"/>
  <c r="BG322" i="69"/>
  <c r="BB322" i="69"/>
  <c r="BG373" i="69"/>
  <c r="BB373" i="69"/>
  <c r="BM352" i="69"/>
  <c r="BH352" i="69"/>
  <c r="BH325" i="69"/>
  <c r="BM325" i="69"/>
  <c r="BH313" i="69"/>
  <c r="BM313" i="69"/>
  <c r="BM326" i="69"/>
  <c r="BH326" i="69"/>
  <c r="BM332" i="69"/>
  <c r="BH332" i="69"/>
  <c r="BB315" i="69"/>
  <c r="BG315" i="69"/>
  <c r="BB336" i="69"/>
  <c r="BG336" i="69"/>
  <c r="BB338" i="69"/>
  <c r="BG338" i="69"/>
  <c r="BB340" i="69"/>
  <c r="BG340" i="69"/>
  <c r="BM318" i="69"/>
  <c r="BH318" i="69"/>
  <c r="BH321" i="69"/>
  <c r="BM321" i="69"/>
  <c r="BM344" i="69"/>
  <c r="BH344" i="69"/>
  <c r="BB356" i="69"/>
  <c r="BG356" i="69"/>
  <c r="BG357" i="69"/>
  <c r="BB357" i="69"/>
  <c r="BH330" i="69"/>
  <c r="BM330" i="69"/>
  <c r="AZ383" i="69"/>
  <c r="BF302" i="69"/>
  <c r="BB327" i="69"/>
  <c r="BG327" i="69"/>
  <c r="BM314" i="69"/>
  <c r="BH314" i="69"/>
  <c r="BG333" i="69"/>
  <c r="BB333" i="69"/>
  <c r="BM334" i="69"/>
  <c r="BH334" i="69"/>
  <c r="BH329" i="69"/>
  <c r="BM329" i="69"/>
  <c r="BB358" i="69"/>
  <c r="BG358" i="69"/>
  <c r="BH309" i="69"/>
  <c r="BM309" i="69"/>
  <c r="BH328" i="69"/>
  <c r="BM328" i="69"/>
  <c r="BA383" i="69"/>
  <c r="BB383" i="69" s="1"/>
  <c r="BG302" i="69"/>
  <c r="BB302" i="69"/>
  <c r="BB324" i="69"/>
  <c r="BG324" i="69"/>
  <c r="BB348" i="69"/>
  <c r="BG348" i="69"/>
  <c r="BF369" i="69"/>
  <c r="BH369" i="69" s="1"/>
  <c r="BB369" i="69"/>
  <c r="BM367" i="69"/>
  <c r="BH367" i="69"/>
  <c r="BB259" i="69"/>
  <c r="BG259" i="69"/>
  <c r="BM275" i="69"/>
  <c r="BH275" i="69"/>
  <c r="BM258" i="69"/>
  <c r="BH258" i="69"/>
  <c r="BM263" i="69"/>
  <c r="BH263" i="69"/>
  <c r="BH278" i="69"/>
  <c r="BM278" i="69"/>
  <c r="BM243" i="69"/>
  <c r="BH243" i="69"/>
  <c r="BM251" i="69"/>
  <c r="BH251" i="69"/>
  <c r="BM267" i="69"/>
  <c r="BH267" i="69"/>
  <c r="BM283" i="69"/>
  <c r="BH283" i="69"/>
  <c r="BG239" i="69"/>
  <c r="BB239" i="69"/>
  <c r="BM270" i="69"/>
  <c r="BH270" i="69"/>
  <c r="BB254" i="69"/>
  <c r="BG254" i="69"/>
  <c r="BM256" i="69"/>
  <c r="BH256" i="69"/>
  <c r="BM241" i="69"/>
  <c r="BH241" i="69"/>
  <c r="BM269" i="69"/>
  <c r="BH269" i="69"/>
  <c r="BH266" i="69"/>
  <c r="BM266" i="69"/>
  <c r="BM282" i="69"/>
  <c r="BH282" i="69"/>
  <c r="BM281" i="69"/>
  <c r="BH281" i="69"/>
  <c r="BM247" i="69"/>
  <c r="BH247" i="69"/>
  <c r="BM237" i="69"/>
  <c r="BH237" i="69"/>
  <c r="BH255" i="69"/>
  <c r="BM255" i="69"/>
  <c r="BH252" i="69"/>
  <c r="BM252" i="69"/>
  <c r="BG261" i="69"/>
  <c r="BB261" i="69"/>
  <c r="BM236" i="69"/>
  <c r="BH236" i="69"/>
  <c r="BH240" i="69"/>
  <c r="BM240" i="69"/>
  <c r="BB245" i="69"/>
  <c r="BG245" i="69"/>
  <c r="BH238" i="69"/>
  <c r="BM238" i="69"/>
  <c r="BB200" i="69"/>
  <c r="BG200" i="69"/>
  <c r="BA230" i="69"/>
  <c r="BF220" i="69"/>
  <c r="BB220" i="69"/>
  <c r="AZ230" i="69"/>
  <c r="BG206" i="69"/>
  <c r="BB206" i="69"/>
  <c r="BG212" i="69"/>
  <c r="BB212" i="69"/>
  <c r="BM225" i="69"/>
  <c r="BH225" i="69"/>
  <c r="BG213" i="69"/>
  <c r="BB213" i="69"/>
  <c r="BB205" i="69"/>
  <c r="BG205" i="69"/>
  <c r="BH204" i="69"/>
  <c r="BM204" i="69"/>
  <c r="BM221" i="69"/>
  <c r="BH221" i="69"/>
  <c r="BM203" i="69"/>
  <c r="BH203" i="69"/>
  <c r="BM135" i="69"/>
  <c r="BH135" i="69"/>
  <c r="BH162" i="69"/>
  <c r="BM162" i="69"/>
  <c r="BG164" i="69"/>
  <c r="BB164" i="69"/>
  <c r="BM141" i="69"/>
  <c r="BH141" i="69"/>
  <c r="BG146" i="69"/>
  <c r="BB146" i="69"/>
  <c r="BH125" i="69"/>
  <c r="BM125" i="69"/>
  <c r="BH170" i="69"/>
  <c r="BM170" i="69"/>
  <c r="BH179" i="69"/>
  <c r="BM179" i="69"/>
  <c r="BM136" i="69"/>
  <c r="BH136" i="69"/>
  <c r="BM121" i="69"/>
  <c r="BH121" i="69"/>
  <c r="BB158" i="69"/>
  <c r="BG158" i="69"/>
  <c r="BH166" i="69"/>
  <c r="BM166" i="69"/>
  <c r="BM165" i="69"/>
  <c r="BH165" i="69"/>
  <c r="BB154" i="69"/>
  <c r="BG154" i="69"/>
  <c r="BG176" i="69"/>
  <c r="BB176" i="69"/>
  <c r="BM150" i="69"/>
  <c r="BH150" i="69"/>
  <c r="BM163" i="69"/>
  <c r="BH163" i="69"/>
  <c r="BF148" i="69"/>
  <c r="BH148" i="69" s="1"/>
  <c r="BB148" i="69"/>
  <c r="BG139" i="69"/>
  <c r="BB139" i="69"/>
  <c r="BM124" i="69"/>
  <c r="BH124" i="69"/>
  <c r="BG118" i="69"/>
  <c r="BB118" i="69"/>
  <c r="BM175" i="69"/>
  <c r="BH175" i="69"/>
  <c r="BG168" i="69"/>
  <c r="BB168" i="69"/>
  <c r="BH114" i="69"/>
  <c r="BM114" i="69"/>
  <c r="BM167" i="69"/>
  <c r="BH167" i="69"/>
  <c r="BH174" i="69"/>
  <c r="BM174" i="69"/>
  <c r="BM123" i="69"/>
  <c r="BH123" i="69"/>
  <c r="BB129" i="69"/>
  <c r="BG129" i="69"/>
  <c r="BG172" i="69"/>
  <c r="BB172" i="69"/>
  <c r="BB133" i="69"/>
  <c r="BG133" i="69"/>
  <c r="BB122" i="69"/>
  <c r="BG122" i="69"/>
  <c r="BG143" i="69"/>
  <c r="BB143" i="69"/>
  <c r="BM120" i="69"/>
  <c r="BH120" i="69"/>
  <c r="BA110" i="69"/>
  <c r="BB110" i="69" s="1"/>
  <c r="BB81" i="69"/>
  <c r="BG81" i="69"/>
  <c r="BB88" i="69"/>
  <c r="BG88" i="69"/>
  <c r="BM94" i="69"/>
  <c r="BH94" i="69"/>
  <c r="BM97" i="69"/>
  <c r="BH97" i="69"/>
  <c r="BM86" i="69"/>
  <c r="BH86" i="69"/>
  <c r="BM89" i="69"/>
  <c r="BH89" i="69"/>
  <c r="BM101" i="69"/>
  <c r="BH101" i="69"/>
  <c r="BM106" i="69"/>
  <c r="BH106" i="69"/>
  <c r="BM85" i="69"/>
  <c r="BH85" i="69"/>
  <c r="BH87" i="69"/>
  <c r="BM87" i="69"/>
  <c r="BB82" i="69"/>
  <c r="BG82" i="69"/>
  <c r="BM93" i="69"/>
  <c r="BH93" i="69"/>
  <c r="BB63" i="69"/>
  <c r="BG63" i="69"/>
  <c r="BM69" i="69"/>
  <c r="BH69" i="69"/>
  <c r="BM58" i="69"/>
  <c r="BH58" i="69"/>
  <c r="BM66" i="69"/>
  <c r="BH66" i="69"/>
  <c r="BM61" i="69"/>
  <c r="BH61" i="69"/>
  <c r="BB71" i="69"/>
  <c r="BG71" i="69"/>
  <c r="BB67" i="69"/>
  <c r="BG67" i="69"/>
  <c r="BM62" i="69"/>
  <c r="BH62" i="69"/>
  <c r="BM65" i="69"/>
  <c r="BH65" i="69"/>
  <c r="BH57" i="69"/>
  <c r="BM57" i="69"/>
  <c r="AV75" i="69"/>
  <c r="BF60" i="69"/>
  <c r="BB60" i="69"/>
  <c r="AZ75" i="69"/>
  <c r="BA75" i="69"/>
  <c r="BB55" i="69"/>
  <c r="BG55" i="69"/>
  <c r="BM59" i="69"/>
  <c r="BH59" i="69"/>
  <c r="BM70" i="69"/>
  <c r="BH70" i="69"/>
  <c r="BM4" i="69"/>
  <c r="BH4" i="69"/>
  <c r="BM49" i="69"/>
  <c r="BH49" i="69"/>
  <c r="BM8" i="69"/>
  <c r="BH8" i="69"/>
  <c r="BG39" i="69"/>
  <c r="BB39" i="69"/>
  <c r="BM41" i="69"/>
  <c r="BH41" i="69"/>
  <c r="BM21" i="69"/>
  <c r="BH21" i="69"/>
  <c r="BB24" i="69"/>
  <c r="BG24" i="69"/>
  <c r="BM35" i="69"/>
  <c r="BH35" i="69"/>
  <c r="BG7" i="69"/>
  <c r="BB7" i="69"/>
  <c r="BM38" i="69"/>
  <c r="BH38" i="69"/>
  <c r="BH32" i="69"/>
  <c r="BM32" i="69"/>
  <c r="BG42" i="69"/>
  <c r="BB42" i="69"/>
  <c r="BM43" i="69"/>
  <c r="BH43" i="69"/>
  <c r="AV40" i="69"/>
  <c r="BA40" i="69"/>
  <c r="AU50" i="69"/>
  <c r="AV50" i="69" s="1"/>
  <c r="BM6" i="69"/>
  <c r="BH6" i="69"/>
  <c r="BM9" i="69"/>
  <c r="BH9" i="69"/>
  <c r="BH30" i="69"/>
  <c r="BM30" i="69"/>
  <c r="BG22" i="1" l="1"/>
  <c r="BB22" i="1"/>
  <c r="BF49" i="1"/>
  <c r="BM6" i="1"/>
  <c r="BH6" i="1"/>
  <c r="BM34" i="1"/>
  <c r="BH34" i="1"/>
  <c r="BM26" i="1"/>
  <c r="BH26" i="1"/>
  <c r="BM38" i="1"/>
  <c r="BH38" i="1"/>
  <c r="BG49" i="1"/>
  <c r="BH3" i="1"/>
  <c r="BM3" i="1"/>
  <c r="BM35" i="1"/>
  <c r="BH35" i="1"/>
  <c r="BH31" i="1"/>
  <c r="BM31" i="1"/>
  <c r="BB49" i="1"/>
  <c r="BM30" i="1"/>
  <c r="BH30" i="1"/>
  <c r="BM25" i="1"/>
  <c r="BH25" i="1"/>
  <c r="BM41" i="1"/>
  <c r="BH41" i="1"/>
  <c r="BM9" i="1"/>
  <c r="BH9" i="1"/>
  <c r="BG295" i="69"/>
  <c r="BH33" i="69"/>
  <c r="BM33" i="69"/>
  <c r="BF383" i="69"/>
  <c r="BM131" i="69"/>
  <c r="BH131" i="69"/>
  <c r="BF190" i="69"/>
  <c r="BH198" i="69"/>
  <c r="BM198" i="69"/>
  <c r="BM210" i="69"/>
  <c r="BH210" i="69"/>
  <c r="BH215" i="69"/>
  <c r="BM215" i="69"/>
  <c r="BM15" i="69"/>
  <c r="BH15" i="69"/>
  <c r="BH130" i="69"/>
  <c r="BM130" i="69"/>
  <c r="BG190" i="69"/>
  <c r="BM190" i="69" s="1"/>
  <c r="BB230" i="69"/>
  <c r="BM19" i="69"/>
  <c r="BH19" i="69"/>
  <c r="BM327" i="69"/>
  <c r="BH327" i="69"/>
  <c r="BM340" i="69"/>
  <c r="BH340" i="69"/>
  <c r="BG383" i="69"/>
  <c r="BH302" i="69"/>
  <c r="BM302" i="69"/>
  <c r="BH338" i="69"/>
  <c r="BM338" i="69"/>
  <c r="BH348" i="69"/>
  <c r="BM348" i="69"/>
  <c r="BH373" i="69"/>
  <c r="BM373" i="69"/>
  <c r="BM350" i="69"/>
  <c r="BH350" i="69"/>
  <c r="BM324" i="69"/>
  <c r="BH324" i="69"/>
  <c r="BM322" i="69"/>
  <c r="BH322" i="69"/>
  <c r="BM358" i="69"/>
  <c r="BH358" i="69"/>
  <c r="BH315" i="69"/>
  <c r="BM315" i="69"/>
  <c r="BM362" i="69"/>
  <c r="BH362" i="69"/>
  <c r="BH303" i="69"/>
  <c r="BM303" i="69"/>
  <c r="BM356" i="69"/>
  <c r="BH356" i="69"/>
  <c r="BM323" i="69"/>
  <c r="BH323" i="69"/>
  <c r="BH337" i="69"/>
  <c r="BM337" i="69"/>
  <c r="BM336" i="69"/>
  <c r="BH336" i="69"/>
  <c r="BH333" i="69"/>
  <c r="BM333" i="69"/>
  <c r="BH357" i="69"/>
  <c r="BM357" i="69"/>
  <c r="BM295" i="69"/>
  <c r="BH295" i="69"/>
  <c r="BM245" i="69"/>
  <c r="BH245" i="69"/>
  <c r="BM254" i="69"/>
  <c r="BH254" i="69"/>
  <c r="BM261" i="69"/>
  <c r="BH261" i="69"/>
  <c r="BM239" i="69"/>
  <c r="BH239" i="69"/>
  <c r="BM259" i="69"/>
  <c r="BH259" i="69"/>
  <c r="BM205" i="69"/>
  <c r="BH205" i="69"/>
  <c r="BM206" i="69"/>
  <c r="BH206" i="69"/>
  <c r="BM213" i="69"/>
  <c r="BH213" i="69"/>
  <c r="BH220" i="69"/>
  <c r="BF230" i="69"/>
  <c r="BM200" i="69"/>
  <c r="BH200" i="69"/>
  <c r="BG230" i="69"/>
  <c r="BH212" i="69"/>
  <c r="BM212" i="69"/>
  <c r="BM133" i="69"/>
  <c r="BH133" i="69"/>
  <c r="BM168" i="69"/>
  <c r="BH168" i="69"/>
  <c r="BM176" i="69"/>
  <c r="BH176" i="69"/>
  <c r="BM164" i="69"/>
  <c r="BH164" i="69"/>
  <c r="BM172" i="69"/>
  <c r="BH172" i="69"/>
  <c r="BH158" i="69"/>
  <c r="BM158" i="69"/>
  <c r="BH139" i="69"/>
  <c r="BM139" i="69"/>
  <c r="BH154" i="69"/>
  <c r="BM154" i="69"/>
  <c r="BM122" i="69"/>
  <c r="BH122" i="69"/>
  <c r="BM129" i="69"/>
  <c r="BH129" i="69"/>
  <c r="BH143" i="69"/>
  <c r="BM143" i="69"/>
  <c r="BM118" i="69"/>
  <c r="BH118" i="69"/>
  <c r="BM146" i="69"/>
  <c r="BH146" i="69"/>
  <c r="BM82" i="69"/>
  <c r="BH82" i="69"/>
  <c r="BM88" i="69"/>
  <c r="BH88" i="69"/>
  <c r="BG110" i="69"/>
  <c r="BH81" i="69"/>
  <c r="BM81" i="69"/>
  <c r="BF75" i="69"/>
  <c r="BH60" i="69"/>
  <c r="BM71" i="69"/>
  <c r="BH71" i="69"/>
  <c r="BM67" i="69"/>
  <c r="BH67" i="69"/>
  <c r="BG75" i="69"/>
  <c r="BM55" i="69"/>
  <c r="BH55" i="69"/>
  <c r="BM63" i="69"/>
  <c r="BH63" i="69"/>
  <c r="BB75" i="69"/>
  <c r="BM39" i="69"/>
  <c r="BH39" i="69"/>
  <c r="BG40" i="69"/>
  <c r="BB40" i="69"/>
  <c r="BH24" i="69"/>
  <c r="BM24" i="69"/>
  <c r="BA50" i="69"/>
  <c r="BB50" i="69" s="1"/>
  <c r="BM7" i="69"/>
  <c r="BH7" i="69"/>
  <c r="BM42" i="69"/>
  <c r="BH42" i="69"/>
  <c r="BG50" i="69"/>
  <c r="BH22" i="1" l="1"/>
  <c r="BM22" i="1"/>
  <c r="BM49" i="1"/>
  <c r="BH49" i="1"/>
  <c r="BH190" i="69"/>
  <c r="BM383" i="69"/>
  <c r="BH383" i="69"/>
  <c r="BM230" i="69"/>
  <c r="BH230" i="69"/>
  <c r="BM110" i="69"/>
  <c r="BH110" i="69"/>
  <c r="BM75" i="69"/>
  <c r="BH75" i="69"/>
  <c r="BM50" i="69"/>
  <c r="BH50" i="69"/>
  <c r="BM40" i="69"/>
  <c r="BH40" i="6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</authors>
  <commentList>
    <comment ref="Z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萧山旗舰30000元 汇德隆市心店42800元</t>
        </r>
      </text>
    </comment>
    <comment ref="AE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场地费
</t>
        </r>
      </text>
    </comment>
    <comment ref="AE6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61019工补贴</t>
        </r>
      </text>
    </comment>
    <comment ref="C7" authorId="1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原杭州新容机电有限公司</t>
        </r>
      </text>
    </comment>
    <comment ref="AE7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106933元工厂补贴</t>
        </r>
      </text>
    </comment>
    <comment ref="AE8" authorId="0" shapeId="0" xr:uid="{00000000-0006-0000-0100-000006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50253元工厂补贴</t>
        </r>
      </text>
    </comment>
    <comment ref="C10" authorId="0" shapeId="0" xr:uid="{00000000-0006-0000-0100-000007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淳安县爱满屋家电商行</t>
        </r>
      </text>
    </comment>
    <comment ref="Z12" authorId="0" shapeId="0" xr:uid="{00000000-0006-0000-01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41000元五星元茂店</t>
        </r>
      </text>
    </comment>
    <comment ref="AE12" authorId="0" shapeId="0" xr:uid="{00000000-0006-0000-01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场地费</t>
        </r>
      </text>
    </comment>
    <comment ref="BJ12" authorId="0" shapeId="0" xr:uid="{00000000-0006-0000-01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44000元为场地费</t>
        </r>
      </text>
    </comment>
    <comment ref="BO12" authorId="0" shapeId="0" xr:uid="{00000000-0006-0000-01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杭州五星秋涛店37300 杭州五星佳源店10700元
五星元茂41000</t>
        </r>
      </text>
    </comment>
    <comment ref="BP12" authorId="0" shapeId="0" xr:uid="{00000000-0006-0000-01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此笔费用为绍兴场地费，货款扣掉，绍兴打入我司4月6万5月1.7万</t>
        </r>
      </text>
    </comment>
    <comment ref="C14" authorId="0" shapeId="0" xr:uid="{00000000-0006-0000-01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杭州萧山华祥家电有限公司</t>
        </r>
      </text>
    </comment>
    <comment ref="Z34" authorId="0" shapeId="0" xr:uid="{00000000-0006-0000-0100-00000E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46612二轻专卖店以旧换新</t>
        </r>
      </text>
    </comment>
    <comment ref="AF34" authorId="0" shapeId="0" xr:uid="{00000000-0006-0000-0100-00000F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二轻以旧换新</t>
        </r>
      </text>
    </comment>
    <comment ref="AL34" authorId="0" shapeId="0" xr:uid="{00000000-0006-0000-0100-000010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141304二轻以旧换新</t>
        </r>
      </text>
    </comment>
    <comment ref="AR34" authorId="0" shapeId="0" xr:uid="{00000000-0006-0000-0100-00001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二轻25131</t>
        </r>
      </text>
    </comment>
    <comment ref="BD34" authorId="0" shapeId="0" xr:uid="{00000000-0006-0000-0100-00001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24037 二轻以旧换新24037元</t>
        </r>
      </text>
    </comment>
    <comment ref="C38" authorId="0" shapeId="0" xr:uid="{00000000-0006-0000-0100-00001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杭州殊晟机电设备有限公司</t>
        </r>
      </text>
    </comment>
    <comment ref="AX39" authorId="0" shapeId="0" xr:uid="{00000000-0006-0000-0100-00001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（新）滨江第六空间专卖店 5061
二轻17758</t>
        </r>
      </text>
    </comment>
    <comment ref="BO42" authorId="0" shapeId="0" xr:uid="{00000000-0006-0000-0100-00001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杭州古墩路天猫优品旗舰店 1月 暂时没计算</t>
        </r>
      </text>
    </comment>
    <comment ref="AX43" authorId="0" shapeId="0" xr:uid="{00000000-0006-0000-0100-000016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二轻11274元</t>
        </r>
      </text>
    </comment>
    <comment ref="BD43" authorId="0" shapeId="0" xr:uid="{00000000-0006-0000-0100-000017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二轻以旧换新下12823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4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湖州瑷嘉冷暖设备有限公司</t>
        </r>
      </text>
    </comment>
    <comment ref="T5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场地费170000</t>
        </r>
      </text>
    </comment>
    <comment ref="AE5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170000万是场地费</t>
        </r>
      </text>
    </comment>
    <comment ref="C6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德清智跃电子科技有限公司
浙江郡德环境科技有限公司</t>
        </r>
      </text>
    </comment>
    <comment ref="AL7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Administrator:
长兴专卖店7600元为翁昕回款转零售
</t>
        </r>
      </text>
    </comment>
    <comment ref="AL8" authorId="0" shapeId="0" xr:uid="{00000000-0006-0000-0200-000006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长兴专卖店7600元为翁昕回款转零售</t>
        </r>
      </text>
    </comment>
    <comment ref="C18" authorId="0" shapeId="0" xr:uid="{00000000-0006-0000-0200-000007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湖州浙北五交化有限公司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3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义乌颖亿贸易有限公司</t>
        </r>
      </text>
    </comment>
    <comment ref="T3" authorId="0" shapeId="0" xr:uid="{00000000-0006-0000-03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15078元计入龙腾</t>
        </r>
      </text>
    </comment>
    <comment ref="AE3" authorId="0" shapeId="0" xr:uid="{00000000-0006-0000-03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63600 工厂补贴</t>
        </r>
      </text>
    </comment>
    <comment ref="AF4" authorId="0" shapeId="0" xr:uid="{00000000-0006-0000-03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40500场地费
</t>
        </r>
      </text>
    </comment>
    <comment ref="BD4" authorId="0" shapeId="0" xr:uid="{00000000-0006-0000-03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衢州普农龙游店---家用电20000元</t>
        </r>
      </text>
    </comment>
    <comment ref="BO4" authorId="0" shapeId="0" xr:uid="{00000000-0006-0000-0300-000006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衢州普农三衢路店 20500 +衢州普农龙游店 20000元
衢州普农龙游店---家用电20000元</t>
        </r>
      </text>
    </comment>
    <comment ref="AE5" authorId="0" shapeId="0" xr:uid="{00000000-0006-0000-0300-000007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场地费46300</t>
        </r>
      </text>
    </comment>
    <comment ref="AF5" authorId="0" shapeId="0" xr:uid="{00000000-0006-0000-03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16000场地费
</t>
        </r>
      </text>
    </comment>
    <comment ref="BD5" authorId="0" shapeId="0" xr:uid="{00000000-0006-0000-03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金华五星人民广场店---家用电10000元</t>
        </r>
      </text>
    </comment>
    <comment ref="BO5" authorId="0" shapeId="0" xr:uid="{00000000-0006-0000-03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金华五星人民广场店 10000+金华五星八一南街店6000
金华五星人民广场店---家用电10000元</t>
        </r>
      </text>
    </comment>
    <comment ref="AE7" authorId="0" shapeId="0" xr:uid="{00000000-0006-0000-03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37953元工厂补贴</t>
        </r>
      </text>
    </comment>
    <comment ref="C9" authorId="0" shapeId="0" xr:uid="{00000000-0006-0000-03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23.5有兰溪专卖店 直营转加盟</t>
        </r>
      </text>
    </comment>
    <comment ref="AE9" authorId="0" shapeId="0" xr:uid="{00000000-0006-0000-03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29947工厂补贴</t>
        </r>
      </text>
    </comment>
    <comment ref="K10" authorId="0" shapeId="0" xr:uid="{00000000-0006-0000-0300-00000E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26880元属于汇鑫划走</t>
        </r>
      </text>
    </comment>
    <comment ref="T10" authorId="0" shapeId="0" xr:uid="{00000000-0006-0000-0300-00000F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15078元在义乌荣昌 转成龙腾</t>
        </r>
      </text>
    </comment>
    <comment ref="C11" authorId="0" shapeId="0" xr:uid="{00000000-0006-0000-0300-000010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兰溪市盈顺贸易商行</t>
        </r>
      </text>
    </comment>
    <comment ref="C15" authorId="0" shapeId="0" xr:uid="{00000000-0006-0000-0300-000011000000}">
      <text>
        <r>
          <rPr>
            <sz val="9"/>
            <rFont val="宋体"/>
            <family val="3"/>
            <charset val="134"/>
          </rPr>
          <t>义乌丹溪路专卖店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</authors>
  <commentList>
    <comment ref="AE3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39300元场地费</t>
        </r>
      </text>
    </comment>
    <comment ref="AF3" authorId="0" shapeId="0" xr:uid="{00000000-0006-0000-04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场地费</t>
        </r>
      </text>
    </comment>
    <comment ref="C4" authorId="0" shapeId="0" xr:uid="{00000000-0006-0000-04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海宁程信电器有限公司</t>
        </r>
      </text>
    </comment>
    <comment ref="BL4" authorId="0" shapeId="0" xr:uid="{00000000-0006-0000-04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60304场地费</t>
        </r>
      </text>
    </comment>
    <comment ref="AE5" authorId="0" shapeId="0" xr:uid="{00000000-0006-0000-04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22700元场地费</t>
        </r>
      </text>
    </comment>
    <comment ref="C6" authorId="1" shapeId="0" xr:uid="{00000000-0006-0000-04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原单位是海宁市五金交电化工有限公司</t>
        </r>
      </text>
    </comment>
    <comment ref="BO6" authorId="0" shapeId="0" xr:uid="{00000000-0006-0000-0400-000007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海宁五交化海昌路店20000</t>
        </r>
      </text>
    </comment>
    <comment ref="C7" authorId="0" shapeId="0" xr:uid="{00000000-0006-0000-04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嘉兴汇越商贸有限公司</t>
        </r>
      </text>
    </comment>
    <comment ref="C12" authorId="0" shapeId="0" xr:uid="{00000000-0006-0000-04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嘉兴嘉善体育路专卖店直营店</t>
        </r>
      </text>
    </comment>
    <comment ref="AK17" authorId="0" shapeId="0" xr:uid="{00000000-0006-0000-04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3798.1 合斯满</t>
        </r>
      </text>
    </comment>
    <comment ref="AW17" authorId="0" shapeId="0" xr:uid="{00000000-0006-0000-04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杭州金蝶零售1.5万 众凌</t>
        </r>
      </text>
    </comment>
    <comment ref="K25" authorId="0" shapeId="0" xr:uid="{00000000-0006-0000-04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20000嘉兴浙北江南永乐大厦店
</t>
        </r>
      </text>
    </comment>
    <comment ref="BO25" authorId="0" shapeId="0" xr:uid="{00000000-0006-0000-04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嘉兴浙北江南永乐大厦店</t>
        </r>
      </text>
    </comment>
    <comment ref="G42" authorId="0" shapeId="0" xr:uid="{00000000-0006-0000-0400-00000E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吴月芳
</t>
        </r>
      </text>
    </comment>
    <comment ref="G44" authorId="0" shapeId="0" xr:uid="{00000000-0006-0000-0400-00000F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吴月芳
</t>
        </r>
      </text>
    </comment>
    <comment ref="D66" authorId="0" shapeId="0" xr:uid="{00000000-0006-0000-0400-000010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零售云</t>
        </r>
      </text>
    </comment>
    <comment ref="D68" authorId="0" shapeId="0" xr:uid="{00000000-0006-0000-0400-00001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零售云
</t>
        </r>
      </text>
    </comment>
    <comment ref="F69" authorId="0" shapeId="0" xr:uid="{00000000-0006-0000-0400-00001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通元镇</t>
        </r>
      </text>
    </comment>
    <comment ref="G69" authorId="0" shapeId="0" xr:uid="{00000000-0006-0000-0400-00001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通元镇</t>
        </r>
      </text>
    </comment>
    <comment ref="D72" authorId="0" shapeId="0" xr:uid="{00000000-0006-0000-0400-00001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零售云
</t>
        </r>
      </text>
    </comment>
    <comment ref="D74" authorId="0" shapeId="0" xr:uid="{00000000-0006-0000-0400-00001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零售云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L5" authorId="0" shapeId="0" xr:uid="{00000000-0006-0000-05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开业联合促销---SS167347台州临海耀达靖江中路店---家用电</t>
        </r>
      </text>
    </comment>
    <comment ref="BO5" authorId="0" shapeId="0" xr:uid="{00000000-0006-0000-05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台州临海耀达靖江中路店
7台州临海耀达靖江中路店---家用电 2万</t>
        </r>
      </text>
    </comment>
    <comment ref="C8" authorId="0" shapeId="0" xr:uid="{00000000-0006-0000-05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黄岩百货有限公司</t>
        </r>
      </text>
    </comment>
    <comment ref="AL10" authorId="0" shapeId="0" xr:uid="{00000000-0006-0000-05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	开业联合促销---S115005椒江国商广场---家用电</t>
        </r>
      </text>
    </comment>
    <comment ref="AR11" authorId="0" shapeId="0" xr:uid="{00000000-0006-0000-05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13421东海国补</t>
        </r>
      </text>
    </comment>
    <comment ref="AF13" authorId="0" shapeId="0" xr:uid="{00000000-0006-0000-0500-000006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34862房补人补</t>
        </r>
      </text>
    </comment>
    <comment ref="T15" authorId="0" shapeId="0" xr:uid="{00000000-0006-0000-0500-000007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13980.32合斯满 代结算</t>
        </r>
      </text>
    </comment>
    <comment ref="C16" authorId="0" shapeId="0" xr:uid="{00000000-0006-0000-05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仙居品悦电器有限公司</t>
        </r>
      </text>
    </comment>
    <comment ref="AE16" authorId="0" shapeId="0" xr:uid="{00000000-0006-0000-05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仙居大周 45659</t>
        </r>
      </text>
    </comment>
    <comment ref="AF16" authorId="0" shapeId="0" xr:uid="{00000000-0006-0000-05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33866房补人补</t>
        </r>
      </text>
    </comment>
    <comment ref="AF20" authorId="0" shapeId="0" xr:uid="{00000000-0006-0000-05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10000场地费</t>
        </r>
      </text>
    </comment>
    <comment ref="BJ20" authorId="0" shapeId="0" xr:uid="{00000000-0006-0000-05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1万场地费</t>
        </r>
      </text>
    </comment>
    <comment ref="AE21" authorId="0" shapeId="0" xr:uid="{00000000-0006-0000-05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48949元天台汇泉</t>
        </r>
      </text>
    </comment>
    <comment ref="C22" authorId="0" shapeId="0" xr:uid="{00000000-0006-0000-0500-00000E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台州市圆丰暖通设备有限公司</t>
        </r>
      </text>
    </comment>
    <comment ref="AE22" authorId="0" shapeId="0" xr:uid="{00000000-0006-0000-0500-00000F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锦屏场地费34635</t>
        </r>
      </text>
    </comment>
    <comment ref="AF22" authorId="0" shapeId="0" xr:uid="{00000000-0006-0000-0500-000010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26151房补</t>
        </r>
      </text>
    </comment>
    <comment ref="AR22" authorId="0" shapeId="0" xr:uid="{00000000-0006-0000-0500-00001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以旧换新</t>
        </r>
      </text>
    </comment>
    <comment ref="BN22" authorId="0" shapeId="0" xr:uid="{00000000-0006-0000-0500-00001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锦屏场地费</t>
        </r>
      </text>
    </comment>
    <comment ref="AE25" authorId="0" shapeId="0" xr:uid="{00000000-0006-0000-0500-00001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路桥月星场地费11238</t>
        </r>
      </text>
    </comment>
    <comment ref="AF25" authorId="0" shapeId="0" xr:uid="{00000000-0006-0000-0500-00001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33725房补人补</t>
        </r>
      </text>
    </comment>
    <comment ref="T31" authorId="0" shapeId="0" xr:uid="{00000000-0006-0000-0500-00001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87500元工程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4" authorId="0" shapeId="0" xr:uid="{00000000-0006-0000-06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诸暨雄风电器有限公司</t>
        </r>
      </text>
    </comment>
    <comment ref="C12" authorId="0" shapeId="0" xr:uid="{00000000-0006-0000-06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绍兴大通购物中心有限公司</t>
        </r>
      </text>
    </comment>
    <comment ref="C13" authorId="0" shapeId="0" xr:uid="{00000000-0006-0000-06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南京合斯满网络科技有限公司</t>
        </r>
      </text>
    </comment>
    <comment ref="BJ13" authorId="0" shapeId="0" xr:uid="{00000000-0006-0000-06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10938 合斯满</t>
        </r>
      </text>
    </comment>
    <comment ref="AQ15" authorId="0" shapeId="0" xr:uid="{00000000-0006-0000-06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139715 场地费</t>
        </r>
      </text>
    </comment>
    <comment ref="AW16" authorId="0" shapeId="0" xr:uid="{00000000-0006-0000-0600-000006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1598杭州金蝶  278320 借款 先不算  1113280工程</t>
        </r>
      </text>
    </comment>
    <comment ref="BJ16" authorId="0" shapeId="0" xr:uid="{00000000-0006-0000-0600-000007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剔除工程1065000元</t>
        </r>
      </text>
    </comment>
    <comment ref="AQ17" authorId="0" shapeId="0" xr:uid="{00000000-0006-0000-06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46222场地费</t>
        </r>
      </text>
    </comment>
    <comment ref="C25" authorId="0" shapeId="0" xr:uid="{00000000-0006-0000-06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绍兴市上虞区东关供销合作社购物中心</t>
        </r>
      </text>
    </comment>
    <comment ref="AQ41" authorId="0" shapeId="0" xr:uid="{00000000-0006-0000-06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27642 场地费</t>
        </r>
      </text>
    </comment>
    <comment ref="AQ42" authorId="0" shapeId="0" xr:uid="{00000000-0006-0000-06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9051 场地费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23" authorId="0" shapeId="0" xr:uid="{00000000-0006-0000-07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王娜</t>
        </r>
      </text>
    </comment>
    <comment ref="I25" authorId="0" shapeId="0" xr:uid="{00000000-0006-0000-07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徐丽映</t>
        </r>
      </text>
    </comment>
    <comment ref="C27" authorId="0" shapeId="0" xr:uid="{00000000-0006-0000-07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温州龙港站港路专卖店</t>
        </r>
      </text>
    </comment>
    <comment ref="I67" authorId="0" shapeId="0" xr:uid="{00000000-0006-0000-07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罗玉丽</t>
        </r>
      </text>
    </comment>
    <comment ref="C69" authorId="0" shapeId="0" xr:uid="{00000000-0006-0000-07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  24.11月转成加盟商</t>
        </r>
      </text>
    </comment>
    <comment ref="I77" authorId="0" shapeId="0" xr:uid="{00000000-0006-0000-0700-000006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王苗苗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K3" authorId="0" shapeId="0" xr:uid="{00000000-0006-0000-08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福州中科创电器有限公司10505.1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</authors>
  <commentList>
    <comment ref="Z4" authorId="0" shapeId="0" xr:uid="{FA0C71B7-A38A-734C-AE75-C1F445D92152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萧山旗舰30000元 汇德隆市心店42800元</t>
        </r>
      </text>
    </comment>
    <comment ref="AE4" authorId="0" shapeId="0" xr:uid="{2598F863-B1C5-2147-A0A4-17AC9C558FC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场地费
</t>
        </r>
      </text>
    </comment>
    <comment ref="AE7" authorId="0" shapeId="0" xr:uid="{A921F1E1-2C94-B34E-8012-73511035980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61019工补贴</t>
        </r>
      </text>
    </comment>
    <comment ref="C8" authorId="1" shapeId="0" xr:uid="{9C37D29B-8D3C-7B4C-BF86-E3EEF91D2237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原杭州新容机电有限公司</t>
        </r>
      </text>
    </comment>
    <comment ref="AE8" authorId="0" shapeId="0" xr:uid="{907DFD76-9B0C-284D-9ABE-864BE6E89E72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106933元工厂补贴</t>
        </r>
      </text>
    </comment>
    <comment ref="AE9" authorId="0" shapeId="0" xr:uid="{7E3E763B-054B-9445-BF1B-7F662CE151A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50253元工厂补贴</t>
        </r>
      </text>
    </comment>
    <comment ref="C11" authorId="0" shapeId="0" xr:uid="{25A3EF75-5487-7244-A473-29A221A6770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淳安县爱满屋家电商行</t>
        </r>
      </text>
    </comment>
    <comment ref="Z13" authorId="0" shapeId="0" xr:uid="{9B8E7E28-8CD6-4B4C-80B0-732ED21E09B9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41000元五星元茂店</t>
        </r>
      </text>
    </comment>
    <comment ref="AE13" authorId="0" shapeId="0" xr:uid="{0D5F6529-7173-D14E-88CF-F4126C9E442A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场地费</t>
        </r>
      </text>
    </comment>
    <comment ref="BJ13" authorId="0" shapeId="0" xr:uid="{928BDD7A-938E-AF4B-B810-CA4BE499829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44000元为场地费</t>
        </r>
      </text>
    </comment>
    <comment ref="BO13" authorId="0" shapeId="0" xr:uid="{7BC4FC66-3B69-2D40-96FD-EE7F0E55FA1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杭州五星秋涛店37300 杭州五星佳源店10700元
五星元茂41000</t>
        </r>
      </text>
    </comment>
    <comment ref="BP13" authorId="0" shapeId="0" xr:uid="{89E59D2B-5E5F-B94B-A08F-DF095522E85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此笔费用为绍兴场地费，货款扣掉，绍兴打入我司4月6万5月1.7万</t>
        </r>
      </text>
    </comment>
    <comment ref="C15" authorId="0" shapeId="0" xr:uid="{4BDEE848-9B16-D445-A994-21BBB3BD8F7C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杭州萧山华祥家电有限公司</t>
        </r>
      </text>
    </comment>
    <comment ref="Z35" authorId="0" shapeId="0" xr:uid="{D79F7DD8-D35C-3244-BF32-D1AF73F86E1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46612二轻专卖店以旧换新</t>
        </r>
      </text>
    </comment>
    <comment ref="AF35" authorId="0" shapeId="0" xr:uid="{C583EF47-CD93-4B41-A7D9-135D0925D5DE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二轻以旧换新</t>
        </r>
      </text>
    </comment>
    <comment ref="AL35" authorId="0" shapeId="0" xr:uid="{70E7117D-762A-3641-8C23-4FDE4A64FD3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141304二轻以旧换新</t>
        </r>
      </text>
    </comment>
    <comment ref="AR35" authorId="0" shapeId="0" xr:uid="{960BDC4F-068F-4241-A388-9A8B5D8C15A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二轻25131</t>
        </r>
      </text>
    </comment>
    <comment ref="BD35" authorId="0" shapeId="0" xr:uid="{46A0010A-B976-3248-89CA-AFAA08C29A0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24037 二轻以旧换新24037元</t>
        </r>
      </text>
    </comment>
    <comment ref="C39" authorId="0" shapeId="0" xr:uid="{1DD82AEA-8450-D447-A68C-90B9D79815F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杭州殊晟机电设备有限公司</t>
        </r>
      </text>
    </comment>
    <comment ref="AX40" authorId="0" shapeId="0" xr:uid="{04D68450-1DC2-5846-B76C-7A330FD4D47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（新）滨江第六空间专卖店 5061
二轻17758</t>
        </r>
      </text>
    </comment>
    <comment ref="BO43" authorId="0" shapeId="0" xr:uid="{6703839E-998B-3242-AA18-DF3753FBBB42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杭州古墩路天猫优品旗舰店 1月 暂时没计算</t>
        </r>
      </text>
    </comment>
    <comment ref="AX44" authorId="0" shapeId="0" xr:uid="{8D780A1E-7A08-6E49-BA79-F0F55AC16704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二轻11274元</t>
        </r>
      </text>
    </comment>
    <comment ref="BD44" authorId="0" shapeId="0" xr:uid="{A16165F9-8E75-4E4F-9B89-FC9E1D265E3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二轻以旧换新下12823</t>
        </r>
      </text>
    </comment>
    <comment ref="C56" authorId="0" shapeId="0" xr:uid="{063F21D8-3073-2B4F-A55F-F1DF62E4D0EE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湖州瑷嘉冷暖设备有限公司</t>
        </r>
      </text>
    </comment>
    <comment ref="T57" authorId="0" shapeId="0" xr:uid="{1B2FA2D2-A867-3248-A648-7C7F0006F412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场地费170000</t>
        </r>
      </text>
    </comment>
    <comment ref="AE57" authorId="0" shapeId="0" xr:uid="{64CFFD2D-7974-2346-AFB7-DE32F874CF8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170000万是场地费</t>
        </r>
      </text>
    </comment>
    <comment ref="C58" authorId="0" shapeId="0" xr:uid="{0725CA57-25F5-4E48-BC72-2C389D64637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德清智跃电子科技有限公司
浙江郡德环境科技有限公司</t>
        </r>
      </text>
    </comment>
    <comment ref="AL59" authorId="0" shapeId="0" xr:uid="{BD9202B3-58E3-204F-83BF-8177A5F9FD02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Administrator:
长兴专卖店7600元为翁昕回款转零售
</t>
        </r>
      </text>
    </comment>
    <comment ref="AL60" authorId="0" shapeId="0" xr:uid="{44ED1069-238D-C94F-9F4F-5028D375E6E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长兴专卖店7600元为翁昕回款转零售</t>
        </r>
      </text>
    </comment>
    <comment ref="C70" authorId="0" shapeId="0" xr:uid="{E3686AED-C1A5-0443-817D-7DA8E8F4886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湖州浙北五交化有限公司</t>
        </r>
      </text>
    </comment>
    <comment ref="C81" authorId="0" shapeId="0" xr:uid="{818DE541-5196-9642-B695-FA45F6F0648E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义乌颖亿贸易有限公司</t>
        </r>
      </text>
    </comment>
    <comment ref="T81" authorId="0" shapeId="0" xr:uid="{56F26AF3-DC68-6C48-99A1-34C4C3FF047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15078元计入龙腾</t>
        </r>
      </text>
    </comment>
    <comment ref="AE81" authorId="0" shapeId="0" xr:uid="{986E7ECC-442B-BA42-826E-CC289E850BCE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63600 工厂补贴</t>
        </r>
      </text>
    </comment>
    <comment ref="AF82" authorId="0" shapeId="0" xr:uid="{9A58CC42-020B-9B4F-8C07-858F605AFA0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40500场地费
</t>
        </r>
      </text>
    </comment>
    <comment ref="BD82" authorId="0" shapeId="0" xr:uid="{247893FB-46DF-B74F-B82B-F69F789F469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衢州普农龙游店---家用电20000元</t>
        </r>
      </text>
    </comment>
    <comment ref="BO82" authorId="0" shapeId="0" xr:uid="{D1ADB873-6A82-3144-A4B2-EB42D8BDA6F2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衢州普农三衢路店 20500 +衢州普农龙游店 20000元
衢州普农龙游店---家用电20000元</t>
        </r>
      </text>
    </comment>
    <comment ref="AE83" authorId="0" shapeId="0" xr:uid="{3AD8AFB2-47B7-CD42-BCA6-21546E8A902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场地费46300</t>
        </r>
      </text>
    </comment>
    <comment ref="AF83" authorId="0" shapeId="0" xr:uid="{781DDDE0-5827-D14E-AD91-2B06AF3A15F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16000场地费
</t>
        </r>
      </text>
    </comment>
    <comment ref="BD83" authorId="0" shapeId="0" xr:uid="{DB841D95-DAF7-9D49-88F2-D31BB5F6B7D5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金华五星人民广场店---家用电10000元</t>
        </r>
      </text>
    </comment>
    <comment ref="BO83" authorId="0" shapeId="0" xr:uid="{B47561FD-1ADC-6342-848B-3339126F46D2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金华五星人民广场店 10000+金华五星八一南街店6000
金华五星人民广场店---家用电10000元</t>
        </r>
      </text>
    </comment>
    <comment ref="AE85" authorId="0" shapeId="0" xr:uid="{22A6BE65-0822-5040-A9F2-456EFAED842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37953元工厂补贴</t>
        </r>
      </text>
    </comment>
    <comment ref="C87" authorId="0" shapeId="0" xr:uid="{A0B8BCE1-7C4C-464A-8105-E246CA9E2709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23.5有兰溪专卖店 直营转加盟</t>
        </r>
      </text>
    </comment>
    <comment ref="AE87" authorId="0" shapeId="0" xr:uid="{456A919B-5DAD-DC4E-BDBC-3604E6DE5C78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29947工厂补贴</t>
        </r>
      </text>
    </comment>
    <comment ref="K88" authorId="0" shapeId="0" xr:uid="{B96BC5FB-30F4-5D41-825D-0E97814CD54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26880元属于汇鑫划走</t>
        </r>
      </text>
    </comment>
    <comment ref="T88" authorId="0" shapeId="0" xr:uid="{FE7EBBD8-9F78-CA4A-87F1-8B91376A7CEE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15078元在义乌荣昌 转成龙腾</t>
        </r>
      </text>
    </comment>
    <comment ref="C89" authorId="0" shapeId="0" xr:uid="{0B3DA223-A829-B542-B932-EE828B215EC9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兰溪市盈顺贸易商行</t>
        </r>
      </text>
    </comment>
    <comment ref="C93" authorId="0" shapeId="0" xr:uid="{5F3A355C-661B-7149-81ED-405CA3F02ACC}">
      <text>
        <r>
          <rPr>
            <sz val="9"/>
            <rFont val="宋体"/>
            <family val="3"/>
            <charset val="134"/>
          </rPr>
          <t>义乌丹溪路专卖店</t>
        </r>
      </text>
    </comment>
    <comment ref="AE114" authorId="0" shapeId="0" xr:uid="{24E87629-61CE-B04E-A6A9-E1BEBEACB90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39300元场地费</t>
        </r>
      </text>
    </comment>
    <comment ref="AF114" authorId="0" shapeId="0" xr:uid="{E55710FD-E60C-F346-B2B5-C90D0A64E4C5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场地费</t>
        </r>
      </text>
    </comment>
    <comment ref="C115" authorId="0" shapeId="0" xr:uid="{A18AFE0D-F906-8D4F-A059-EB43F562413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海宁程信电器有限公司</t>
        </r>
      </text>
    </comment>
    <comment ref="BL115" authorId="0" shapeId="0" xr:uid="{61D20427-85CD-4F49-B889-F9C8B28C980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60304场地费</t>
        </r>
      </text>
    </comment>
    <comment ref="AE116" authorId="0" shapeId="0" xr:uid="{3D78E0BD-7D6D-1B48-862E-30791B1562C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22700元场地费</t>
        </r>
      </text>
    </comment>
    <comment ref="C117" authorId="1" shapeId="0" xr:uid="{F835DB57-3354-7040-A7D3-268F2167214C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原单位是海宁市五金交电化工有限公司</t>
        </r>
      </text>
    </comment>
    <comment ref="BO117" authorId="0" shapeId="0" xr:uid="{1E1D56F4-A2BB-8D4C-84B0-7972D28D4639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海宁五交化海昌路店20000</t>
        </r>
      </text>
    </comment>
    <comment ref="C118" authorId="0" shapeId="0" xr:uid="{17DF1A15-E078-6C4A-ABF9-BEBD75CFD23E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嘉兴汇越商贸有限公司</t>
        </r>
      </text>
    </comment>
    <comment ref="C123" authorId="0" shapeId="0" xr:uid="{DE758D20-2C6C-C94A-9FD2-4A9D3BFBCF8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嘉兴嘉善体育路专卖店直营店</t>
        </r>
      </text>
    </comment>
    <comment ref="AK128" authorId="0" shapeId="0" xr:uid="{47A39788-B869-AF4C-A58E-85C6A994DD1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3798.1 合斯满</t>
        </r>
      </text>
    </comment>
    <comment ref="AW128" authorId="0" shapeId="0" xr:uid="{FC0C4D6B-72B1-DB4A-A78D-FF5BADD412C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杭州金蝶零售1.5万 众凌</t>
        </r>
      </text>
    </comment>
    <comment ref="K136" authorId="0" shapeId="0" xr:uid="{D5F86246-0AB4-7D43-B7A7-85705023A4C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20000嘉兴浙北江南永乐大厦店
</t>
        </r>
      </text>
    </comment>
    <comment ref="BO136" authorId="0" shapeId="0" xr:uid="{AAD9F2D0-9C35-D446-99CB-ABD9C7A369BA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嘉兴浙北江南永乐大厦店</t>
        </r>
      </text>
    </comment>
    <comment ref="G153" authorId="0" shapeId="0" xr:uid="{A63F1603-EB74-364B-A0BC-2A5E7229D935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吴月芳
</t>
        </r>
      </text>
    </comment>
    <comment ref="G155" authorId="0" shapeId="0" xr:uid="{100DF9B7-8161-2345-A3C6-9466921F81E5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吴月芳
</t>
        </r>
      </text>
    </comment>
    <comment ref="D177" authorId="0" shapeId="0" xr:uid="{7BB0CEA8-4B4E-F84B-9ACC-26E0EF83B432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零售云</t>
        </r>
      </text>
    </comment>
    <comment ref="D179" authorId="0" shapeId="0" xr:uid="{92E0FBBD-DBC9-B443-99C8-A894EDC43D9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零售云
</t>
        </r>
      </text>
    </comment>
    <comment ref="F180" authorId="0" shapeId="0" xr:uid="{D69912B4-9FC8-FD46-B313-056E0D484F9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通元镇</t>
        </r>
      </text>
    </comment>
    <comment ref="G180" authorId="0" shapeId="0" xr:uid="{6177BD3C-CF4A-E141-8D5A-4EAA9A992678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通元镇</t>
        </r>
      </text>
    </comment>
    <comment ref="D183" authorId="0" shapeId="0" xr:uid="{09691842-B4BF-334A-83A1-B0F7A9F04B1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零售云
</t>
        </r>
      </text>
    </comment>
    <comment ref="D185" authorId="0" shapeId="0" xr:uid="{DBB088C4-1F91-E24C-85DF-7F83A5EB4D4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零售云</t>
        </r>
      </text>
    </comment>
    <comment ref="AL200" authorId="0" shapeId="0" xr:uid="{F28ACF98-159B-4048-AF69-AD2C82487562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开业联合促销---SS167347台州临海耀达靖江中路店---家用电</t>
        </r>
      </text>
    </comment>
    <comment ref="BO200" authorId="0" shapeId="0" xr:uid="{9E711ED8-EDF3-7B42-B35C-804045AC35A5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台州临海耀达靖江中路店
7台州临海耀达靖江中路店---家用电 2万</t>
        </r>
      </text>
    </comment>
    <comment ref="C203" authorId="0" shapeId="0" xr:uid="{EC229344-6482-0B40-824F-AB2C8020413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黄岩百货有限公司</t>
        </r>
      </text>
    </comment>
    <comment ref="AL205" authorId="0" shapeId="0" xr:uid="{F1E93BB6-4A8F-914D-84E3-FC0B83984BC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	开业联合促销---S115005椒江国商广场---家用电</t>
        </r>
      </text>
    </comment>
    <comment ref="AR206" authorId="0" shapeId="0" xr:uid="{74078872-9DED-0742-90BA-29A38BFD2155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13421东海国补</t>
        </r>
      </text>
    </comment>
    <comment ref="AF208" authorId="0" shapeId="0" xr:uid="{7778374B-EE7C-B747-8AB3-2F93B5990D4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34862房补人补</t>
        </r>
      </text>
    </comment>
    <comment ref="T210" authorId="0" shapeId="0" xr:uid="{88337801-1821-3045-B7ED-A1CF82D5867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13980.32合斯满 代结算</t>
        </r>
      </text>
    </comment>
    <comment ref="C211" authorId="0" shapeId="0" xr:uid="{A6FA88C4-A0D2-CE45-994F-8A2CDDA6A42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仙居品悦电器有限公司</t>
        </r>
      </text>
    </comment>
    <comment ref="AE211" authorId="0" shapeId="0" xr:uid="{55C2D4BC-A5DA-D643-9AC4-8B1BB27B828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仙居大周 45659</t>
        </r>
      </text>
    </comment>
    <comment ref="AF211" authorId="0" shapeId="0" xr:uid="{6364A10A-7564-E748-89E5-30FAE563DB52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33866房补人补</t>
        </r>
      </text>
    </comment>
    <comment ref="AF215" authorId="0" shapeId="0" xr:uid="{A52B09B3-5E7B-9D4D-9B36-D553B4D56A44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10000场地费</t>
        </r>
      </text>
    </comment>
    <comment ref="BJ215" authorId="0" shapeId="0" xr:uid="{60BAC132-BE7A-214C-953E-D4673F589E8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1万场地费</t>
        </r>
      </text>
    </comment>
    <comment ref="AE216" authorId="0" shapeId="0" xr:uid="{70741F7D-B234-034D-9E84-26B08DBE0BE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48949元天台汇泉</t>
        </r>
      </text>
    </comment>
    <comment ref="C217" authorId="0" shapeId="0" xr:uid="{2A0BA12F-8144-F74E-A3E5-A3B3D90DF5B4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台州市圆丰暖通设备有限公司</t>
        </r>
      </text>
    </comment>
    <comment ref="AE217" authorId="0" shapeId="0" xr:uid="{4B8D9DB3-667B-4943-8527-B53970EAA9DA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锦屏场地费34635</t>
        </r>
      </text>
    </comment>
    <comment ref="AF217" authorId="0" shapeId="0" xr:uid="{00A44F4C-5CA6-3C45-929B-A2CFEA960F84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26151房补</t>
        </r>
      </text>
    </comment>
    <comment ref="AR217" authorId="0" shapeId="0" xr:uid="{67D87E77-D4FF-9746-918E-2320DF95AAC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以旧换新</t>
        </r>
      </text>
    </comment>
    <comment ref="BN217" authorId="0" shapeId="0" xr:uid="{AC928154-20B8-844D-A184-FCECF0ED7B4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锦屏场地费</t>
        </r>
      </text>
    </comment>
    <comment ref="AE220" authorId="0" shapeId="0" xr:uid="{BF942E73-16AC-F141-AD2E-CDA59D4CA00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路桥月星场地费11238</t>
        </r>
      </text>
    </comment>
    <comment ref="AF220" authorId="0" shapeId="0" xr:uid="{BE19A9C0-706E-9C40-A9AB-A011AC5B5F09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33725房补人补</t>
        </r>
      </text>
    </comment>
    <comment ref="T226" authorId="0" shapeId="0" xr:uid="{A5E9BC75-3037-784B-AA51-79A260AE31A2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87500元工程</t>
        </r>
      </text>
    </comment>
    <comment ref="C237" authorId="0" shapeId="0" xr:uid="{09114891-A027-444D-813B-D101D00C0BF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诸暨雄风电器有限公司</t>
        </r>
      </text>
    </comment>
    <comment ref="C245" authorId="0" shapeId="0" xr:uid="{47C47271-7402-4E4E-890C-07280123FA4A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绍兴大通购物中心有限公司</t>
        </r>
      </text>
    </comment>
    <comment ref="C246" authorId="0" shapeId="0" xr:uid="{1787B9FD-3D1F-1842-A359-5876D9146E0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南京合斯满网络科技有限公司</t>
        </r>
      </text>
    </comment>
    <comment ref="BJ246" authorId="0" shapeId="0" xr:uid="{899957C6-AE58-CC4F-998B-2979AAC19844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10938 合斯满</t>
        </r>
      </text>
    </comment>
    <comment ref="AQ248" authorId="0" shapeId="0" xr:uid="{1D070B74-470D-8A45-8CFB-FA719DFA05B5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139715 场地费</t>
        </r>
      </text>
    </comment>
    <comment ref="AW249" authorId="0" shapeId="0" xr:uid="{85DC7969-A8ED-9D47-B79C-AB9369E3EE34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1598杭州金蝶  278320 借款 先不算  1113280工程</t>
        </r>
      </text>
    </comment>
    <comment ref="BJ249" authorId="0" shapeId="0" xr:uid="{47B8B48B-388B-DD4F-9549-69D6462C84D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剔除工程1065000元</t>
        </r>
      </text>
    </comment>
    <comment ref="AQ250" authorId="0" shapeId="0" xr:uid="{C2F0840F-3D28-F846-B9F9-CE1D430C1AC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46222场地费</t>
        </r>
      </text>
    </comment>
    <comment ref="C258" authorId="0" shapeId="0" xr:uid="{EC73323C-A1A4-D64A-8E68-D0AC27922DA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绍兴市上虞区东关供销合作社购物中心</t>
        </r>
      </text>
    </comment>
    <comment ref="AQ274" authorId="0" shapeId="0" xr:uid="{87562EED-1BCC-E14E-BD39-A91F8BADE209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27642 场地费</t>
        </r>
      </text>
    </comment>
    <comment ref="AQ275" authorId="0" shapeId="0" xr:uid="{5424D0A0-A026-2D47-B823-9F605FC752A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9051 场地费</t>
        </r>
      </text>
    </comment>
    <comment ref="I322" authorId="0" shapeId="0" xr:uid="{A10F3036-D926-6641-9EED-E1FF66E64A2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王娜</t>
        </r>
      </text>
    </comment>
    <comment ref="I324" authorId="0" shapeId="0" xr:uid="{EA6329D9-9890-9547-BD7B-479AE9426DC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徐丽映</t>
        </r>
      </text>
    </comment>
    <comment ref="C326" authorId="0" shapeId="0" xr:uid="{1043B32D-E8C8-5B48-B17A-C54E86D267DA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温州龙港站港路专卖店</t>
        </r>
      </text>
    </comment>
    <comment ref="I366" authorId="0" shapeId="0" xr:uid="{0A473A9A-E3A1-464F-B7A4-DF56930974B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罗玉丽</t>
        </r>
      </text>
    </comment>
    <comment ref="C368" authorId="0" shapeId="0" xr:uid="{5C8F9DC2-7261-BA42-8FD4-DA7D7B78B118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  24.11月转成加盟商</t>
        </r>
      </text>
    </comment>
    <comment ref="I376" authorId="0" shapeId="0" xr:uid="{A02C651E-855F-9647-9F2B-CF9AD3D7E45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王苗苗</t>
        </r>
      </text>
    </comment>
  </commentList>
</comments>
</file>

<file path=xl/sharedStrings.xml><?xml version="1.0" encoding="utf-8"?>
<sst xmlns="http://schemas.openxmlformats.org/spreadsheetml/2006/main" count="7135" uniqueCount="585">
  <si>
    <t>公司</t>
  </si>
  <si>
    <t>地区</t>
  </si>
  <si>
    <t>25年任务</t>
  </si>
  <si>
    <t>1月</t>
  </si>
  <si>
    <t>同比</t>
  </si>
  <si>
    <t>2月</t>
  </si>
  <si>
    <t>3月</t>
  </si>
  <si>
    <t>1-3月</t>
  </si>
  <si>
    <t>4月</t>
  </si>
  <si>
    <t>1-4月</t>
  </si>
  <si>
    <t>5月</t>
  </si>
  <si>
    <t>1-5月</t>
  </si>
  <si>
    <t>6月</t>
  </si>
  <si>
    <t>1-6月</t>
  </si>
  <si>
    <t>7月</t>
  </si>
  <si>
    <t>1-7月</t>
  </si>
  <si>
    <t>8月</t>
  </si>
  <si>
    <t>1-8月</t>
  </si>
  <si>
    <t>9月</t>
  </si>
  <si>
    <t>1-9月</t>
  </si>
  <si>
    <t>完成率</t>
  </si>
  <si>
    <t>2024年</t>
  </si>
  <si>
    <t>2025年</t>
  </si>
  <si>
    <t>中冠</t>
  </si>
  <si>
    <t>杭州</t>
  </si>
  <si>
    <t>自营以旧换新</t>
  </si>
  <si>
    <t>金衢</t>
  </si>
  <si>
    <t>湖州</t>
  </si>
  <si>
    <t>小计2</t>
  </si>
  <si>
    <t>嘉兴</t>
  </si>
  <si>
    <t>台州</t>
  </si>
  <si>
    <t>合计</t>
  </si>
  <si>
    <t>晨涛</t>
  </si>
  <si>
    <t>绍兴</t>
  </si>
  <si>
    <t>吉远</t>
  </si>
  <si>
    <t>温丽</t>
  </si>
  <si>
    <t>汇总</t>
  </si>
  <si>
    <t>电商</t>
  </si>
  <si>
    <t>合同任务</t>
  </si>
  <si>
    <t>1-2月</t>
  </si>
  <si>
    <t>10月</t>
  </si>
  <si>
    <t>11月</t>
  </si>
  <si>
    <t>12月</t>
  </si>
  <si>
    <t>全年</t>
  </si>
  <si>
    <t>大地区</t>
  </si>
  <si>
    <t>序号</t>
  </si>
  <si>
    <t>门店</t>
  </si>
  <si>
    <t>渠道</t>
  </si>
  <si>
    <t>渠道细分</t>
  </si>
  <si>
    <t>大区</t>
  </si>
  <si>
    <t>市/区/县</t>
  </si>
  <si>
    <t>业务员</t>
  </si>
  <si>
    <t>24年场地费</t>
  </si>
  <si>
    <t>25年场地费</t>
  </si>
  <si>
    <t>25年特殊</t>
  </si>
  <si>
    <t>汇德隆</t>
  </si>
  <si>
    <t>TOP渠道</t>
  </si>
  <si>
    <t>萧山区</t>
  </si>
  <si>
    <t>董培培</t>
  </si>
  <si>
    <t>萧山汇德隆净水</t>
  </si>
  <si>
    <t>杭州兴达京昀电器有限公司</t>
  </si>
  <si>
    <t>经销</t>
  </si>
  <si>
    <t>临平区</t>
  </si>
  <si>
    <t>吴海林</t>
  </si>
  <si>
    <t>杭州临安一栋电器有限公司</t>
  </si>
  <si>
    <t>加盟</t>
  </si>
  <si>
    <t>临安区</t>
  </si>
  <si>
    <t>杭州宏信机电有限公司</t>
  </si>
  <si>
    <t>富阳区</t>
  </si>
  <si>
    <t>桐庐佳尼特水处理设备有限公司</t>
  </si>
  <si>
    <t>桐庐县</t>
  </si>
  <si>
    <t>杭州佳威信息科技有限公司</t>
  </si>
  <si>
    <t>建德市</t>
  </si>
  <si>
    <t>杭州京品满屋家电有限公司</t>
  </si>
  <si>
    <t>淳安县</t>
  </si>
  <si>
    <t>杭州司亿博环境设备有限公司</t>
  </si>
  <si>
    <t>杭州市区</t>
  </si>
  <si>
    <t>钱塘区</t>
  </si>
  <si>
    <t>杭州五星</t>
  </si>
  <si>
    <t>五星</t>
  </si>
  <si>
    <t>市区</t>
  </si>
  <si>
    <t>李燕霞</t>
  </si>
  <si>
    <t>6+1.7</t>
  </si>
  <si>
    <t>杭州临平江南家居专卖店</t>
  </si>
  <si>
    <t>直营</t>
  </si>
  <si>
    <t>专卖店</t>
  </si>
  <si>
    <t>杭州华泓电器有限公司</t>
  </si>
  <si>
    <t>杭州金蝶零售</t>
  </si>
  <si>
    <t>零售</t>
  </si>
  <si>
    <t>杭州零售</t>
  </si>
  <si>
    <t>杭州金蝶零售（李燕霞）</t>
  </si>
  <si>
    <t>萧山世纪龙建材专卖店</t>
  </si>
  <si>
    <t>（新）古墩新时代专卖店</t>
  </si>
  <si>
    <t>西湖风景名胜区</t>
  </si>
  <si>
    <t>（新）宏丰专卖店</t>
  </si>
  <si>
    <t>杭州月星家居超级旗舰店</t>
  </si>
  <si>
    <t>拱墅区</t>
  </si>
  <si>
    <t>杭州恒大建材超级旗舰店</t>
  </si>
  <si>
    <t>二轻爱威专卖店</t>
  </si>
  <si>
    <t>（新）滨江第六空间专卖店</t>
  </si>
  <si>
    <t>滨江区</t>
  </si>
  <si>
    <t>杭州日新人工环境工程有限公司</t>
  </si>
  <si>
    <t>暖通</t>
  </si>
  <si>
    <t>陈雪君</t>
  </si>
  <si>
    <t>杭州汇意商贸有限公司</t>
  </si>
  <si>
    <t>浙江初韵供应链管理有限公司</t>
  </si>
  <si>
    <t>上城区</t>
  </si>
  <si>
    <t>杭州红星美凯龙一号店</t>
  </si>
  <si>
    <t>杭州德业电器有限公司</t>
  </si>
  <si>
    <t>杭州市余杭区临平街道泽晨材料商行</t>
  </si>
  <si>
    <t>浙江顶戴环境设备有限公司</t>
  </si>
  <si>
    <t>浙江元天电子商务有限公司</t>
  </si>
  <si>
    <t>黄颖</t>
  </si>
  <si>
    <t>杭州澎湃电器有限公司</t>
  </si>
  <si>
    <t>家装</t>
  </si>
  <si>
    <t>杭州中博智能电器有限公司</t>
  </si>
  <si>
    <t>浙江都都装饰有限公司</t>
  </si>
  <si>
    <t>桐庐县城南街道正亿家电经营部</t>
  </si>
  <si>
    <t>杭州中瑞工程技术有限公司</t>
  </si>
  <si>
    <t>苏宁易购集团股份有限公司苏宁采购中心</t>
  </si>
  <si>
    <t>杭州华东家电市场铁人电器商行</t>
  </si>
  <si>
    <t>滨江六空8090店</t>
  </si>
  <si>
    <t>萧山第六空间专卖店</t>
  </si>
  <si>
    <t>政采云</t>
  </si>
  <si>
    <t>杭州装家百科电器有限公司</t>
  </si>
  <si>
    <t>西湖区</t>
  </si>
  <si>
    <t>贝壳美家供应链管理（浙江）有限责任公司</t>
  </si>
  <si>
    <t>杭州平野实业有限公司</t>
  </si>
  <si>
    <t>杭州速简优装饰工程有限公司</t>
  </si>
  <si>
    <t>杭州恒大建材超级旗舰店（浙江云顶贸易有限公司）</t>
  </si>
  <si>
    <t>杭州允选科技有限公司</t>
  </si>
  <si>
    <t>北京天坛装饰工程有限责任公司杭州分公司</t>
  </si>
  <si>
    <t>系统门店</t>
  </si>
  <si>
    <t>1-12月</t>
  </si>
  <si>
    <t>长兴百诚天龙电器有限公司</t>
  </si>
  <si>
    <t>长兴县</t>
  </si>
  <si>
    <t>张正芳</t>
  </si>
  <si>
    <t>南浔力恒电器商行</t>
  </si>
  <si>
    <t>南浔区</t>
  </si>
  <si>
    <t>陈中元</t>
  </si>
  <si>
    <t>湖州浙北大厦家电有限公司</t>
  </si>
  <si>
    <t>湖州市区</t>
  </si>
  <si>
    <t>翁昕</t>
  </si>
  <si>
    <t>德清县武康镇佳通制冷设备商行</t>
  </si>
  <si>
    <t>德清县</t>
  </si>
  <si>
    <t>湖州长兴之窗专卖店</t>
  </si>
  <si>
    <t>湖州金蝶零售</t>
  </si>
  <si>
    <t>吴兴新丰豪厨卫热水器商店</t>
  </si>
  <si>
    <t>吴兴区</t>
  </si>
  <si>
    <t>湖州晓宇冷暖设备工程有限公司</t>
  </si>
  <si>
    <t>长兴银海电器有限公司</t>
  </si>
  <si>
    <t>长兴小浙北家电（长兴县浙北家用电器有限公司）</t>
  </si>
  <si>
    <t>湖州东邦商贸有限公司</t>
  </si>
  <si>
    <t>安吉方润家电有限公司</t>
  </si>
  <si>
    <t>安吉县</t>
  </si>
  <si>
    <t>湖州魁联电器有限公司</t>
  </si>
  <si>
    <t>湖州菱通冷暖设备有限公司</t>
  </si>
  <si>
    <t>长兴纵跃机电有限公司</t>
  </si>
  <si>
    <t>湖州浙北网格家电有限公司</t>
  </si>
  <si>
    <t>湖州乐曜贸易有限公司</t>
  </si>
  <si>
    <t>湖州浔海电器销售有限公司</t>
  </si>
  <si>
    <t>系统名称</t>
  </si>
  <si>
    <t>场地费24年</t>
  </si>
  <si>
    <t>场地费25年</t>
  </si>
  <si>
    <t>金华</t>
  </si>
  <si>
    <t>义乌市荣昌家电维修部</t>
  </si>
  <si>
    <t>义乌市</t>
  </si>
  <si>
    <t>林青云</t>
  </si>
  <si>
    <t>衢州</t>
  </si>
  <si>
    <t>浙江普农家电有限公司</t>
  </si>
  <si>
    <t>衢州市区</t>
  </si>
  <si>
    <t>衢州市</t>
  </si>
  <si>
    <t>江雯</t>
  </si>
  <si>
    <t>金华五星</t>
  </si>
  <si>
    <t>金华市区</t>
  </si>
  <si>
    <t>潘杏</t>
  </si>
  <si>
    <t>（新）金华八一南街专卖店</t>
  </si>
  <si>
    <t>婺城区</t>
  </si>
  <si>
    <t>姜卫</t>
  </si>
  <si>
    <t>衢州市柯城汇鑫家用电器商行</t>
  </si>
  <si>
    <t>柯城区</t>
  </si>
  <si>
    <t>东阳市国美电器有限公司</t>
  </si>
  <si>
    <t>东阳市</t>
  </si>
  <si>
    <t>兰溪市福祥家电经营部</t>
  </si>
  <si>
    <t>兰溪市</t>
  </si>
  <si>
    <t>金华龙腾建材市场专卖店</t>
  </si>
  <si>
    <t>兰溪市小严家电经营部</t>
  </si>
  <si>
    <t>金华金蝶零售</t>
  </si>
  <si>
    <t>磐安县洪昌家电商场</t>
  </si>
  <si>
    <t>磐安县</t>
  </si>
  <si>
    <t>江山硕邦家电有限公司</t>
  </si>
  <si>
    <t>江山市</t>
  </si>
  <si>
    <t>义乌艾欧机电设备有限公司</t>
  </si>
  <si>
    <t>东阳市大中商贸有限公司</t>
  </si>
  <si>
    <t>金华市万普电器销售有限公司</t>
  </si>
  <si>
    <t>金东区</t>
  </si>
  <si>
    <t>龙游博美电器有限公司</t>
  </si>
  <si>
    <t>龙游县</t>
  </si>
  <si>
    <t>衢州众冠电器有限公司</t>
  </si>
  <si>
    <t>常山县</t>
  </si>
  <si>
    <t>金华市婺美电器有限公司</t>
  </si>
  <si>
    <t>兰溪市升美电器商行</t>
  </si>
  <si>
    <t>衢州万恒电器有限公司</t>
  </si>
  <si>
    <t>金华市汇诚电器有限公司</t>
  </si>
  <si>
    <t>兰溪市泽胜电器有限公司</t>
  </si>
  <si>
    <t>义乌国创空调设备有限公司</t>
  </si>
  <si>
    <t>永康立格暖通设备有限公司</t>
  </si>
  <si>
    <t>金华一启家电有限公司</t>
  </si>
  <si>
    <t>衢州柯城明怡科技有限公司</t>
  </si>
  <si>
    <t>永康市荣浪家用电器有限公司</t>
  </si>
  <si>
    <t>区域</t>
  </si>
  <si>
    <t>合同完成率</t>
  </si>
  <si>
    <t>海宁市华联大厦有限公司</t>
  </si>
  <si>
    <t>海宁市</t>
  </si>
  <si>
    <t>王军杰</t>
  </si>
  <si>
    <t>海宁市硖石程信节能电器商店</t>
  </si>
  <si>
    <t>嘉兴市戴梦得购物中心有限公司</t>
  </si>
  <si>
    <t>嘉兴市区</t>
  </si>
  <si>
    <t>南湖区</t>
  </si>
  <si>
    <t>吴月芳</t>
  </si>
  <si>
    <t>海宁市零壹家电有限公司</t>
  </si>
  <si>
    <t>平湖市汇达电器商行</t>
  </si>
  <si>
    <t>平湖市</t>
  </si>
  <si>
    <t>胡昊天</t>
  </si>
  <si>
    <t>嘉兴纺工路专卖店</t>
  </si>
  <si>
    <t>桐乡红星美凯龙直营店</t>
  </si>
  <si>
    <t>桐乡市</t>
  </si>
  <si>
    <t>嘉兴建陶市场直营专卖店</t>
  </si>
  <si>
    <t>桐乡凤鸣专卖店</t>
  </si>
  <si>
    <t>嘉善华东建材专卖店</t>
  </si>
  <si>
    <t>嘉善县</t>
  </si>
  <si>
    <t>嘉兴百亿电器有限公司</t>
  </si>
  <si>
    <t>海盐县</t>
  </si>
  <si>
    <t>桐乡市博诚电器有限公司</t>
  </si>
  <si>
    <t>嘉兴市秀洲区王店金桥家电商店</t>
  </si>
  <si>
    <t>秀洲区</t>
  </si>
  <si>
    <t>嘉兴市秀洲区新塍东庆家用电器商店</t>
  </si>
  <si>
    <t>嘉兴金蝶零售</t>
  </si>
  <si>
    <t>嘉善县西塘镇物美家电商行</t>
  </si>
  <si>
    <t>桐乡市三合电器有限公司</t>
  </si>
  <si>
    <t>嘉兴市龙辰暖通工程有限公司</t>
  </si>
  <si>
    <t>嘉兴市良盖电器有限公司</t>
  </si>
  <si>
    <t>海盐县峰达建材店</t>
  </si>
  <si>
    <t>海宁市马桥日兴电器商行</t>
  </si>
  <si>
    <t>桐乡市龙翔大晴天家电经营部</t>
  </si>
  <si>
    <t>湖州浙北大厦家电有限公司（嘉兴）</t>
  </si>
  <si>
    <t>桐乡市崇福路驰电器商行</t>
  </si>
  <si>
    <t>海宁巨工暖通设备有限公司</t>
  </si>
  <si>
    <t>海宁市许村镇小吴家电经营部</t>
  </si>
  <si>
    <t>平湖市汇升暖通建材商行</t>
  </si>
  <si>
    <t>上海大暖机电工程有限公司嘉兴分公司</t>
  </si>
  <si>
    <t>嘉兴爱建暖通工程有限公司</t>
  </si>
  <si>
    <t>浙江铭品装饰工程有限公司嘉兴分公司</t>
  </si>
  <si>
    <t>嘉兴赛威机电设备有限公司</t>
  </si>
  <si>
    <t>嘉兴市汇银电器有限公司</t>
  </si>
  <si>
    <t>圣都家居装饰有限公司海宁分公司</t>
  </si>
  <si>
    <t>梧桐鼎立家用电器商行</t>
  </si>
  <si>
    <t>嘉兴市凯昇暖通工程有限公司</t>
  </si>
  <si>
    <t>桐乡市百宏家电有限公司</t>
  </si>
  <si>
    <t>嘉兴市勇信暖通设备有限公司</t>
  </si>
  <si>
    <t>上海集美楼宇设备有限公司嘉兴分公司</t>
  </si>
  <si>
    <t>嘉兴嘉越电器有限公司</t>
  </si>
  <si>
    <t>嘉兴市尚源商贸有限公司</t>
  </si>
  <si>
    <t>经济技术开发区</t>
  </si>
  <si>
    <t>杭州中博智能电器有限公司（嘉兴）</t>
  </si>
  <si>
    <t>浙江久慧智能工程有限公司</t>
  </si>
  <si>
    <t>海宁市百信家电有限公司</t>
  </si>
  <si>
    <t>嘉兴市秀洲区新塍张建新五金管道经营部</t>
  </si>
  <si>
    <t>桐乡姜山机电工程有限公司</t>
  </si>
  <si>
    <t>海盐县通元军峰建材店</t>
  </si>
  <si>
    <t>海宁市许村镇正鑫电器商行</t>
  </si>
  <si>
    <t>海宁勤锋家电有限公司</t>
  </si>
  <si>
    <t>嘉兴市明锐整装有限公司</t>
  </si>
  <si>
    <t>嘉兴信良装饰有限公司</t>
  </si>
  <si>
    <t>海宁市长安镇联联通讯商店</t>
  </si>
  <si>
    <t>海宁市铭亮贸易有限公司</t>
  </si>
  <si>
    <t>嘉兴爱多暖通科技有限公司</t>
  </si>
  <si>
    <t>海盐县百步镇羽恬电器店</t>
  </si>
  <si>
    <t>海盐县洪波商贸有限公司</t>
  </si>
  <si>
    <t>海宁市长安镇双川电器商行</t>
  </si>
  <si>
    <t>旭阳家电（桐乡）有限公司</t>
  </si>
  <si>
    <t>嘉善永华电器有限公司</t>
  </si>
  <si>
    <t>嘉兴市和家电器有限公司</t>
  </si>
  <si>
    <t>嘉兴市吉耀工程管理有限公司</t>
  </si>
  <si>
    <t>嘉兴市乍浦镇美诚家电有限公司</t>
  </si>
  <si>
    <t>桐乡强鑫电器有限公司</t>
  </si>
  <si>
    <t>嘉兴浙里通电子科技有限公司</t>
  </si>
  <si>
    <t>下沉渠道</t>
  </si>
  <si>
    <t>嘉兴市六通电器有限公司</t>
  </si>
  <si>
    <t>嘉兴市易家商贸有限公司</t>
  </si>
  <si>
    <t>嘉兴金亚装饰工程有限公司</t>
  </si>
  <si>
    <t>桐乡市旭晨家用电器有限公司是</t>
  </si>
  <si>
    <t>嘉兴五星</t>
  </si>
  <si>
    <t>嘉兴星米商贸有限公司</t>
  </si>
  <si>
    <t>下沉渠道-天猫</t>
  </si>
  <si>
    <t>桐乡市建富电器有限公司</t>
  </si>
  <si>
    <t>桐乡市湘溪科技有限公司</t>
  </si>
  <si>
    <t>海盐百商家电城有限公司</t>
  </si>
  <si>
    <t>海盐大桥新区精诚家电商店</t>
  </si>
  <si>
    <t>海盐县星汇家电有公司</t>
  </si>
  <si>
    <t>嘉兴匠品名媛智能家居有限公司</t>
  </si>
  <si>
    <t>台州市路桥华林家电有限公司</t>
  </si>
  <si>
    <t>台州市区</t>
  </si>
  <si>
    <t>路桥区</t>
  </si>
  <si>
    <t>潘琼瑶</t>
  </si>
  <si>
    <t>台州市富城电器有限公司</t>
  </si>
  <si>
    <t>耀达集团有限公司</t>
  </si>
  <si>
    <t>临海市</t>
  </si>
  <si>
    <t>何田</t>
  </si>
  <si>
    <t>台州市阳光购物广场有限公司</t>
  </si>
  <si>
    <t>仙居县三峰五交化有限公司</t>
  </si>
  <si>
    <t>仙居县</t>
  </si>
  <si>
    <t>台州黄岩百青电器有限公司</t>
  </si>
  <si>
    <t>黄岩区</t>
  </si>
  <si>
    <t>张斌</t>
  </si>
  <si>
    <t>临海市先锋贸易有限公司</t>
  </si>
  <si>
    <t>浙江国商实业股份有限公司</t>
  </si>
  <si>
    <t>椒江区</t>
  </si>
  <si>
    <t>东海大道专卖店</t>
  </si>
  <si>
    <t>台州洪家红星美凯龙专卖店</t>
  </si>
  <si>
    <t>天台及时雨贸易有限公司</t>
  </si>
  <si>
    <t>天台县</t>
  </si>
  <si>
    <t>台州朗全装饰工程有限公司</t>
  </si>
  <si>
    <t>台州金蝶零售</t>
  </si>
  <si>
    <t>仙居县小锌建材商行</t>
  </si>
  <si>
    <t>浙江丰阁暖通设备工程有限公司</t>
  </si>
  <si>
    <t>台州市展宏空调设备安装有限公司</t>
  </si>
  <si>
    <t>台州惠捷环境设备有限公司</t>
  </si>
  <si>
    <t>台州五星</t>
  </si>
  <si>
    <t>天台县轩懿暖通设备有限公司</t>
  </si>
  <si>
    <t>温岭市新启电器有限公司</t>
  </si>
  <si>
    <t>温岭市</t>
  </si>
  <si>
    <t>临海锦里机电设备工程有限公司</t>
  </si>
  <si>
    <t>临海市勇利电器有限公司</t>
  </si>
  <si>
    <t>台州市路桥景丰家电有限公司</t>
  </si>
  <si>
    <t>玉环家合家电商行</t>
  </si>
  <si>
    <t>玉环市</t>
  </si>
  <si>
    <t>玉环欣美电器销售有限公司</t>
  </si>
  <si>
    <t>台州品诺电器设备有限公司</t>
  </si>
  <si>
    <t>台州市林斌电器有限公司</t>
  </si>
  <si>
    <t>杭州亿桥工程勘察设计有限公司</t>
  </si>
  <si>
    <t>台州可慕环境有限公司</t>
  </si>
  <si>
    <t>三门县</t>
  </si>
  <si>
    <t>台州正方燃气物资有限公司</t>
  </si>
  <si>
    <t>杭州中博智能电器有限公司宁波分公司(</t>
  </si>
  <si>
    <t>台州市来创电器有限公司</t>
  </si>
  <si>
    <t>诸暨鹏程电器有限公司</t>
  </si>
  <si>
    <t>诸暨市</t>
  </si>
  <si>
    <t>朱海燕</t>
  </si>
  <si>
    <t>诸暨万风家电有限公司</t>
  </si>
  <si>
    <t>浙江上百贸易有限公司</t>
  </si>
  <si>
    <t>上虞区</t>
  </si>
  <si>
    <t>徐枫</t>
  </si>
  <si>
    <t>诸暨市雄城数码家电有限公司</t>
  </si>
  <si>
    <t>绍兴大通购物中心有限公司</t>
  </si>
  <si>
    <t>新昌县世纪百诚新苗家电有限公司</t>
  </si>
  <si>
    <t>新昌县</t>
  </si>
  <si>
    <t>绍兴市上虞迪氏电子商务有限公司</t>
  </si>
  <si>
    <t>绍兴五星</t>
  </si>
  <si>
    <t>绍兴市区</t>
  </si>
  <si>
    <t>竹国龙</t>
  </si>
  <si>
    <t>绍兴汇政电器销售有限公司</t>
  </si>
  <si>
    <t>绍兴大通商城股份有限公司</t>
  </si>
  <si>
    <t>绍兴正大建材城专卖店</t>
  </si>
  <si>
    <t>越城区</t>
  </si>
  <si>
    <t>绍兴市柯桥区钱清永达电器商店</t>
  </si>
  <si>
    <t>柯桥区</t>
  </si>
  <si>
    <t>诸暨市艾欧电器有限公司</t>
  </si>
  <si>
    <t>绍兴金蝶零售</t>
  </si>
  <si>
    <t>柯桥红星美凯龙专卖店</t>
  </si>
  <si>
    <t>绍兴徽舜贸易有限公司</t>
  </si>
  <si>
    <t>绍兴市柯桥区安昌琪美电器商店</t>
  </si>
  <si>
    <t>绍兴市柯桥区柯桥优良家电有限公司</t>
  </si>
  <si>
    <t>绍兴市柯桥区杨汛桥振兴家电商店</t>
  </si>
  <si>
    <t>绍兴市柯桥区众利家电有限公司</t>
  </si>
  <si>
    <t>绍兴市袍江华祥家电商店</t>
  </si>
  <si>
    <t>嵊州市</t>
  </si>
  <si>
    <t>绍兴市山水电器有限公司</t>
  </si>
  <si>
    <t>绍兴市上虞区东关街道贺记电器经营部</t>
  </si>
  <si>
    <t>绍兴市上虞区军富家电经营部</t>
  </si>
  <si>
    <t>绍兴市上虞润泽贸易有限公司</t>
  </si>
  <si>
    <t>绍兴海速贸易有限公司</t>
  </si>
  <si>
    <t>绍兴上虞元宸电器有限公司</t>
  </si>
  <si>
    <t>绍兴上虞易诚商贸有限公司</t>
  </si>
  <si>
    <t>绍兴市上虞区百官秀氏家电维修中心</t>
  </si>
  <si>
    <t>绍兴源源家电有限公司</t>
  </si>
  <si>
    <t>新昌县心镁家电有限公司</t>
  </si>
  <si>
    <t>绍兴市柯桥区齐贤韩吉电器商行</t>
  </si>
  <si>
    <t>嵊州市怡口家电商行</t>
  </si>
  <si>
    <t>绍兴市柯桥区兰亭建伟电器商行</t>
  </si>
  <si>
    <t>浙江晋安家电有限公司（嵊州今日）</t>
  </si>
  <si>
    <t>绍兴嵊州军伟家电有限公司</t>
  </si>
  <si>
    <t>嵊州市浙东空调电器工程有限公司</t>
  </si>
  <si>
    <t>嵊州市美都家电有限公司</t>
  </si>
  <si>
    <t>浙江绍兴市蓝斯智慧家居科技有限公司</t>
  </si>
  <si>
    <t>嵊州市章军家用电器经营部</t>
  </si>
  <si>
    <t>绍兴市上虞区章镇虞南家电商行</t>
  </si>
  <si>
    <t>绍兴市舒康电器有限公司</t>
  </si>
  <si>
    <t>浙江宏轩暖通工程有限公司</t>
  </si>
  <si>
    <t>绍兴市越城区晨飞电器商行</t>
  </si>
  <si>
    <t>绍兴市柯桥区老胡电器有限公司</t>
  </si>
  <si>
    <t>绍兴易诚达商贸有限公司</t>
  </si>
  <si>
    <t>绍兴市柯桥区杨汛桥波哥电器商店</t>
  </si>
  <si>
    <t>绍兴市天弘电器有限公司</t>
  </si>
  <si>
    <t>绍兴市柯桥区阿炜电器有限公司</t>
  </si>
  <si>
    <t>绍兴市滨海新城阿莲家电商行</t>
  </si>
  <si>
    <t>绍兴澜鑫家电有限公司</t>
  </si>
  <si>
    <t>嵊州市卓然家电有限公司</t>
  </si>
  <si>
    <t>绍兴艾欧中嘉环境设备有限公司</t>
  </si>
  <si>
    <t>绍兴鼎旺电器有限公司</t>
  </si>
  <si>
    <t>绍兴鼎优品电器有限公司</t>
  </si>
  <si>
    <t>绍兴柯桥聪芮家电有限公司</t>
  </si>
  <si>
    <t>绍兴卓旭电器有限公司</t>
  </si>
  <si>
    <t>诸暨市嘉德电器有限公司</t>
  </si>
  <si>
    <t>温州</t>
  </si>
  <si>
    <t>瑞安市李祥电器有限公司</t>
  </si>
  <si>
    <t>瑞安市</t>
  </si>
  <si>
    <t>李宾</t>
  </si>
  <si>
    <t>温州电星商贸有限公司</t>
  </si>
  <si>
    <t>乐清市声达家电有限公司</t>
  </si>
  <si>
    <t>乐清市</t>
  </si>
  <si>
    <t>滕炜昌</t>
  </si>
  <si>
    <t>浙江汇丰家电有限公司</t>
  </si>
  <si>
    <t>乐清市安力家电超市有限公司</t>
  </si>
  <si>
    <t>乐清市翁垟华特家电商行</t>
  </si>
  <si>
    <t>乐清柳市瑞华家电超市</t>
  </si>
  <si>
    <t>浙江文星经贸有限公司</t>
  </si>
  <si>
    <t>温州五星</t>
  </si>
  <si>
    <t>温州市区</t>
  </si>
  <si>
    <t>浙江宏美经贸有限公司</t>
  </si>
  <si>
    <t>永嘉县信立电器销售有限公司</t>
  </si>
  <si>
    <t>永嘉县</t>
  </si>
  <si>
    <t>温州新族商贸有限公司</t>
  </si>
  <si>
    <t>平阳浩和家电经营部</t>
  </si>
  <si>
    <t>平阳县</t>
  </si>
  <si>
    <t>章华泉</t>
  </si>
  <si>
    <t>温州永中京顺路专卖店</t>
  </si>
  <si>
    <t>龙湾区</t>
  </si>
  <si>
    <t>乐清旭阳路专卖店</t>
  </si>
  <si>
    <t>永嘉县桥头银河家电有限公司</t>
  </si>
  <si>
    <t>乐清市乐健家电销售中心</t>
  </si>
  <si>
    <t>温州瑞安陈虬路专卖店</t>
  </si>
  <si>
    <t>苍南县龙港镇德快家用电器经营部</t>
  </si>
  <si>
    <t>龙港市</t>
  </si>
  <si>
    <t>温州市瓯海郭溪尚如小家电店</t>
  </si>
  <si>
    <t>瓯海区</t>
  </si>
  <si>
    <t>温州乐清红星美凯龙专卖店</t>
  </si>
  <si>
    <t>温州市速修电子商务有限公司</t>
  </si>
  <si>
    <t>鹿城区</t>
  </si>
  <si>
    <t>温州红星国际家居专卖店</t>
  </si>
  <si>
    <t>温州金蝶零售</t>
  </si>
  <si>
    <t>邱耀辉</t>
  </si>
  <si>
    <t>温州龙港喜盈门加盟店</t>
  </si>
  <si>
    <t>丽水</t>
  </si>
  <si>
    <t>丽水市联诚家电有限公司</t>
  </si>
  <si>
    <t>丽水市区</t>
  </si>
  <si>
    <t>莲都区</t>
  </si>
  <si>
    <t>游健</t>
  </si>
  <si>
    <t>松华控股有限公司丽水分公司</t>
  </si>
  <si>
    <t>乐清零散客户</t>
  </si>
  <si>
    <t>丽水零散客户</t>
  </si>
  <si>
    <t>柳市专卖店</t>
  </si>
  <si>
    <t>龙港零散客户</t>
  </si>
  <si>
    <t>温州苍南灵溪居然之家专卖店</t>
  </si>
  <si>
    <t>苍南县</t>
  </si>
  <si>
    <t>温州金拱门电器有限公司</t>
  </si>
  <si>
    <t>温州瑞安零散客户</t>
  </si>
  <si>
    <t>温州市鹿城区文静家电商行</t>
  </si>
  <si>
    <t>永嘉瓯北双塔路店</t>
  </si>
  <si>
    <t>灵溪零散客户</t>
  </si>
  <si>
    <t>泰顺县齐日景水暖商行</t>
  </si>
  <si>
    <t>泰顺县</t>
  </si>
  <si>
    <t>浙江金蜜锋暖通工程设备有限公司</t>
  </si>
  <si>
    <t>青田县红静家电总汇有限公司</t>
  </si>
  <si>
    <t>青田县</t>
  </si>
  <si>
    <t>温州虎特家电销售有限公司</t>
  </si>
  <si>
    <t>苍南县龙港扬航家用电器经营部</t>
  </si>
  <si>
    <t>遂昌灵匠暖通商行</t>
  </si>
  <si>
    <t>遂昌县</t>
  </si>
  <si>
    <t>乐清市七里港新达家电销售中心</t>
  </si>
  <si>
    <t>龙泉市建全家电有限公司</t>
  </si>
  <si>
    <t>龙泉市</t>
  </si>
  <si>
    <t>乐清白象店</t>
  </si>
  <si>
    <t>浙江润昌节能科技有限公司</t>
  </si>
  <si>
    <t>沪川集团乐清家电有限公司</t>
  </si>
  <si>
    <t>温州市瓯海娄桥军发家电经营部</t>
  </si>
  <si>
    <t>景宁新鑫家电商行</t>
  </si>
  <si>
    <t>景宁畲族自治县</t>
  </si>
  <si>
    <t>丽水市莲都区意友电器经营部</t>
  </si>
  <si>
    <t>龙泉市凯哥机电设备经营部</t>
  </si>
  <si>
    <t>瑞安市烽烟家电商行</t>
  </si>
  <si>
    <t>松阳县双龙家用电器经营部</t>
  </si>
  <si>
    <t>松阳县</t>
  </si>
  <si>
    <t>温州腾享贸易有限公司</t>
  </si>
  <si>
    <t>温州周林楼宇设备有限公司</t>
  </si>
  <si>
    <t>丽水市松泰电器有限公司</t>
  </si>
  <si>
    <t>温州智信经贸有限公司</t>
  </si>
  <si>
    <t>温州百弘暖通工程设备有限公司</t>
  </si>
  <si>
    <t>永嘉县明财家电有限公司</t>
  </si>
  <si>
    <t>永嘉县音像家电公司</t>
  </si>
  <si>
    <t>苍南鑫睿电子商务商行</t>
  </si>
  <si>
    <t>乐清白象方太专卖店</t>
  </si>
  <si>
    <t>平阳居然之家专卖店</t>
  </si>
  <si>
    <t>乐清金茂广场店</t>
  </si>
  <si>
    <t>乐清市城东余进家电商行</t>
  </si>
  <si>
    <t>温州瑞安罗阳大道专卖店</t>
  </si>
  <si>
    <t>瑞安市瑞荣家电服务部</t>
  </si>
  <si>
    <t>龙泉市金嘟家电有限责任公司</t>
  </si>
  <si>
    <t>龙泉松秦家电有限公司</t>
  </si>
  <si>
    <t>瑞安市百好电器有限公司</t>
  </si>
  <si>
    <t>温州启城电器有限公司</t>
  </si>
  <si>
    <t>青田油竹庆丰家电店</t>
  </si>
  <si>
    <t>平阳鳌江居然之家专卖店</t>
  </si>
  <si>
    <t>温州余海家电贸易有限公司</t>
  </si>
  <si>
    <t>云和县金景电器有限公司</t>
  </si>
  <si>
    <t>云和县</t>
  </si>
  <si>
    <t>丽水市有谊电器销售有限公司</t>
  </si>
  <si>
    <t>遂昌中振商贸有限公司</t>
  </si>
  <si>
    <t>松阳县玮莱暖通有限公司</t>
  </si>
  <si>
    <t>温州瑞辉暖通设备工程有限公司</t>
  </si>
  <si>
    <t>去年</t>
  </si>
  <si>
    <t>自营以旧换新特别账户</t>
  </si>
  <si>
    <t xml:space="preserve"> 二轻专卖店以旧换新（中瑞）</t>
  </si>
  <si>
    <t>1-9月地区到区域回款及同比</t>
  </si>
  <si>
    <t>24年人口数</t>
  </si>
  <si>
    <t>25年</t>
  </si>
  <si>
    <t>环比</t>
  </si>
  <si>
    <t>Q3</t>
  </si>
  <si>
    <t>Q1</t>
  </si>
  <si>
    <t>Q2</t>
  </si>
  <si>
    <t>24年</t>
  </si>
  <si>
    <t>余杭区</t>
  </si>
  <si>
    <t>浦江县</t>
  </si>
  <si>
    <t>武义县</t>
  </si>
  <si>
    <t>永康市</t>
  </si>
  <si>
    <t>开化县</t>
  </si>
  <si>
    <t>文成县</t>
  </si>
  <si>
    <t>缙云县</t>
  </si>
  <si>
    <t>景宁县</t>
  </si>
  <si>
    <t>庆元县</t>
  </si>
  <si>
    <t>总计</t>
  </si>
  <si>
    <t>客户所属区域</t>
  </si>
  <si>
    <t>往来单位</t>
  </si>
  <si>
    <t>求和项:表头-应收金额</t>
  </si>
  <si>
    <t>史密斯官方商城</t>
  </si>
  <si>
    <t xml:space="preserve"> 二轻专卖店以旧换新</t>
  </si>
  <si>
    <t>萧山汇德隆家电超市</t>
  </si>
  <si>
    <t xml:space="preserve"> 二轻专卖店以旧换新（圣都）</t>
  </si>
  <si>
    <t>德清智跃电子科技有限公司</t>
  </si>
  <si>
    <t>长兴县浙北家用电器有限公司</t>
  </si>
  <si>
    <t>海宁程信电器有限公司</t>
  </si>
  <si>
    <t>嘉兴汇越商贸有限公司</t>
  </si>
  <si>
    <t xml:space="preserve">嘉兴市易家商贸有限公司  </t>
  </si>
  <si>
    <t>京东五星电器集团浙江电器有限公司</t>
  </si>
  <si>
    <t>:衢州市柯城汇鑫家用电器商行以旧换新</t>
  </si>
  <si>
    <t>义乌颖亿贸易有限公司</t>
  </si>
  <si>
    <t>义乌颖亿贸易有限公司以旧换新</t>
  </si>
  <si>
    <t>浙江上百集团有限公司（老一百）</t>
  </si>
  <si>
    <t>黄岩百货有限公司</t>
  </si>
  <si>
    <t>以旧换新</t>
  </si>
  <si>
    <t>(空白)</t>
  </si>
  <si>
    <t>艾欧史密斯（中国）水系统有限公司</t>
  </si>
  <si>
    <t>杭州瑞艾工程技术服务有限公司</t>
  </si>
  <si>
    <t>杭州瑞亚工程技术服务有限公司</t>
  </si>
  <si>
    <t>湖州启瑞电器有限公司</t>
  </si>
  <si>
    <t>嘉兴艾通电器有限公司</t>
  </si>
  <si>
    <t>绍兴晨涛电器有限公司</t>
  </si>
  <si>
    <t>台州中嘉电器有限公司</t>
  </si>
  <si>
    <t>温州吉远电器有限公司</t>
  </si>
  <si>
    <t>2月</t>
    <phoneticPr fontId="32" type="noConversion"/>
  </si>
  <si>
    <t>3月</t>
    <phoneticPr fontId="32" type="noConversion"/>
  </si>
  <si>
    <t>4月</t>
    <phoneticPr fontId="32" type="noConversion"/>
  </si>
  <si>
    <t>5月</t>
    <phoneticPr fontId="32" type="noConversion"/>
  </si>
  <si>
    <t>2025年</t>
    <phoneticPr fontId="32" type="noConversion"/>
  </si>
  <si>
    <t>6月</t>
    <phoneticPr fontId="32" type="noConversion"/>
  </si>
  <si>
    <t>7月</t>
    <phoneticPr fontId="32" type="noConversion"/>
  </si>
  <si>
    <t>8月</t>
    <phoneticPr fontId="32" type="noConversion"/>
  </si>
  <si>
    <t>9月</t>
    <phoneticPr fontId="32" type="noConversion"/>
  </si>
  <si>
    <t>销售员</t>
    <phoneticPr fontId="32" type="noConversion"/>
  </si>
  <si>
    <t>门店</t>
    <phoneticPr fontId="32" type="noConversion"/>
  </si>
  <si>
    <t>大区</t>
    <phoneticPr fontId="32" type="noConversion"/>
  </si>
  <si>
    <t>1月</t>
    <phoneticPr fontId="32" type="noConversion"/>
  </si>
  <si>
    <t>董培培</t>
    <phoneticPr fontId="32" type="noConversion"/>
  </si>
  <si>
    <t>合同任务</t>
    <phoneticPr fontId="32" type="noConversion"/>
  </si>
  <si>
    <t>2024年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</si>
</sst>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 "/>
    <numFmt numFmtId="177" formatCode="0.0%"/>
    <numFmt numFmtId="178" formatCode="0.00_ "/>
    <numFmt numFmtId="179" formatCode="0.00_);[Red]\(0.00\)"/>
    <numFmt numFmtId="180" formatCode="0_ "/>
  </numFmts>
  <fonts count="33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rgb="FF333333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name val="Helv"/>
      <family val="2"/>
    </font>
    <font>
      <sz val="10"/>
      <name val="Arial"/>
      <family val="2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0">
    <xf numFmtId="0" fontId="0" fillId="0" borderId="0">
      <alignment vertical="center"/>
    </xf>
    <xf numFmtId="9" fontId="31" fillId="0" borderId="0" applyFont="0" applyFill="0" applyBorder="0" applyAlignment="0" applyProtection="0">
      <alignment vertical="center"/>
    </xf>
    <xf numFmtId="0" fontId="6" fillId="0" borderId="0"/>
    <xf numFmtId="0" fontId="31" fillId="0" borderId="0"/>
    <xf numFmtId="9" fontId="7" fillId="0" borderId="0" applyFont="0" applyFill="0" applyBorder="0" applyAlignment="0" applyProtection="0"/>
    <xf numFmtId="0" fontId="28" fillId="0" borderId="0"/>
    <xf numFmtId="0" fontId="9" fillId="0" borderId="0">
      <alignment vertical="top"/>
      <protection locked="0"/>
    </xf>
    <xf numFmtId="0" fontId="7" fillId="0" borderId="0"/>
    <xf numFmtId="0" fontId="7" fillId="0" borderId="0"/>
    <xf numFmtId="0" fontId="29" fillId="0" borderId="0"/>
    <xf numFmtId="0" fontId="7" fillId="0" borderId="0"/>
    <xf numFmtId="0" fontId="7" fillId="0" borderId="0"/>
    <xf numFmtId="0" fontId="2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1" fillId="0" borderId="0">
      <alignment vertical="center"/>
    </xf>
  </cellStyleXfs>
  <cellXfs count="25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177" fontId="3" fillId="0" borderId="1" xfId="1" applyNumberFormat="1" applyFont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177" fontId="3" fillId="2" borderId="1" xfId="1" applyNumberFormat="1" applyFont="1" applyFill="1" applyBorder="1" applyAlignment="1">
      <alignment horizontal="center" vertical="center"/>
    </xf>
    <xf numFmtId="176" fontId="3" fillId="0" borderId="1" xfId="1" applyNumberFormat="1" applyFont="1" applyFill="1" applyBorder="1" applyAlignment="1">
      <alignment horizontal="center" vertical="center"/>
    </xf>
    <xf numFmtId="177" fontId="3" fillId="4" borderId="1" xfId="1" applyNumberFormat="1" applyFont="1" applyFill="1" applyBorder="1" applyAlignment="1">
      <alignment horizontal="center" vertical="center"/>
    </xf>
    <xf numFmtId="177" fontId="4" fillId="4" borderId="1" xfId="1" applyNumberFormat="1" applyFont="1" applyFill="1" applyBorder="1" applyAlignment="1">
      <alignment horizontal="center" vertical="center"/>
    </xf>
    <xf numFmtId="177" fontId="4" fillId="2" borderId="1" xfId="1" applyNumberFormat="1" applyFont="1" applyFill="1" applyBorder="1" applyAlignment="1">
      <alignment horizontal="center" vertical="center"/>
    </xf>
    <xf numFmtId="177" fontId="3" fillId="0" borderId="1" xfId="1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178" fontId="6" fillId="0" borderId="1" xfId="1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0" borderId="1" xfId="18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0" fontId="7" fillId="0" borderId="0" xfId="18"/>
    <xf numFmtId="0" fontId="7" fillId="0" borderId="0" xfId="18" applyAlignment="1">
      <alignment horizontal="center"/>
    </xf>
    <xf numFmtId="0" fontId="8" fillId="0" borderId="2" xfId="18" applyFont="1" applyBorder="1"/>
    <xf numFmtId="179" fontId="6" fillId="0" borderId="1" xfId="4" applyNumberFormat="1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9" fillId="0" borderId="0" xfId="18" applyFont="1"/>
    <xf numFmtId="0" fontId="7" fillId="0" borderId="1" xfId="18" applyBorder="1" applyAlignment="1">
      <alignment horizontal="center"/>
    </xf>
    <xf numFmtId="0" fontId="6" fillId="0" borderId="0" xfId="18" applyFont="1"/>
    <xf numFmtId="0" fontId="6" fillId="0" borderId="1" xfId="18" applyFont="1" applyBorder="1" applyAlignment="1">
      <alignment horizontal="center"/>
    </xf>
    <xf numFmtId="178" fontId="9" fillId="0" borderId="0" xfId="10" applyNumberFormat="1" applyFont="1" applyAlignment="1">
      <alignment vertical="center"/>
    </xf>
    <xf numFmtId="0" fontId="6" fillId="0" borderId="1" xfId="17" applyFont="1" applyBorder="1" applyAlignment="1">
      <alignment horizontal="center" vertical="center" shrinkToFit="1"/>
    </xf>
    <xf numFmtId="178" fontId="1" fillId="0" borderId="1" xfId="18" applyNumberFormat="1" applyFont="1" applyBorder="1" applyAlignment="1">
      <alignment horizontal="center" vertical="center"/>
    </xf>
    <xf numFmtId="179" fontId="1" fillId="0" borderId="1" xfId="4" applyNumberFormat="1" applyFont="1" applyBorder="1" applyAlignment="1">
      <alignment horizontal="center" vertical="center"/>
    </xf>
    <xf numFmtId="178" fontId="6" fillId="0" borderId="1" xfId="4" applyNumberFormat="1" applyFont="1" applyFill="1" applyBorder="1" applyAlignment="1">
      <alignment horizontal="center" vertical="center"/>
    </xf>
    <xf numFmtId="178" fontId="6" fillId="0" borderId="1" xfId="4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0" fillId="0" borderId="0" xfId="0" applyFont="1">
      <alignment vertical="center"/>
    </xf>
    <xf numFmtId="0" fontId="5" fillId="0" borderId="1" xfId="0" applyFont="1" applyBorder="1">
      <alignment vertical="center"/>
    </xf>
    <xf numFmtId="178" fontId="6" fillId="0" borderId="3" xfId="4" applyNumberFormat="1" applyFont="1" applyFill="1" applyBorder="1" applyAlignment="1">
      <alignment horizontal="center"/>
    </xf>
    <xf numFmtId="0" fontId="8" fillId="0" borderId="0" xfId="18" applyFont="1" applyAlignment="1">
      <alignment horizontal="center"/>
    </xf>
    <xf numFmtId="178" fontId="6" fillId="0" borderId="1" xfId="10" applyNumberFormat="1" applyFont="1" applyBorder="1" applyAlignment="1">
      <alignment vertical="center"/>
    </xf>
    <xf numFmtId="179" fontId="6" fillId="0" borderId="1" xfId="4" applyNumberFormat="1" applyFont="1" applyBorder="1" applyAlignment="1">
      <alignment horizontal="center"/>
    </xf>
    <xf numFmtId="178" fontId="9" fillId="0" borderId="0" xfId="18" applyNumberFormat="1" applyFont="1" applyAlignment="1">
      <alignment horizontal="center"/>
    </xf>
    <xf numFmtId="178" fontId="1" fillId="0" borderId="0" xfId="18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1" fillId="0" borderId="1" xfId="0" applyFont="1" applyBorder="1">
      <alignment vertical="center"/>
    </xf>
    <xf numFmtId="0" fontId="9" fillId="0" borderId="1" xfId="18" applyFont="1" applyBorder="1" applyAlignment="1">
      <alignment horizontal="center"/>
    </xf>
    <xf numFmtId="0" fontId="9" fillId="0" borderId="1" xfId="18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11" fillId="0" borderId="1" xfId="18" applyFont="1" applyBorder="1" applyAlignment="1">
      <alignment horizontal="left"/>
    </xf>
    <xf numFmtId="0" fontId="12" fillId="5" borderId="1" xfId="8" applyFont="1" applyFill="1" applyBorder="1" applyAlignment="1">
      <alignment horizontal="left" vertical="center" wrapText="1"/>
    </xf>
    <xf numFmtId="0" fontId="12" fillId="0" borderId="1" xfId="7" applyFont="1" applyBorder="1" applyAlignment="1">
      <alignment horizontal="left" vertical="center" wrapText="1"/>
    </xf>
    <xf numFmtId="0" fontId="9" fillId="0" borderId="1" xfId="18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9" fillId="0" borderId="3" xfId="18" applyFont="1" applyBorder="1" applyAlignment="1">
      <alignment horizontal="center" vertical="center"/>
    </xf>
    <xf numFmtId="0" fontId="9" fillId="0" borderId="1" xfId="18" applyFont="1" applyBorder="1" applyAlignment="1">
      <alignment horizontal="center" vertical="center"/>
    </xf>
    <xf numFmtId="0" fontId="9" fillId="0" borderId="1" xfId="17" applyFont="1" applyBorder="1" applyAlignment="1">
      <alignment horizontal="center" vertical="center" shrinkToFit="1"/>
    </xf>
    <xf numFmtId="177" fontId="9" fillId="0" borderId="3" xfId="1" applyNumberFormat="1" applyFont="1" applyBorder="1" applyAlignment="1">
      <alignment horizontal="center" vertical="center"/>
    </xf>
    <xf numFmtId="178" fontId="9" fillId="0" borderId="1" xfId="4" applyNumberFormat="1" applyFont="1" applyBorder="1" applyAlignment="1">
      <alignment horizontal="center" vertical="center"/>
    </xf>
    <xf numFmtId="178" fontId="9" fillId="0" borderId="1" xfId="4" applyNumberFormat="1" applyFont="1" applyFill="1" applyBorder="1" applyAlignment="1">
      <alignment horizontal="center" vertical="center"/>
    </xf>
    <xf numFmtId="0" fontId="6" fillId="0" borderId="3" xfId="18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177" fontId="1" fillId="0" borderId="1" xfId="1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9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1" xfId="18" applyFont="1" applyBorder="1" applyAlignment="1">
      <alignment horizontal="center" vertical="center"/>
    </xf>
    <xf numFmtId="0" fontId="6" fillId="0" borderId="1" xfId="18" applyFont="1" applyBorder="1" applyAlignment="1">
      <alignment horizontal="left" vertical="center"/>
    </xf>
    <xf numFmtId="0" fontId="6" fillId="0" borderId="1" xfId="17" applyFont="1" applyBorder="1" applyAlignment="1">
      <alignment horizontal="center" vertical="center"/>
    </xf>
    <xf numFmtId="0" fontId="6" fillId="0" borderId="1" xfId="18" applyFont="1" applyBorder="1" applyAlignment="1">
      <alignment horizontal="left"/>
    </xf>
    <xf numFmtId="0" fontId="6" fillId="0" borderId="1" xfId="18" applyFont="1" applyBorder="1" applyAlignment="1">
      <alignment horizontal="left" wrapText="1"/>
    </xf>
    <xf numFmtId="0" fontId="13" fillId="0" borderId="1" xfId="17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5" fillId="0" borderId="1" xfId="18" applyFont="1" applyBorder="1" applyAlignment="1">
      <alignment horizontal="center"/>
    </xf>
    <xf numFmtId="0" fontId="6" fillId="0" borderId="0" xfId="18" applyFont="1" applyAlignment="1">
      <alignment horizontal="left"/>
    </xf>
    <xf numFmtId="2" fontId="6" fillId="0" borderId="1" xfId="17" applyNumberFormat="1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0" fontId="6" fillId="0" borderId="0" xfId="18" applyFont="1" applyAlignment="1">
      <alignment horizontal="center"/>
    </xf>
    <xf numFmtId="2" fontId="6" fillId="0" borderId="1" xfId="18" applyNumberFormat="1" applyFont="1" applyBorder="1" applyAlignment="1">
      <alignment horizontal="center"/>
    </xf>
    <xf numFmtId="177" fontId="5" fillId="0" borderId="1" xfId="1" applyNumberFormat="1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6" fillId="6" borderId="1" xfId="18" applyFont="1" applyFill="1" applyBorder="1" applyAlignment="1">
      <alignment horizontal="left" vertical="center"/>
    </xf>
    <xf numFmtId="0" fontId="16" fillId="0" borderId="1" xfId="7" applyFont="1" applyBorder="1" applyAlignment="1">
      <alignment horizontal="left" vertical="center" wrapText="1"/>
    </xf>
    <xf numFmtId="179" fontId="9" fillId="0" borderId="1" xfId="4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9" fontId="6" fillId="0" borderId="1" xfId="18" applyNumberFormat="1" applyFont="1" applyBorder="1" applyAlignment="1">
      <alignment horizontal="center"/>
    </xf>
    <xf numFmtId="179" fontId="6" fillId="0" borderId="1" xfId="18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17" fillId="0" borderId="1" xfId="17" applyFont="1" applyBorder="1" applyAlignment="1">
      <alignment horizontal="center" vertical="center" shrinkToFit="1"/>
    </xf>
    <xf numFmtId="0" fontId="10" fillId="0" borderId="1" xfId="12" applyFont="1" applyBorder="1" applyAlignment="1">
      <alignment horizontal="left" vertical="center"/>
    </xf>
    <xf numFmtId="0" fontId="10" fillId="0" borderId="1" xfId="0" applyFont="1" applyBorder="1">
      <alignment vertical="center"/>
    </xf>
    <xf numFmtId="180" fontId="6" fillId="0" borderId="1" xfId="18" applyNumberFormat="1" applyFont="1" applyBorder="1" applyAlignment="1">
      <alignment horizontal="center"/>
    </xf>
    <xf numFmtId="179" fontId="6" fillId="0" borderId="1" xfId="4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6" fillId="0" borderId="0" xfId="18" applyFont="1" applyAlignment="1">
      <alignment horizontal="center" vertical="center"/>
    </xf>
    <xf numFmtId="0" fontId="6" fillId="0" borderId="3" xfId="18" applyFont="1" applyBorder="1" applyAlignment="1">
      <alignment horizontal="center"/>
    </xf>
    <xf numFmtId="0" fontId="6" fillId="5" borderId="1" xfId="18" applyFont="1" applyFill="1" applyBorder="1" applyAlignment="1">
      <alignment horizontal="center"/>
    </xf>
    <xf numFmtId="0" fontId="19" fillId="0" borderId="1" xfId="14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80" fontId="6" fillId="0" borderId="1" xfId="4" applyNumberFormat="1" applyFont="1" applyBorder="1" applyAlignment="1">
      <alignment horizontal="center" vertical="center"/>
    </xf>
    <xf numFmtId="0" fontId="6" fillId="0" borderId="12" xfId="18" applyFont="1" applyBorder="1" applyAlignment="1">
      <alignment horizontal="center" vertical="center"/>
    </xf>
    <xf numFmtId="178" fontId="6" fillId="0" borderId="1" xfId="18" applyNumberFormat="1" applyFont="1" applyBorder="1" applyAlignment="1">
      <alignment horizontal="center"/>
    </xf>
    <xf numFmtId="0" fontId="0" fillId="0" borderId="0" xfId="0" applyAlignment="1">
      <alignment horizontal="left" vertical="center"/>
    </xf>
    <xf numFmtId="178" fontId="9" fillId="0" borderId="1" xfId="18" applyNumberFormat="1" applyFont="1" applyBorder="1" applyAlignment="1">
      <alignment horizontal="center" vertical="center"/>
    </xf>
    <xf numFmtId="178" fontId="9" fillId="0" borderId="1" xfId="18" applyNumberFormat="1" applyFont="1" applyBorder="1" applyAlignment="1">
      <alignment horizontal="left" vertical="center"/>
    </xf>
    <xf numFmtId="178" fontId="9" fillId="0" borderId="1" xfId="18" applyNumberFormat="1" applyFont="1" applyBorder="1" applyAlignment="1">
      <alignment horizontal="left" vertical="center" wrapText="1"/>
    </xf>
    <xf numFmtId="177" fontId="6" fillId="0" borderId="3" xfId="1" applyNumberFormat="1" applyFont="1" applyFill="1" applyBorder="1" applyAlignment="1">
      <alignment horizontal="center" vertical="center"/>
    </xf>
    <xf numFmtId="178" fontId="6" fillId="0" borderId="1" xfId="4" applyNumberFormat="1" applyFont="1" applyBorder="1" applyAlignment="1">
      <alignment vertical="center"/>
    </xf>
    <xf numFmtId="178" fontId="6" fillId="0" borderId="1" xfId="4" applyNumberFormat="1" applyFont="1" applyFill="1" applyBorder="1" applyAlignment="1">
      <alignment vertical="center"/>
    </xf>
    <xf numFmtId="178" fontId="6" fillId="0" borderId="1" xfId="16" applyNumberFormat="1" applyFont="1" applyBorder="1" applyAlignment="1">
      <alignment vertical="center"/>
    </xf>
    <xf numFmtId="0" fontId="9" fillId="0" borderId="1" xfId="18" applyFont="1" applyBorder="1" applyAlignment="1">
      <alignment vertical="center"/>
    </xf>
    <xf numFmtId="178" fontId="6" fillId="0" borderId="1" xfId="16" applyNumberFormat="1" applyFont="1" applyBorder="1" applyAlignment="1">
      <alignment horizontal="center" vertical="center"/>
    </xf>
    <xf numFmtId="178" fontId="9" fillId="0" borderId="1" xfId="16" applyNumberFormat="1" applyFont="1" applyBorder="1" applyAlignment="1">
      <alignment horizontal="center" vertical="center"/>
    </xf>
    <xf numFmtId="0" fontId="6" fillId="0" borderId="1" xfId="17" applyFont="1" applyBorder="1" applyAlignment="1">
      <alignment horizontal="left" vertical="center"/>
    </xf>
    <xf numFmtId="0" fontId="6" fillId="5" borderId="1" xfId="17" applyFont="1" applyFill="1" applyBorder="1" applyAlignment="1">
      <alignment horizontal="left" vertical="center"/>
    </xf>
    <xf numFmtId="0" fontId="20" fillId="0" borderId="1" xfId="18" applyFont="1" applyBorder="1" applyAlignment="1">
      <alignment horizontal="left"/>
    </xf>
    <xf numFmtId="0" fontId="5" fillId="5" borderId="1" xfId="17" applyFont="1" applyFill="1" applyBorder="1" applyAlignment="1">
      <alignment horizontal="left" vertical="center"/>
    </xf>
    <xf numFmtId="0" fontId="6" fillId="0" borderId="1" xfId="10" applyFont="1" applyBorder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178" fontId="6" fillId="0" borderId="1" xfId="18" applyNumberFormat="1" applyFont="1" applyBorder="1" applyAlignment="1">
      <alignment horizontal="left" vertical="center"/>
    </xf>
    <xf numFmtId="0" fontId="16" fillId="0" borderId="1" xfId="18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6" fillId="0" borderId="5" xfId="18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78" fontId="6" fillId="0" borderId="3" xfId="4" applyNumberFormat="1" applyFont="1" applyBorder="1" applyAlignment="1">
      <alignment horizontal="center" vertical="center"/>
    </xf>
    <xf numFmtId="179" fontId="6" fillId="0" borderId="3" xfId="4" applyNumberFormat="1" applyFont="1" applyBorder="1" applyAlignment="1">
      <alignment horizontal="center" vertical="center"/>
    </xf>
    <xf numFmtId="0" fontId="22" fillId="0" borderId="0" xfId="0" applyFont="1">
      <alignment vertical="center"/>
    </xf>
    <xf numFmtId="179" fontId="6" fillId="0" borderId="3" xfId="4" applyNumberFormat="1" applyFont="1" applyFill="1" applyBorder="1" applyAlignment="1">
      <alignment horizontal="center" vertical="center"/>
    </xf>
    <xf numFmtId="177" fontId="6" fillId="0" borderId="1" xfId="1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78" fontId="6" fillId="0" borderId="3" xfId="4" applyNumberFormat="1" applyFont="1" applyFill="1" applyBorder="1" applyAlignment="1">
      <alignment horizontal="center" vertical="center"/>
    </xf>
    <xf numFmtId="178" fontId="6" fillId="0" borderId="1" xfId="4" applyNumberFormat="1" applyFont="1" applyFill="1" applyBorder="1" applyAlignment="1">
      <alignment horizontal="center"/>
    </xf>
    <xf numFmtId="179" fontId="6" fillId="0" borderId="1" xfId="4" applyNumberFormat="1" applyFont="1" applyFill="1" applyBorder="1" applyAlignment="1">
      <alignment horizontal="center"/>
    </xf>
    <xf numFmtId="0" fontId="3" fillId="0" borderId="0" xfId="0" applyFont="1">
      <alignment vertical="center"/>
    </xf>
    <xf numFmtId="0" fontId="3" fillId="5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23" fillId="0" borderId="1" xfId="11" applyNumberFormat="1" applyFont="1" applyBorder="1" applyAlignment="1">
      <alignment horizontal="center" vertical="center"/>
    </xf>
    <xf numFmtId="178" fontId="23" fillId="0" borderId="1" xfId="11" applyNumberFormat="1" applyFont="1" applyBorder="1" applyAlignment="1">
      <alignment horizontal="center" vertical="center" wrapText="1"/>
    </xf>
    <xf numFmtId="0" fontId="24" fillId="0" borderId="1" xfId="0" applyFont="1" applyBorder="1">
      <alignment vertical="center"/>
    </xf>
    <xf numFmtId="178" fontId="25" fillId="0" borderId="1" xfId="1" applyNumberFormat="1" applyFont="1" applyFill="1" applyBorder="1" applyAlignment="1">
      <alignment horizontal="center" vertical="center"/>
    </xf>
    <xf numFmtId="177" fontId="25" fillId="0" borderId="1" xfId="1" applyNumberFormat="1" applyFont="1" applyFill="1" applyBorder="1" applyAlignment="1">
      <alignment horizontal="center" vertical="center"/>
    </xf>
    <xf numFmtId="178" fontId="23" fillId="5" borderId="1" xfId="11" applyNumberFormat="1" applyFont="1" applyFill="1" applyBorder="1" applyAlignment="1">
      <alignment horizontal="center" vertical="center"/>
    </xf>
    <xf numFmtId="180" fontId="26" fillId="5" borderId="1" xfId="11" applyNumberFormat="1" applyFont="1" applyFill="1" applyBorder="1" applyAlignment="1">
      <alignment vertical="center"/>
    </xf>
    <xf numFmtId="180" fontId="23" fillId="5" borderId="1" xfId="11" applyNumberFormat="1" applyFont="1" applyFill="1" applyBorder="1" applyAlignment="1">
      <alignment horizontal="center" vertical="center"/>
    </xf>
    <xf numFmtId="177" fontId="25" fillId="5" borderId="1" xfId="1" applyNumberFormat="1" applyFont="1" applyFill="1" applyBorder="1" applyAlignment="1">
      <alignment horizontal="center" vertical="center"/>
    </xf>
    <xf numFmtId="0" fontId="24" fillId="5" borderId="1" xfId="0" applyFont="1" applyFill="1" applyBorder="1">
      <alignment vertical="center"/>
    </xf>
    <xf numFmtId="0" fontId="25" fillId="5" borderId="1" xfId="0" applyFont="1" applyFill="1" applyBorder="1" applyAlignment="1">
      <alignment horizontal="center" vertical="center"/>
    </xf>
    <xf numFmtId="0" fontId="27" fillId="0" borderId="0" xfId="12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178" fontId="24" fillId="0" borderId="1" xfId="0" applyNumberFormat="1" applyFont="1" applyBorder="1" applyAlignment="1">
      <alignment horizontal="center" vertical="center"/>
    </xf>
    <xf numFmtId="177" fontId="24" fillId="0" borderId="1" xfId="1" applyNumberFormat="1" applyFont="1" applyFill="1" applyBorder="1" applyAlignment="1">
      <alignment horizontal="center" vertical="center"/>
    </xf>
    <xf numFmtId="178" fontId="24" fillId="0" borderId="1" xfId="1" applyNumberFormat="1" applyFont="1" applyFill="1" applyBorder="1" applyAlignment="1">
      <alignment horizontal="center" vertical="center"/>
    </xf>
    <xf numFmtId="0" fontId="6" fillId="0" borderId="1" xfId="18" quotePrefix="1" applyFont="1" applyBorder="1" applyAlignment="1">
      <alignment horizontal="left"/>
    </xf>
    <xf numFmtId="178" fontId="9" fillId="0" borderId="1" xfId="18" quotePrefix="1" applyNumberFormat="1" applyFont="1" applyBorder="1" applyAlignment="1">
      <alignment horizontal="center" vertical="center"/>
    </xf>
    <xf numFmtId="0" fontId="6" fillId="0" borderId="1" xfId="18" quotePrefix="1" applyFont="1" applyBorder="1" applyAlignment="1">
      <alignment horizont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0" fontId="6" fillId="0" borderId="1" xfId="18" quotePrefix="1" applyFont="1" applyBorder="1" applyAlignment="1">
      <alignment horizontal="left" vertical="center"/>
    </xf>
    <xf numFmtId="0" fontId="6" fillId="6" borderId="1" xfId="18" quotePrefix="1" applyFont="1" applyFill="1" applyBorder="1" applyAlignment="1">
      <alignment horizontal="left"/>
    </xf>
    <xf numFmtId="0" fontId="2" fillId="0" borderId="1" xfId="0" quotePrefix="1" applyFont="1" applyBorder="1" applyAlignment="1">
      <alignment horizontal="center" vertical="center"/>
    </xf>
    <xf numFmtId="0" fontId="9" fillId="0" borderId="1" xfId="18" quotePrefix="1" applyFont="1" applyBorder="1" applyAlignment="1">
      <alignment horizontal="center"/>
    </xf>
    <xf numFmtId="178" fontId="23" fillId="0" borderId="1" xfId="1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78" fontId="23" fillId="5" borderId="1" xfId="11" applyNumberFormat="1" applyFont="1" applyFill="1" applyBorder="1" applyAlignment="1">
      <alignment horizontal="center" vertical="center"/>
    </xf>
    <xf numFmtId="178" fontId="23" fillId="0" borderId="1" xfId="11" applyNumberFormat="1" applyFont="1" applyBorder="1" applyAlignment="1">
      <alignment horizontal="center" vertical="center"/>
    </xf>
    <xf numFmtId="0" fontId="6" fillId="0" borderId="2" xfId="18" applyFont="1" applyBorder="1" applyAlignment="1">
      <alignment horizontal="center" wrapText="1"/>
    </xf>
    <xf numFmtId="0" fontId="6" fillId="0" borderId="13" xfId="18" applyFont="1" applyBorder="1" applyAlignment="1">
      <alignment horizontal="center" vertical="center"/>
    </xf>
    <xf numFmtId="0" fontId="6" fillId="0" borderId="14" xfId="18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6" fillId="0" borderId="8" xfId="18" applyFont="1" applyBorder="1" applyAlignment="1">
      <alignment horizontal="center" vertical="center"/>
    </xf>
    <xf numFmtId="0" fontId="6" fillId="0" borderId="3" xfId="18" applyFont="1" applyBorder="1" applyAlignment="1">
      <alignment horizontal="center" vertical="center"/>
    </xf>
    <xf numFmtId="0" fontId="6" fillId="0" borderId="4" xfId="18" applyFont="1" applyBorder="1" applyAlignment="1">
      <alignment horizontal="center" vertical="center"/>
    </xf>
    <xf numFmtId="0" fontId="6" fillId="0" borderId="5" xfId="18" applyFont="1" applyBorder="1" applyAlignment="1">
      <alignment horizontal="center" vertical="center"/>
    </xf>
    <xf numFmtId="178" fontId="6" fillId="0" borderId="3" xfId="4" applyNumberFormat="1" applyFont="1" applyBorder="1" applyAlignment="1">
      <alignment horizontal="center" vertical="center"/>
    </xf>
    <xf numFmtId="0" fontId="6" fillId="0" borderId="1" xfId="18" applyFont="1" applyBorder="1" applyAlignment="1">
      <alignment horizontal="center" wrapText="1"/>
    </xf>
    <xf numFmtId="0" fontId="6" fillId="0" borderId="1" xfId="18" applyFont="1" applyBorder="1" applyAlignment="1">
      <alignment horizontal="center"/>
    </xf>
    <xf numFmtId="0" fontId="9" fillId="0" borderId="1" xfId="18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7" fillId="0" borderId="1" xfId="17" applyFont="1" applyBorder="1" applyAlignment="1">
      <alignment horizontal="center" vertical="center" shrinkToFit="1"/>
    </xf>
    <xf numFmtId="0" fontId="6" fillId="0" borderId="7" xfId="18" applyFont="1" applyBorder="1" applyAlignment="1">
      <alignment horizontal="center"/>
    </xf>
    <xf numFmtId="0" fontId="6" fillId="0" borderId="9" xfId="18" applyFont="1" applyBorder="1" applyAlignment="1">
      <alignment horizontal="center"/>
    </xf>
    <xf numFmtId="0" fontId="9" fillId="0" borderId="4" xfId="18" applyFont="1" applyBorder="1" applyAlignment="1">
      <alignment horizontal="center" vertical="center"/>
    </xf>
    <xf numFmtId="0" fontId="9" fillId="0" borderId="6" xfId="18" applyFont="1" applyBorder="1" applyAlignment="1">
      <alignment horizontal="center" vertical="center"/>
    </xf>
    <xf numFmtId="0" fontId="9" fillId="0" borderId="8" xfId="18" applyFont="1" applyBorder="1" applyAlignment="1">
      <alignment horizontal="center" vertical="center"/>
    </xf>
    <xf numFmtId="0" fontId="9" fillId="0" borderId="3" xfId="18" applyFont="1" applyBorder="1" applyAlignment="1">
      <alignment horizontal="center" vertical="center"/>
    </xf>
    <xf numFmtId="0" fontId="6" fillId="0" borderId="1" xfId="18" applyFont="1" applyBorder="1" applyAlignment="1">
      <alignment horizontal="center" vertical="center"/>
    </xf>
    <xf numFmtId="0" fontId="17" fillId="0" borderId="1" xfId="18" applyFont="1" applyBorder="1" applyAlignment="1">
      <alignment horizontal="center" vertical="center"/>
    </xf>
    <xf numFmtId="0" fontId="18" fillId="0" borderId="1" xfId="18" applyFont="1" applyBorder="1" applyAlignment="1">
      <alignment horizontal="center" vertical="center"/>
    </xf>
    <xf numFmtId="0" fontId="18" fillId="0" borderId="0" xfId="18" applyFont="1" applyAlignment="1">
      <alignment horizontal="center" vertical="center"/>
    </xf>
    <xf numFmtId="0" fontId="18" fillId="0" borderId="0" xfId="18" applyFont="1" applyAlignment="1">
      <alignment horizontal="center" vertical="center" wrapText="1"/>
    </xf>
    <xf numFmtId="0" fontId="6" fillId="0" borderId="0" xfId="18" applyFont="1" applyAlignment="1">
      <alignment horizontal="center" vertical="center"/>
    </xf>
    <xf numFmtId="0" fontId="6" fillId="0" borderId="0" xfId="18" applyFont="1" applyAlignment="1">
      <alignment horizontal="center"/>
    </xf>
    <xf numFmtId="0" fontId="6" fillId="0" borderId="0" xfId="18" applyFont="1"/>
    <xf numFmtId="0" fontId="6" fillId="0" borderId="11" xfId="18" applyFont="1" applyBorder="1" applyAlignment="1">
      <alignment horizontal="center" vertical="center"/>
    </xf>
    <xf numFmtId="0" fontId="9" fillId="0" borderId="2" xfId="18" applyFont="1" applyBorder="1" applyAlignment="1">
      <alignment horizontal="center" vertical="center"/>
    </xf>
    <xf numFmtId="0" fontId="17" fillId="0" borderId="1" xfId="17" applyFont="1" applyBorder="1" applyAlignment="1">
      <alignment horizontal="left" vertical="center" shrinkToFit="1"/>
    </xf>
    <xf numFmtId="0" fontId="9" fillId="0" borderId="5" xfId="18" applyFont="1" applyBorder="1" applyAlignment="1">
      <alignment horizontal="center" vertical="center"/>
    </xf>
    <xf numFmtId="0" fontId="6" fillId="0" borderId="1" xfId="18" applyFont="1" applyBorder="1" applyAlignment="1">
      <alignment horizontal="left" vertical="center"/>
    </xf>
    <xf numFmtId="0" fontId="6" fillId="0" borderId="6" xfId="18" applyFont="1" applyBorder="1" applyAlignment="1">
      <alignment horizontal="center" vertical="center"/>
    </xf>
    <xf numFmtId="0" fontId="6" fillId="0" borderId="4" xfId="18" applyFont="1" applyBorder="1" applyAlignment="1">
      <alignment horizontal="center" wrapText="1"/>
    </xf>
    <xf numFmtId="0" fontId="6" fillId="0" borderId="6" xfId="18" applyFont="1" applyBorder="1" applyAlignment="1">
      <alignment horizontal="center" wrapText="1"/>
    </xf>
    <xf numFmtId="0" fontId="6" fillId="0" borderId="7" xfId="18" applyFont="1" applyBorder="1" applyAlignment="1">
      <alignment horizontal="center" wrapText="1"/>
    </xf>
    <xf numFmtId="0" fontId="6" fillId="0" borderId="10" xfId="18" applyFont="1" applyBorder="1" applyAlignment="1">
      <alignment horizontal="center" wrapText="1"/>
    </xf>
    <xf numFmtId="0" fontId="9" fillId="0" borderId="1" xfId="18" applyFont="1" applyBorder="1" applyAlignment="1">
      <alignment horizontal="center"/>
    </xf>
    <xf numFmtId="0" fontId="6" fillId="0" borderId="1" xfId="18" applyFont="1" applyBorder="1" applyAlignment="1">
      <alignment horizontal="center" vertical="center" wrapText="1"/>
    </xf>
    <xf numFmtId="0" fontId="6" fillId="0" borderId="7" xfId="18" applyFont="1" applyBorder="1" applyAlignment="1">
      <alignment horizontal="center" vertical="center" wrapText="1"/>
    </xf>
    <xf numFmtId="0" fontId="6" fillId="0" borderId="9" xfId="18" applyFont="1" applyBorder="1" applyAlignment="1">
      <alignment horizontal="center" vertical="center" wrapText="1"/>
    </xf>
    <xf numFmtId="0" fontId="9" fillId="0" borderId="1" xfId="18" applyFont="1" applyBorder="1" applyAlignment="1">
      <alignment horizontal="center" wrapText="1"/>
    </xf>
    <xf numFmtId="0" fontId="9" fillId="0" borderId="7" xfId="18" applyFont="1" applyBorder="1" applyAlignment="1">
      <alignment horizontal="center"/>
    </xf>
    <xf numFmtId="0" fontId="9" fillId="0" borderId="9" xfId="18" applyFont="1" applyBorder="1" applyAlignment="1">
      <alignment horizontal="center"/>
    </xf>
    <xf numFmtId="178" fontId="6" fillId="0" borderId="2" xfId="10" applyNumberFormat="1" applyFont="1" applyBorder="1" applyAlignment="1">
      <alignment horizontal="center" vertical="center"/>
    </xf>
    <xf numFmtId="178" fontId="6" fillId="0" borderId="3" xfId="10" applyNumberFormat="1" applyFont="1" applyBorder="1" applyAlignment="1">
      <alignment horizontal="center" vertical="center"/>
    </xf>
    <xf numFmtId="178" fontId="6" fillId="0" borderId="1" xfId="1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3" borderId="2" xfId="0" applyNumberFormat="1" applyFont="1" applyFill="1" applyBorder="1" applyAlignment="1">
      <alignment horizontal="center" vertical="center" wrapText="1"/>
    </xf>
    <xf numFmtId="176" fontId="3" fillId="3" borderId="3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17" fillId="0" borderId="4" xfId="17" applyFont="1" applyBorder="1" applyAlignment="1">
      <alignment horizontal="center" vertical="center" shrinkToFit="1"/>
    </xf>
    <xf numFmtId="0" fontId="17" fillId="0" borderId="5" xfId="17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7" fillId="0" borderId="4" xfId="18" applyFont="1" applyBorder="1" applyAlignment="1">
      <alignment horizontal="center" vertical="center"/>
    </xf>
    <xf numFmtId="0" fontId="17" fillId="0" borderId="5" xfId="18" applyFont="1" applyBorder="1" applyAlignment="1">
      <alignment horizontal="center" vertical="center"/>
    </xf>
  </cellXfs>
  <cellStyles count="20">
    <cellStyle name="_ET_STYLE_NoName_00_" xfId="5" xr:uid="{00000000-0005-0000-0000-000034000000}"/>
    <cellStyle name="Normal" xfId="6" xr:uid="{00000000-0005-0000-0000-000035000000}"/>
    <cellStyle name="百分比" xfId="1" builtinId="5"/>
    <cellStyle name="百分比 2" xfId="4" xr:uid="{00000000-0005-0000-0000-000033000000}"/>
    <cellStyle name="常规" xfId="0" builtinId="0"/>
    <cellStyle name="常规 10" xfId="10" xr:uid="{00000000-0005-0000-0000-00003A000000}"/>
    <cellStyle name="常规 10 10 2 2 2 2" xfId="11" xr:uid="{00000000-0005-0000-0000-00003B000000}"/>
    <cellStyle name="常规 12" xfId="9" xr:uid="{00000000-0005-0000-0000-000039000000}"/>
    <cellStyle name="常规 15" xfId="16" xr:uid="{00000000-0005-0000-0000-000040000000}"/>
    <cellStyle name="常规 16" xfId="12" xr:uid="{00000000-0005-0000-0000-00003C000000}"/>
    <cellStyle name="常规 2" xfId="17" xr:uid="{00000000-0005-0000-0000-000041000000}"/>
    <cellStyle name="常规 2 11" xfId="13" xr:uid="{00000000-0005-0000-0000-00003D000000}"/>
    <cellStyle name="常规 2 5 3 2" xfId="3" xr:uid="{00000000-0005-0000-0000-000032000000}"/>
    <cellStyle name="常规 3" xfId="7" xr:uid="{00000000-0005-0000-0000-000036000000}"/>
    <cellStyle name="常规 3 29" xfId="8" xr:uid="{00000000-0005-0000-0000-000038000000}"/>
    <cellStyle name="常规 4 4 3" xfId="2" xr:uid="{00000000-0005-0000-0000-000031000000}"/>
    <cellStyle name="常规 5" xfId="19" xr:uid="{00000000-0005-0000-0000-000043000000}"/>
    <cellStyle name="常规 60 2" xfId="14" xr:uid="{00000000-0005-0000-0000-00003E000000}"/>
    <cellStyle name="常规 60 3" xfId="15" xr:uid="{00000000-0005-0000-0000-00003F000000}"/>
    <cellStyle name="常规 66" xfId="18" xr:uid="{00000000-0005-0000-0000-000042000000}"/>
  </cellStyles>
  <dxfs count="0"/>
  <tableStyles count="0" defaultTableStyle="TableStyleMedium9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19"/>
  <sheetViews>
    <sheetView zoomScale="90" zoomScaleNormal="90" workbookViewId="0">
      <selection activeCell="AO23" sqref="AO23"/>
    </sheetView>
  </sheetViews>
  <sheetFormatPr baseColWidth="10" defaultColWidth="9" defaultRowHeight="17"/>
  <cols>
    <col min="1" max="1" width="9" style="154"/>
    <col min="2" max="2" width="13.33203125" style="154" customWidth="1"/>
    <col min="3" max="3" width="11.83203125" style="154" customWidth="1"/>
    <col min="4" max="4" width="11.1640625" style="154" hidden="1" customWidth="1"/>
    <col min="5" max="5" width="12.1640625" style="154" hidden="1" customWidth="1"/>
    <col min="6" max="6" width="9" style="154" hidden="1" customWidth="1"/>
    <col min="7" max="7" width="11.1640625" style="154" hidden="1" customWidth="1"/>
    <col min="8" max="8" width="12.1640625" style="154" hidden="1" customWidth="1"/>
    <col min="9" max="9" width="9" style="154" hidden="1" customWidth="1"/>
    <col min="10" max="10" width="11.1640625" style="154" hidden="1" customWidth="1"/>
    <col min="11" max="11" width="12.1640625" style="154" hidden="1" customWidth="1"/>
    <col min="12" max="12" width="9" style="154" hidden="1" customWidth="1"/>
    <col min="13" max="13" width="10.83203125" style="152" hidden="1" customWidth="1"/>
    <col min="14" max="14" width="11.1640625" style="152" hidden="1" customWidth="1"/>
    <col min="15" max="15" width="9" style="152" hidden="1" customWidth="1"/>
    <col min="16" max="16" width="11.1640625" style="154" hidden="1" customWidth="1"/>
    <col min="17" max="17" width="12.1640625" style="154" hidden="1" customWidth="1"/>
    <col min="18" max="18" width="9" style="154" hidden="1" customWidth="1"/>
    <col min="19" max="19" width="10.83203125" style="152" hidden="1" customWidth="1"/>
    <col min="20" max="20" width="11.1640625" style="152" hidden="1" customWidth="1"/>
    <col min="21" max="21" width="9" style="152" hidden="1" customWidth="1"/>
    <col min="22" max="22" width="11.1640625" style="154" hidden="1" customWidth="1"/>
    <col min="23" max="23" width="12.1640625" style="154" hidden="1" customWidth="1"/>
    <col min="24" max="24" width="9" style="154" hidden="1" customWidth="1"/>
    <col min="25" max="25" width="10.83203125" style="152" hidden="1" customWidth="1"/>
    <col min="26" max="26" width="11.1640625" style="152" hidden="1" customWidth="1"/>
    <col min="27" max="27" width="9" style="152" hidden="1" customWidth="1"/>
    <col min="28" max="28" width="11.1640625" style="154" hidden="1" customWidth="1"/>
    <col min="29" max="29" width="12.1640625" style="154" hidden="1" customWidth="1"/>
    <col min="30" max="30" width="9" style="154" hidden="1" customWidth="1"/>
    <col min="31" max="31" width="10.83203125" style="152" hidden="1" customWidth="1"/>
    <col min="32" max="32" width="11.1640625" style="152" hidden="1" customWidth="1"/>
    <col min="33" max="33" width="9" style="152" hidden="1" customWidth="1"/>
    <col min="34" max="34" width="11.1640625" style="154" hidden="1" customWidth="1"/>
    <col min="35" max="35" width="12.1640625" style="154" hidden="1" customWidth="1"/>
    <col min="36" max="36" width="9" style="154" hidden="1" customWidth="1"/>
    <col min="37" max="37" width="10.83203125" style="152" hidden="1" customWidth="1"/>
    <col min="38" max="38" width="11.1640625" style="152" hidden="1" customWidth="1"/>
    <col min="39" max="39" width="9" style="152" hidden="1" customWidth="1"/>
    <col min="40" max="40" width="11.1640625" style="154" customWidth="1"/>
    <col min="41" max="41" width="12.1640625" style="154" customWidth="1"/>
    <col min="42" max="42" width="9" style="154" customWidth="1"/>
    <col min="43" max="43" width="10.83203125" style="152" customWidth="1"/>
    <col min="44" max="44" width="11.1640625" style="152" customWidth="1"/>
    <col min="45" max="45" width="9" style="152"/>
    <col min="46" max="46" width="11.1640625" style="154" customWidth="1"/>
    <col min="47" max="47" width="12.1640625" style="154" customWidth="1"/>
    <col min="48" max="48" width="9" style="154" customWidth="1"/>
    <col min="49" max="49" width="10.83203125" style="152" customWidth="1"/>
    <col min="50" max="50" width="11.1640625" style="152" customWidth="1"/>
    <col min="51" max="51" width="9" style="152"/>
    <col min="52" max="52" width="10.5" style="152" customWidth="1"/>
    <col min="53" max="16384" width="9" style="152"/>
  </cols>
  <sheetData>
    <row r="1" spans="1:52">
      <c r="A1" s="184" t="s">
        <v>0</v>
      </c>
      <c r="B1" s="186" t="s">
        <v>1</v>
      </c>
      <c r="C1" s="184" t="s">
        <v>2</v>
      </c>
      <c r="D1" s="183" t="s">
        <v>3</v>
      </c>
      <c r="E1" s="183"/>
      <c r="F1" s="183" t="s">
        <v>4</v>
      </c>
      <c r="G1" s="183" t="s">
        <v>5</v>
      </c>
      <c r="H1" s="183"/>
      <c r="I1" s="183" t="s">
        <v>4</v>
      </c>
      <c r="J1" s="183" t="s">
        <v>6</v>
      </c>
      <c r="K1" s="183"/>
      <c r="L1" s="183" t="s">
        <v>4</v>
      </c>
      <c r="M1" s="183" t="s">
        <v>7</v>
      </c>
      <c r="N1" s="183"/>
      <c r="O1" s="183" t="s">
        <v>4</v>
      </c>
      <c r="P1" s="183" t="s">
        <v>8</v>
      </c>
      <c r="Q1" s="183"/>
      <c r="R1" s="183" t="s">
        <v>4</v>
      </c>
      <c r="S1" s="183" t="s">
        <v>9</v>
      </c>
      <c r="T1" s="183"/>
      <c r="U1" s="183" t="s">
        <v>4</v>
      </c>
      <c r="V1" s="183" t="s">
        <v>10</v>
      </c>
      <c r="W1" s="183"/>
      <c r="X1" s="183" t="s">
        <v>4</v>
      </c>
      <c r="Y1" s="183" t="s">
        <v>11</v>
      </c>
      <c r="Z1" s="183"/>
      <c r="AA1" s="183" t="s">
        <v>4</v>
      </c>
      <c r="AB1" s="183" t="s">
        <v>12</v>
      </c>
      <c r="AC1" s="183"/>
      <c r="AD1" s="183" t="s">
        <v>4</v>
      </c>
      <c r="AE1" s="183" t="s">
        <v>13</v>
      </c>
      <c r="AF1" s="183"/>
      <c r="AG1" s="183" t="s">
        <v>4</v>
      </c>
      <c r="AH1" s="183" t="s">
        <v>14</v>
      </c>
      <c r="AI1" s="183"/>
      <c r="AJ1" s="183" t="s">
        <v>4</v>
      </c>
      <c r="AK1" s="183" t="s">
        <v>15</v>
      </c>
      <c r="AL1" s="183"/>
      <c r="AM1" s="183" t="s">
        <v>4</v>
      </c>
      <c r="AN1" s="183" t="s">
        <v>16</v>
      </c>
      <c r="AO1" s="183"/>
      <c r="AP1" s="183" t="s">
        <v>4</v>
      </c>
      <c r="AQ1" s="183" t="s">
        <v>17</v>
      </c>
      <c r="AR1" s="183"/>
      <c r="AS1" s="183" t="s">
        <v>4</v>
      </c>
      <c r="AT1" s="183" t="s">
        <v>18</v>
      </c>
      <c r="AU1" s="183"/>
      <c r="AV1" s="183" t="s">
        <v>4</v>
      </c>
      <c r="AW1" s="183" t="s">
        <v>19</v>
      </c>
      <c r="AX1" s="183"/>
      <c r="AY1" s="183" t="s">
        <v>4</v>
      </c>
      <c r="AZ1" s="184" t="s">
        <v>20</v>
      </c>
    </row>
    <row r="2" spans="1:52">
      <c r="A2" s="184"/>
      <c r="B2" s="186"/>
      <c r="C2" s="184"/>
      <c r="D2" s="157" t="s">
        <v>21</v>
      </c>
      <c r="E2" s="157" t="s">
        <v>22</v>
      </c>
      <c r="F2" s="183"/>
      <c r="G2" s="157" t="s">
        <v>21</v>
      </c>
      <c r="H2" s="157" t="s">
        <v>22</v>
      </c>
      <c r="I2" s="183"/>
      <c r="J2" s="157" t="s">
        <v>21</v>
      </c>
      <c r="K2" s="157" t="s">
        <v>22</v>
      </c>
      <c r="L2" s="183"/>
      <c r="M2" s="157" t="s">
        <v>21</v>
      </c>
      <c r="N2" s="157" t="s">
        <v>22</v>
      </c>
      <c r="O2" s="183"/>
      <c r="P2" s="157" t="s">
        <v>21</v>
      </c>
      <c r="Q2" s="157" t="s">
        <v>22</v>
      </c>
      <c r="R2" s="183"/>
      <c r="S2" s="157" t="s">
        <v>21</v>
      </c>
      <c r="T2" s="157" t="s">
        <v>22</v>
      </c>
      <c r="U2" s="183"/>
      <c r="V2" s="157" t="s">
        <v>21</v>
      </c>
      <c r="W2" s="157" t="s">
        <v>22</v>
      </c>
      <c r="X2" s="183"/>
      <c r="Y2" s="157" t="s">
        <v>21</v>
      </c>
      <c r="Z2" s="157" t="s">
        <v>22</v>
      </c>
      <c r="AA2" s="183"/>
      <c r="AB2" s="157" t="s">
        <v>21</v>
      </c>
      <c r="AC2" s="157" t="s">
        <v>22</v>
      </c>
      <c r="AD2" s="183"/>
      <c r="AE2" s="157" t="s">
        <v>21</v>
      </c>
      <c r="AF2" s="157" t="s">
        <v>22</v>
      </c>
      <c r="AG2" s="183"/>
      <c r="AH2" s="157" t="s">
        <v>21</v>
      </c>
      <c r="AI2" s="157" t="s">
        <v>22</v>
      </c>
      <c r="AJ2" s="183"/>
      <c r="AK2" s="157" t="s">
        <v>21</v>
      </c>
      <c r="AL2" s="157" t="s">
        <v>22</v>
      </c>
      <c r="AM2" s="183"/>
      <c r="AN2" s="157" t="s">
        <v>21</v>
      </c>
      <c r="AO2" s="157" t="s">
        <v>22</v>
      </c>
      <c r="AP2" s="183"/>
      <c r="AQ2" s="157" t="s">
        <v>21</v>
      </c>
      <c r="AR2" s="157" t="s">
        <v>22</v>
      </c>
      <c r="AS2" s="183"/>
      <c r="AT2" s="157" t="s">
        <v>21</v>
      </c>
      <c r="AU2" s="157" t="s">
        <v>22</v>
      </c>
      <c r="AV2" s="183"/>
      <c r="AW2" s="157" t="s">
        <v>21</v>
      </c>
      <c r="AX2" s="157" t="s">
        <v>22</v>
      </c>
      <c r="AY2" s="183"/>
      <c r="AZ2" s="184"/>
    </row>
    <row r="3" spans="1:52" ht="15" customHeight="1">
      <c r="A3" s="184" t="s">
        <v>23</v>
      </c>
      <c r="B3" s="156" t="s">
        <v>24</v>
      </c>
      <c r="C3" s="158">
        <v>43500000</v>
      </c>
      <c r="D3" s="159">
        <v>1820726.47</v>
      </c>
      <c r="E3" s="159">
        <v>2134133.92</v>
      </c>
      <c r="F3" s="160">
        <f>E3/D3-1</f>
        <v>0.17213318703495301</v>
      </c>
      <c r="G3" s="159">
        <v>665632</v>
      </c>
      <c r="H3" s="159">
        <v>2030936.03</v>
      </c>
      <c r="I3" s="160">
        <f>H3/G3-1</f>
        <v>2.0511394133695502</v>
      </c>
      <c r="J3" s="159">
        <v>2335229.5499999998</v>
      </c>
      <c r="K3" s="159">
        <v>3216768.37</v>
      </c>
      <c r="L3" s="160">
        <f t="shared" ref="L3:L13" si="0">K3/J3-1</f>
        <v>0.37749557425735702</v>
      </c>
      <c r="M3" s="159">
        <v>4821588.0199999996</v>
      </c>
      <c r="N3" s="159">
        <v>7381838.3200000003</v>
      </c>
      <c r="O3" s="160">
        <f t="shared" ref="O3:O13" si="1">N3/M3-1</f>
        <v>0.53099731652311499</v>
      </c>
      <c r="P3" s="159">
        <v>2932936.84</v>
      </c>
      <c r="Q3" s="159">
        <v>3545274.19</v>
      </c>
      <c r="R3" s="160">
        <f t="shared" ref="R3:R13" si="2">Q3/P3-1</f>
        <v>0.208779589675719</v>
      </c>
      <c r="S3" s="159">
        <v>7754524.8600000003</v>
      </c>
      <c r="T3" s="159">
        <v>10927112.51</v>
      </c>
      <c r="U3" s="160">
        <f t="shared" ref="U3:U13" si="3">T3/S3-1</f>
        <v>0.40912727823790901</v>
      </c>
      <c r="V3" s="159">
        <v>2754128.27</v>
      </c>
      <c r="W3" s="159">
        <v>2967729.72</v>
      </c>
      <c r="X3" s="160">
        <f t="shared" ref="X3:X13" si="4">W3/V3-1</f>
        <v>7.7556827082712498E-2</v>
      </c>
      <c r="Y3" s="159">
        <v>10508653.130000001</v>
      </c>
      <c r="Z3" s="159">
        <v>13954842.23</v>
      </c>
      <c r="AA3" s="160">
        <f t="shared" ref="AA3:AA13" si="5">Z3/Y3-1</f>
        <v>0.32793822932092498</v>
      </c>
      <c r="AB3" s="159">
        <v>3834503.49</v>
      </c>
      <c r="AC3" s="159">
        <v>3744100.99</v>
      </c>
      <c r="AD3" s="160">
        <f t="shared" ref="AD3:AD13" si="6">AC3/AB3-1</f>
        <v>-2.3576064081245601E-2</v>
      </c>
      <c r="AE3" s="159">
        <v>14343156.619999999</v>
      </c>
      <c r="AF3" s="159">
        <v>17698368.219999999</v>
      </c>
      <c r="AG3" s="160">
        <f t="shared" ref="AG3:AG13" si="7">AF3/AE3-1</f>
        <v>0.23392421130795699</v>
      </c>
      <c r="AH3" s="159">
        <v>2104345.2400000002</v>
      </c>
      <c r="AI3" s="159">
        <v>2351069.7799999998</v>
      </c>
      <c r="AJ3" s="160">
        <f t="shared" ref="AJ3:AJ13" si="8">AI3/AH3-1</f>
        <v>0.117245276730352</v>
      </c>
      <c r="AK3" s="159">
        <v>16447501.859999999</v>
      </c>
      <c r="AL3" s="159">
        <v>20049438</v>
      </c>
      <c r="AM3" s="160">
        <f t="shared" ref="AM3:AM13" si="9">AL3/AK3-1</f>
        <v>0.21899594057866301</v>
      </c>
      <c r="AN3" s="159">
        <v>1930214.36</v>
      </c>
      <c r="AO3" s="159">
        <v>1841887.65</v>
      </c>
      <c r="AP3" s="160">
        <f t="shared" ref="AP3:AP13" si="10">AO3/AN3-1</f>
        <v>-4.5760052266941E-2</v>
      </c>
      <c r="AQ3" s="159">
        <v>18377716.219999999</v>
      </c>
      <c r="AR3" s="159">
        <v>21891325.649999999</v>
      </c>
      <c r="AS3" s="160">
        <f t="shared" ref="AS3:AS13" si="11">AR3/AQ3-1</f>
        <v>0.191188577946167</v>
      </c>
      <c r="AT3" s="159">
        <v>2928380.34</v>
      </c>
      <c r="AU3" s="159">
        <v>1665365.53</v>
      </c>
      <c r="AV3" s="160">
        <f t="shared" ref="AV3:AV13" si="12">AU3/AT3-1</f>
        <v>-0.43130149207326002</v>
      </c>
      <c r="AW3" s="159">
        <v>21306096.559999999</v>
      </c>
      <c r="AX3" s="159">
        <v>23556691.18</v>
      </c>
      <c r="AY3" s="160">
        <f t="shared" ref="AY3:AY13" si="13">AX3/AW3-1</f>
        <v>0.105631485038196</v>
      </c>
      <c r="AZ3" s="18">
        <f>AX3/C3</f>
        <v>0.54153313057471297</v>
      </c>
    </row>
    <row r="4" spans="1:52" ht="15" customHeight="1">
      <c r="A4" s="184"/>
      <c r="B4" s="156" t="s">
        <v>25</v>
      </c>
      <c r="C4" s="158"/>
      <c r="D4" s="159"/>
      <c r="E4" s="159">
        <v>646534</v>
      </c>
      <c r="F4" s="160" t="e">
        <f>E4/D4-1</f>
        <v>#DIV/0!</v>
      </c>
      <c r="G4" s="159"/>
      <c r="H4" s="159">
        <v>486138</v>
      </c>
      <c r="I4" s="160" t="e">
        <f>H4/G4-1</f>
        <v>#DIV/0!</v>
      </c>
      <c r="J4" s="159"/>
      <c r="K4" s="159">
        <v>376210</v>
      </c>
      <c r="L4" s="160" t="e">
        <f t="shared" si="0"/>
        <v>#DIV/0!</v>
      </c>
      <c r="M4" s="159"/>
      <c r="N4" s="159">
        <v>1508882</v>
      </c>
      <c r="O4" s="160" t="e">
        <f t="shared" si="1"/>
        <v>#DIV/0!</v>
      </c>
      <c r="P4" s="159">
        <v>127164</v>
      </c>
      <c r="Q4" s="159">
        <v>332230</v>
      </c>
      <c r="R4" s="160">
        <f t="shared" si="2"/>
        <v>1.6126104872448199</v>
      </c>
      <c r="S4" s="159">
        <v>127164</v>
      </c>
      <c r="T4" s="159">
        <v>1841112</v>
      </c>
      <c r="U4" s="160">
        <f t="shared" si="3"/>
        <v>13.478248560913499</v>
      </c>
      <c r="V4" s="159">
        <v>237373</v>
      </c>
      <c r="W4" s="159">
        <v>272632</v>
      </c>
      <c r="X4" s="160">
        <f t="shared" si="4"/>
        <v>0.14853837631070099</v>
      </c>
      <c r="Y4" s="159">
        <v>364537</v>
      </c>
      <c r="Z4" s="159">
        <v>2113744</v>
      </c>
      <c r="AA4" s="160">
        <f t="shared" si="5"/>
        <v>4.7984347267904202</v>
      </c>
      <c r="AB4" s="159">
        <v>205722</v>
      </c>
      <c r="AC4" s="159">
        <v>351814</v>
      </c>
      <c r="AD4" s="160">
        <f t="shared" si="6"/>
        <v>0.710142814088916</v>
      </c>
      <c r="AE4" s="159">
        <v>570259</v>
      </c>
      <c r="AF4" s="159">
        <v>2466133</v>
      </c>
      <c r="AG4" s="160">
        <f t="shared" si="7"/>
        <v>3.3245840924913099</v>
      </c>
      <c r="AH4" s="159">
        <v>377153</v>
      </c>
      <c r="AI4" s="159">
        <v>310892</v>
      </c>
      <c r="AJ4" s="160">
        <f t="shared" si="8"/>
        <v>-0.17568732053039501</v>
      </c>
      <c r="AK4" s="159">
        <v>947412</v>
      </c>
      <c r="AL4" s="159">
        <v>2634430</v>
      </c>
      <c r="AM4" s="160">
        <f t="shared" si="9"/>
        <v>1.78065931189388</v>
      </c>
      <c r="AN4" s="159">
        <v>425201</v>
      </c>
      <c r="AO4" s="159">
        <v>351404</v>
      </c>
      <c r="AP4" s="160">
        <f t="shared" si="10"/>
        <v>-0.17355791731440001</v>
      </c>
      <c r="AQ4" s="159">
        <v>1372613</v>
      </c>
      <c r="AR4" s="159">
        <v>3128429</v>
      </c>
      <c r="AS4" s="160">
        <f t="shared" si="11"/>
        <v>1.2791777434717599</v>
      </c>
      <c r="AT4" s="159">
        <v>574651.12</v>
      </c>
      <c r="AU4" s="159">
        <v>534045</v>
      </c>
      <c r="AV4" s="160">
        <f t="shared" si="12"/>
        <v>-7.0662213274725702E-2</v>
      </c>
      <c r="AW4" s="159">
        <v>1947264.12</v>
      </c>
      <c r="AX4" s="159">
        <v>3662474</v>
      </c>
      <c r="AY4" s="160">
        <f t="shared" si="13"/>
        <v>0.88083062918039101</v>
      </c>
      <c r="AZ4" s="18" t="e">
        <f t="shared" ref="AZ4:AZ13" si="14">AX4/C4</f>
        <v>#DIV/0!</v>
      </c>
    </row>
    <row r="5" spans="1:52" ht="15" customHeight="1">
      <c r="A5" s="184"/>
      <c r="B5" s="156" t="s">
        <v>26</v>
      </c>
      <c r="C5" s="158">
        <v>12000000</v>
      </c>
      <c r="D5" s="159">
        <v>1110866.71</v>
      </c>
      <c r="E5" s="159">
        <v>802311.19</v>
      </c>
      <c r="F5" s="160">
        <f t="shared" ref="F5:F13" si="15">E5/D5-1</f>
        <v>-0.27776106460153099</v>
      </c>
      <c r="G5" s="159">
        <v>225264</v>
      </c>
      <c r="H5" s="159">
        <v>353390.48</v>
      </c>
      <c r="I5" s="160">
        <f t="shared" ref="I5:I13" si="16">H5/G5-1</f>
        <v>0.56878364940691795</v>
      </c>
      <c r="J5" s="159">
        <v>365888</v>
      </c>
      <c r="K5" s="159">
        <v>969353.65</v>
      </c>
      <c r="L5" s="160">
        <f t="shared" si="0"/>
        <v>1.64931796068742</v>
      </c>
      <c r="M5" s="159">
        <v>1702018.71</v>
      </c>
      <c r="N5" s="159">
        <v>2125055.3199999998</v>
      </c>
      <c r="O5" s="160">
        <f t="shared" si="1"/>
        <v>0.24854991752705199</v>
      </c>
      <c r="P5" s="159">
        <v>648379.44999999995</v>
      </c>
      <c r="Q5" s="159">
        <v>857787.1</v>
      </c>
      <c r="R5" s="160">
        <f t="shared" si="2"/>
        <v>0.32297083135500398</v>
      </c>
      <c r="S5" s="159">
        <v>2350398.16</v>
      </c>
      <c r="T5" s="159">
        <v>2982842.42</v>
      </c>
      <c r="U5" s="160">
        <f t="shared" si="3"/>
        <v>0.269079626917339</v>
      </c>
      <c r="V5" s="159">
        <v>639095.81000000006</v>
      </c>
      <c r="W5" s="159">
        <v>661714.03</v>
      </c>
      <c r="X5" s="160">
        <f t="shared" si="4"/>
        <v>3.5390969000407099E-2</v>
      </c>
      <c r="Y5" s="159">
        <v>2989493.97</v>
      </c>
      <c r="Z5" s="159">
        <v>3644556.45</v>
      </c>
      <c r="AA5" s="160">
        <f t="shared" si="5"/>
        <v>0.21912152577447699</v>
      </c>
      <c r="AB5" s="159">
        <v>677171.21</v>
      </c>
      <c r="AC5" s="159">
        <v>970845.98</v>
      </c>
      <c r="AD5" s="160">
        <f t="shared" si="6"/>
        <v>0.43367875902462</v>
      </c>
      <c r="AE5" s="159">
        <v>3666665.18</v>
      </c>
      <c r="AF5" s="159">
        <v>4615402.43</v>
      </c>
      <c r="AG5" s="160">
        <f t="shared" si="7"/>
        <v>0.25874662763726902</v>
      </c>
      <c r="AH5" s="159">
        <v>658308.07999999996</v>
      </c>
      <c r="AI5" s="159">
        <v>383538.42</v>
      </c>
      <c r="AJ5" s="160">
        <f t="shared" si="8"/>
        <v>-0.41738764622181102</v>
      </c>
      <c r="AK5" s="159">
        <v>4324973.26</v>
      </c>
      <c r="AL5" s="159">
        <v>4998940.8499999996</v>
      </c>
      <c r="AM5" s="160">
        <f t="shared" si="9"/>
        <v>0.155831620101161</v>
      </c>
      <c r="AN5" s="159">
        <v>452837.18</v>
      </c>
      <c r="AO5" s="159">
        <v>243092</v>
      </c>
      <c r="AP5" s="160">
        <f t="shared" si="10"/>
        <v>-0.46318012138490899</v>
      </c>
      <c r="AQ5" s="159">
        <v>4777810.4400000004</v>
      </c>
      <c r="AR5" s="159">
        <v>5242032.8499999996</v>
      </c>
      <c r="AS5" s="160">
        <f t="shared" si="11"/>
        <v>9.7162165772319606E-2</v>
      </c>
      <c r="AT5" s="159">
        <v>672163.76</v>
      </c>
      <c r="AU5" s="159">
        <v>347351.48</v>
      </c>
      <c r="AV5" s="160">
        <f t="shared" si="12"/>
        <v>-0.48323384765640998</v>
      </c>
      <c r="AW5" s="159">
        <v>5449974.2000000002</v>
      </c>
      <c r="AX5" s="159">
        <v>5589384.3300000001</v>
      </c>
      <c r="AY5" s="160">
        <f t="shared" si="13"/>
        <v>2.5579961461101901E-2</v>
      </c>
      <c r="AZ5" s="18">
        <f t="shared" si="14"/>
        <v>0.46578202749999997</v>
      </c>
    </row>
    <row r="6" spans="1:52" ht="15" customHeight="1">
      <c r="A6" s="184"/>
      <c r="B6" s="156" t="s">
        <v>27</v>
      </c>
      <c r="C6" s="158">
        <v>10000000</v>
      </c>
      <c r="D6" s="159">
        <v>578458.28</v>
      </c>
      <c r="E6" s="159">
        <v>474052</v>
      </c>
      <c r="F6" s="160">
        <f t="shared" si="15"/>
        <v>-0.180490596486924</v>
      </c>
      <c r="G6" s="159">
        <v>382921</v>
      </c>
      <c r="H6" s="159">
        <v>390891.04</v>
      </c>
      <c r="I6" s="160">
        <f t="shared" si="16"/>
        <v>2.0813797101751901E-2</v>
      </c>
      <c r="J6" s="159">
        <v>427042.28</v>
      </c>
      <c r="K6" s="159">
        <v>414836.06</v>
      </c>
      <c r="L6" s="160">
        <f t="shared" si="0"/>
        <v>-2.8583165114236499E-2</v>
      </c>
      <c r="M6" s="159">
        <v>1388421.56</v>
      </c>
      <c r="N6" s="159">
        <v>1279779.1000000001</v>
      </c>
      <c r="O6" s="160">
        <f t="shared" si="1"/>
        <v>-7.8248900139522501E-2</v>
      </c>
      <c r="P6" s="159">
        <v>399949</v>
      </c>
      <c r="Q6" s="159">
        <v>411808.08</v>
      </c>
      <c r="R6" s="160">
        <f t="shared" si="2"/>
        <v>2.9651480563771999E-2</v>
      </c>
      <c r="S6" s="159">
        <v>1788370.56</v>
      </c>
      <c r="T6" s="159">
        <v>1691587.18</v>
      </c>
      <c r="U6" s="160">
        <f t="shared" si="3"/>
        <v>-5.4118191254501603E-2</v>
      </c>
      <c r="V6" s="159">
        <v>597544</v>
      </c>
      <c r="W6" s="159">
        <v>404990</v>
      </c>
      <c r="X6" s="160">
        <f t="shared" si="4"/>
        <v>-0.32224237880390399</v>
      </c>
      <c r="Y6" s="159">
        <v>2385914.56</v>
      </c>
      <c r="Z6" s="159">
        <v>2096577.18</v>
      </c>
      <c r="AA6" s="160">
        <f t="shared" si="5"/>
        <v>-0.121268961114852</v>
      </c>
      <c r="AB6" s="159">
        <v>442447</v>
      </c>
      <c r="AC6" s="159">
        <v>273945</v>
      </c>
      <c r="AD6" s="160">
        <f t="shared" si="6"/>
        <v>-0.38084109509161501</v>
      </c>
      <c r="AE6" s="159">
        <v>2828361.56</v>
      </c>
      <c r="AF6" s="159">
        <v>2370522.1800000002</v>
      </c>
      <c r="AG6" s="160">
        <f t="shared" si="7"/>
        <v>-0.161874417498447</v>
      </c>
      <c r="AH6" s="159">
        <v>267076.26</v>
      </c>
      <c r="AI6" s="159">
        <v>314396</v>
      </c>
      <c r="AJ6" s="160">
        <f t="shared" si="8"/>
        <v>0.177176885732936</v>
      </c>
      <c r="AK6" s="159">
        <v>3095437.82</v>
      </c>
      <c r="AL6" s="159">
        <v>2684918.18</v>
      </c>
      <c r="AM6" s="160">
        <f t="shared" si="9"/>
        <v>-0.13262086459872699</v>
      </c>
      <c r="AN6" s="159">
        <v>297074.56</v>
      </c>
      <c r="AO6" s="159">
        <v>301382.59999999998</v>
      </c>
      <c r="AP6" s="160">
        <f t="shared" si="10"/>
        <v>1.4501544662727E-2</v>
      </c>
      <c r="AQ6" s="159">
        <v>3392512.38</v>
      </c>
      <c r="AR6" s="159">
        <v>2986300.78</v>
      </c>
      <c r="AS6" s="160">
        <f t="shared" si="11"/>
        <v>-0.119737691274099</v>
      </c>
      <c r="AT6" s="159">
        <v>493686.14</v>
      </c>
      <c r="AU6" s="159">
        <v>220016</v>
      </c>
      <c r="AV6" s="160">
        <f t="shared" si="12"/>
        <v>-0.55434033452914</v>
      </c>
      <c r="AW6" s="159">
        <v>3886198.52</v>
      </c>
      <c r="AX6" s="159">
        <v>3206316.78</v>
      </c>
      <c r="AY6" s="160">
        <f t="shared" si="13"/>
        <v>-0.174947763605242</v>
      </c>
      <c r="AZ6" s="18">
        <f t="shared" si="14"/>
        <v>0.32063167799999998</v>
      </c>
    </row>
    <row r="7" spans="1:52" s="153" customFormat="1" ht="15" customHeight="1">
      <c r="A7" s="184"/>
      <c r="B7" s="161" t="s">
        <v>28</v>
      </c>
      <c r="C7" s="162">
        <f>SUM(C3:C6)</f>
        <v>65500000</v>
      </c>
      <c r="D7" s="163">
        <f>SUM(D3:D6)</f>
        <v>3510051.46</v>
      </c>
      <c r="E7" s="163">
        <f t="shared" ref="E7:H7" si="17">SUM(E3:E6)</f>
        <v>4057031.11</v>
      </c>
      <c r="F7" s="164">
        <f t="shared" si="15"/>
        <v>0.155832373466114</v>
      </c>
      <c r="G7" s="163">
        <f t="shared" si="17"/>
        <v>1273817</v>
      </c>
      <c r="H7" s="163">
        <f t="shared" si="17"/>
        <v>3261355.55</v>
      </c>
      <c r="I7" s="164">
        <f t="shared" si="16"/>
        <v>1.5603014797258901</v>
      </c>
      <c r="J7" s="163">
        <f t="shared" ref="J7:N7" si="18">SUM(J3:J6)</f>
        <v>3128159.83</v>
      </c>
      <c r="K7" s="163">
        <f t="shared" si="18"/>
        <v>4977168.08</v>
      </c>
      <c r="L7" s="164">
        <f t="shared" si="0"/>
        <v>0.59108496703635505</v>
      </c>
      <c r="M7" s="163">
        <f t="shared" si="18"/>
        <v>7912028.29</v>
      </c>
      <c r="N7" s="163">
        <f t="shared" si="18"/>
        <v>12295554.74</v>
      </c>
      <c r="O7" s="164">
        <f t="shared" si="1"/>
        <v>0.55403321238630199</v>
      </c>
      <c r="P7" s="163">
        <f t="shared" ref="P7:T7" si="19">SUM(P3:P6)</f>
        <v>4108429.29</v>
      </c>
      <c r="Q7" s="163">
        <f t="shared" si="19"/>
        <v>5147099.37</v>
      </c>
      <c r="R7" s="164">
        <f t="shared" si="2"/>
        <v>0.25281439856544302</v>
      </c>
      <c r="S7" s="163">
        <f t="shared" si="19"/>
        <v>12020457.58</v>
      </c>
      <c r="T7" s="163">
        <f t="shared" si="19"/>
        <v>17442654.109999999</v>
      </c>
      <c r="U7" s="164">
        <f t="shared" si="3"/>
        <v>0.45108070919210402</v>
      </c>
      <c r="V7" s="163">
        <f t="shared" ref="V7:Z7" si="20">SUM(V3:V6)</f>
        <v>4228141.08</v>
      </c>
      <c r="W7" s="163">
        <f t="shared" si="20"/>
        <v>4307065.75</v>
      </c>
      <c r="X7" s="164">
        <f t="shared" si="4"/>
        <v>1.8666517627174299E-2</v>
      </c>
      <c r="Y7" s="163">
        <f t="shared" si="20"/>
        <v>16248598.66</v>
      </c>
      <c r="Z7" s="163">
        <f t="shared" si="20"/>
        <v>21809719.859999999</v>
      </c>
      <c r="AA7" s="164">
        <f t="shared" si="5"/>
        <v>0.34225235765654599</v>
      </c>
      <c r="AB7" s="163">
        <f t="shared" ref="AB7:AF7" si="21">SUM(AB3:AB6)</f>
        <v>5159843.7</v>
      </c>
      <c r="AC7" s="163">
        <f t="shared" si="21"/>
        <v>5340705.97</v>
      </c>
      <c r="AD7" s="164">
        <f t="shared" si="6"/>
        <v>3.5051889265560701E-2</v>
      </c>
      <c r="AE7" s="163">
        <f t="shared" si="21"/>
        <v>21408442.359999999</v>
      </c>
      <c r="AF7" s="163">
        <f t="shared" si="21"/>
        <v>27150425.829999998</v>
      </c>
      <c r="AG7" s="164">
        <f t="shared" si="7"/>
        <v>0.26821117451909698</v>
      </c>
      <c r="AH7" s="163">
        <f t="shared" ref="AH7:AL7" si="22">SUM(AH3:AH6)</f>
        <v>3406882.58</v>
      </c>
      <c r="AI7" s="163">
        <f t="shared" si="22"/>
        <v>3359896.2</v>
      </c>
      <c r="AJ7" s="164">
        <f t="shared" si="8"/>
        <v>-1.3791605344966301E-2</v>
      </c>
      <c r="AK7" s="163">
        <f t="shared" si="22"/>
        <v>24815324.940000001</v>
      </c>
      <c r="AL7" s="163">
        <f t="shared" si="22"/>
        <v>30367727.030000001</v>
      </c>
      <c r="AM7" s="164">
        <f t="shared" si="9"/>
        <v>0.223748917389756</v>
      </c>
      <c r="AN7" s="163">
        <f t="shared" ref="AN7:AR7" si="23">SUM(AN3:AN6)</f>
        <v>3105327.1</v>
      </c>
      <c r="AO7" s="163">
        <f t="shared" si="23"/>
        <v>2737766.25</v>
      </c>
      <c r="AP7" s="164">
        <f t="shared" si="10"/>
        <v>-0.11836461608182899</v>
      </c>
      <c r="AQ7" s="163">
        <f t="shared" si="23"/>
        <v>27920652.039999999</v>
      </c>
      <c r="AR7" s="163">
        <f t="shared" si="23"/>
        <v>33248088.280000001</v>
      </c>
      <c r="AS7" s="164">
        <f t="shared" si="11"/>
        <v>0.19080629751653899</v>
      </c>
      <c r="AT7" s="163">
        <f t="shared" ref="AT7:AX7" si="24">SUM(AT3:AT6)</f>
        <v>4668881.3600000003</v>
      </c>
      <c r="AU7" s="163">
        <f t="shared" si="24"/>
        <v>2766778.01</v>
      </c>
      <c r="AV7" s="164">
        <f t="shared" si="12"/>
        <v>-0.40740023216182097</v>
      </c>
      <c r="AW7" s="163">
        <f t="shared" si="24"/>
        <v>32589533.399999999</v>
      </c>
      <c r="AX7" s="163">
        <f t="shared" si="24"/>
        <v>36014866.289999999</v>
      </c>
      <c r="AY7" s="164">
        <f t="shared" si="13"/>
        <v>0.10510530629444401</v>
      </c>
      <c r="AZ7" s="18">
        <f t="shared" si="14"/>
        <v>0.54984528687022904</v>
      </c>
    </row>
    <row r="8" spans="1:52" ht="15" customHeight="1">
      <c r="A8" s="184"/>
      <c r="B8" s="156" t="s">
        <v>29</v>
      </c>
      <c r="C8" s="158">
        <v>18000000</v>
      </c>
      <c r="D8" s="159">
        <v>757967.7</v>
      </c>
      <c r="E8" s="159">
        <v>1042811.5</v>
      </c>
      <c r="F8" s="160">
        <f t="shared" si="15"/>
        <v>0.37579939092391401</v>
      </c>
      <c r="G8" s="159">
        <v>650701</v>
      </c>
      <c r="H8" s="159">
        <v>654682.86</v>
      </c>
      <c r="I8" s="160">
        <f t="shared" si="16"/>
        <v>6.1193389897971099E-3</v>
      </c>
      <c r="J8" s="159">
        <v>834107.08</v>
      </c>
      <c r="K8" s="159">
        <v>1262815.5</v>
      </c>
      <c r="L8" s="160">
        <f t="shared" si="0"/>
        <v>0.51397288223473703</v>
      </c>
      <c r="M8" s="159">
        <v>2242775.7799999998</v>
      </c>
      <c r="N8" s="159">
        <v>2979548.1</v>
      </c>
      <c r="O8" s="160">
        <f t="shared" si="1"/>
        <v>0.32850912987833297</v>
      </c>
      <c r="P8" s="159">
        <v>1174295.3999999999</v>
      </c>
      <c r="Q8" s="159">
        <v>591900.56000000006</v>
      </c>
      <c r="R8" s="160">
        <f t="shared" si="2"/>
        <v>-0.495952585695218</v>
      </c>
      <c r="S8" s="159">
        <v>3417071.18</v>
      </c>
      <c r="T8" s="159">
        <v>3571448.66</v>
      </c>
      <c r="U8" s="160">
        <f t="shared" si="3"/>
        <v>4.5178303836210999E-2</v>
      </c>
      <c r="V8" s="159">
        <v>841508.5</v>
      </c>
      <c r="W8" s="159">
        <v>1004931.65</v>
      </c>
      <c r="X8" s="160">
        <f t="shared" si="4"/>
        <v>0.19420261352083801</v>
      </c>
      <c r="Y8" s="159">
        <v>4258579.68</v>
      </c>
      <c r="Z8" s="159">
        <v>4576380.3099999996</v>
      </c>
      <c r="AA8" s="160">
        <f t="shared" si="5"/>
        <v>7.4625967782760802E-2</v>
      </c>
      <c r="AB8" s="159">
        <v>1079235.6000000001</v>
      </c>
      <c r="AC8" s="159">
        <v>1526485.73</v>
      </c>
      <c r="AD8" s="160">
        <f t="shared" si="6"/>
        <v>0.41441380362174801</v>
      </c>
      <c r="AE8" s="159">
        <v>5337815.28</v>
      </c>
      <c r="AF8" s="159">
        <v>6102866.04</v>
      </c>
      <c r="AG8" s="160">
        <f t="shared" si="7"/>
        <v>0.14332657086627401</v>
      </c>
      <c r="AH8" s="159">
        <v>767814</v>
      </c>
      <c r="AI8" s="159">
        <v>1057782.99</v>
      </c>
      <c r="AJ8" s="160">
        <f t="shared" si="8"/>
        <v>0.37765525244395098</v>
      </c>
      <c r="AK8" s="159">
        <v>6105629.2800000003</v>
      </c>
      <c r="AL8" s="159">
        <v>7161333.9299999997</v>
      </c>
      <c r="AM8" s="160">
        <f t="shared" si="9"/>
        <v>0.172906772027272</v>
      </c>
      <c r="AN8" s="159">
        <v>611076.9</v>
      </c>
      <c r="AO8" s="159">
        <v>976642.51</v>
      </c>
      <c r="AP8" s="160">
        <f t="shared" si="10"/>
        <v>0.59823176101076603</v>
      </c>
      <c r="AQ8" s="159">
        <v>6716706.1799999997</v>
      </c>
      <c r="AR8" s="159">
        <v>8137976.4400000004</v>
      </c>
      <c r="AS8" s="160">
        <f t="shared" si="11"/>
        <v>0.21160226782467401</v>
      </c>
      <c r="AT8" s="159">
        <v>1467492.09</v>
      </c>
      <c r="AU8" s="159">
        <v>781228.93</v>
      </c>
      <c r="AV8" s="160">
        <f t="shared" si="12"/>
        <v>-0.46764351554358302</v>
      </c>
      <c r="AW8" s="159">
        <v>8184198.2699999996</v>
      </c>
      <c r="AX8" s="159">
        <v>8919205.3699999992</v>
      </c>
      <c r="AY8" s="160">
        <f t="shared" si="13"/>
        <v>8.9808075971747003E-2</v>
      </c>
      <c r="AZ8" s="18">
        <f t="shared" si="14"/>
        <v>0.495511409444444</v>
      </c>
    </row>
    <row r="9" spans="1:52" ht="15" customHeight="1">
      <c r="A9" s="184"/>
      <c r="B9" s="156" t="s">
        <v>30</v>
      </c>
      <c r="C9" s="158">
        <v>13000000</v>
      </c>
      <c r="D9" s="159">
        <v>987273</v>
      </c>
      <c r="E9" s="159">
        <v>979673.76</v>
      </c>
      <c r="F9" s="160">
        <f t="shared" si="15"/>
        <v>-7.6972022935905002E-3</v>
      </c>
      <c r="G9" s="159">
        <v>496989.73</v>
      </c>
      <c r="H9" s="159">
        <v>426348.02</v>
      </c>
      <c r="I9" s="160">
        <f t="shared" si="16"/>
        <v>-0.14213917458616299</v>
      </c>
      <c r="J9" s="159">
        <v>704817.31</v>
      </c>
      <c r="K9" s="159">
        <v>895972.45</v>
      </c>
      <c r="L9" s="160">
        <f t="shared" si="0"/>
        <v>0.27121232309121401</v>
      </c>
      <c r="M9" s="159">
        <v>2189080.04</v>
      </c>
      <c r="N9" s="159">
        <v>2301994.23</v>
      </c>
      <c r="O9" s="160">
        <f t="shared" si="1"/>
        <v>5.1580658512605099E-2</v>
      </c>
      <c r="P9" s="159">
        <v>634914</v>
      </c>
      <c r="Q9" s="159">
        <v>940883.01</v>
      </c>
      <c r="R9" s="160">
        <f t="shared" si="2"/>
        <v>0.48190622667006899</v>
      </c>
      <c r="S9" s="159">
        <v>2823994.04</v>
      </c>
      <c r="T9" s="159">
        <v>3242877.24</v>
      </c>
      <c r="U9" s="160">
        <f t="shared" si="3"/>
        <v>0.14833005809034899</v>
      </c>
      <c r="V9" s="159">
        <v>730473.41</v>
      </c>
      <c r="W9" s="159">
        <v>967383.15</v>
      </c>
      <c r="X9" s="160">
        <f t="shared" si="4"/>
        <v>0.32432356435807802</v>
      </c>
      <c r="Y9" s="159">
        <v>3554467.45</v>
      </c>
      <c r="Z9" s="159">
        <v>4210260.3899999997</v>
      </c>
      <c r="AA9" s="160">
        <f t="shared" si="5"/>
        <v>0.18449822630954199</v>
      </c>
      <c r="AB9" s="159">
        <v>396701.38</v>
      </c>
      <c r="AC9" s="159">
        <v>995385.52</v>
      </c>
      <c r="AD9" s="160">
        <f t="shared" si="6"/>
        <v>1.50915567775439</v>
      </c>
      <c r="AE9" s="159">
        <v>3951168.83</v>
      </c>
      <c r="AF9" s="159">
        <v>5205645.91</v>
      </c>
      <c r="AG9" s="160">
        <f t="shared" si="7"/>
        <v>0.317495185342409</v>
      </c>
      <c r="AH9" s="159">
        <v>528805.98</v>
      </c>
      <c r="AI9" s="159">
        <v>665570.61</v>
      </c>
      <c r="AJ9" s="160">
        <f t="shared" si="8"/>
        <v>0.25862912896711199</v>
      </c>
      <c r="AK9" s="159">
        <v>4479974.8099999996</v>
      </c>
      <c r="AL9" s="159">
        <v>5871216.5199999996</v>
      </c>
      <c r="AM9" s="160">
        <f t="shared" si="9"/>
        <v>0.31054677068597197</v>
      </c>
      <c r="AN9" s="159">
        <v>747759.2</v>
      </c>
      <c r="AO9" s="159">
        <v>600199.76</v>
      </c>
      <c r="AP9" s="160">
        <f t="shared" si="10"/>
        <v>-0.197335505868734</v>
      </c>
      <c r="AQ9" s="159">
        <v>5227734.01</v>
      </c>
      <c r="AR9" s="159">
        <v>6471416.2800000003</v>
      </c>
      <c r="AS9" s="160">
        <f t="shared" si="11"/>
        <v>0.23790083191321401</v>
      </c>
      <c r="AT9" s="159">
        <v>1304515.76</v>
      </c>
      <c r="AU9" s="159">
        <v>463720.7</v>
      </c>
      <c r="AV9" s="160">
        <f t="shared" si="12"/>
        <v>-0.64452656363461602</v>
      </c>
      <c r="AW9" s="159">
        <v>6532249.7699999996</v>
      </c>
      <c r="AX9" s="159">
        <v>6935136.9800000004</v>
      </c>
      <c r="AY9" s="160">
        <f t="shared" si="13"/>
        <v>6.1676638858835502E-2</v>
      </c>
      <c r="AZ9" s="18">
        <f t="shared" si="14"/>
        <v>0.53347207538461505</v>
      </c>
    </row>
    <row r="10" spans="1:52" ht="15" customHeight="1">
      <c r="A10" s="184"/>
      <c r="B10" s="161" t="s">
        <v>31</v>
      </c>
      <c r="C10" s="165">
        <f>SUM(C7:C9)</f>
        <v>96500000</v>
      </c>
      <c r="D10" s="166">
        <f>SUM(D7:D9)</f>
        <v>5255292.16</v>
      </c>
      <c r="E10" s="166">
        <f t="shared" ref="E10:H10" si="25">SUM(E7:E9)</f>
        <v>6079516.3700000001</v>
      </c>
      <c r="F10" s="164">
        <f t="shared" si="15"/>
        <v>0.15683699115217201</v>
      </c>
      <c r="G10" s="166">
        <f t="shared" si="25"/>
        <v>2421507.73</v>
      </c>
      <c r="H10" s="166">
        <f t="shared" si="25"/>
        <v>4342386.43</v>
      </c>
      <c r="I10" s="164">
        <f t="shared" si="16"/>
        <v>0.79325730667810002</v>
      </c>
      <c r="J10" s="166">
        <f t="shared" ref="J10:N10" si="26">SUM(J7:J9)</f>
        <v>4667084.22</v>
      </c>
      <c r="K10" s="166">
        <f t="shared" si="26"/>
        <v>7135956.0300000003</v>
      </c>
      <c r="L10" s="164">
        <f t="shared" si="0"/>
        <v>0.52899662693466398</v>
      </c>
      <c r="M10" s="166">
        <f t="shared" si="26"/>
        <v>12343884.109999999</v>
      </c>
      <c r="N10" s="166">
        <f t="shared" si="26"/>
        <v>17577097.07</v>
      </c>
      <c r="O10" s="164">
        <f t="shared" si="1"/>
        <v>0.423951886891135</v>
      </c>
      <c r="P10" s="166">
        <f t="shared" ref="P10:T10" si="27">SUM(P7:P9)</f>
        <v>5917638.6900000004</v>
      </c>
      <c r="Q10" s="166">
        <f t="shared" si="27"/>
        <v>6679882.9400000004</v>
      </c>
      <c r="R10" s="164">
        <f t="shared" si="2"/>
        <v>0.12880885264051201</v>
      </c>
      <c r="S10" s="166">
        <f t="shared" si="27"/>
        <v>18261522.800000001</v>
      </c>
      <c r="T10" s="166">
        <f t="shared" si="27"/>
        <v>24256980.010000002</v>
      </c>
      <c r="U10" s="164">
        <f t="shared" si="3"/>
        <v>0.32831091227506998</v>
      </c>
      <c r="V10" s="166">
        <f t="shared" ref="V10:Z10" si="28">SUM(V7:V9)</f>
        <v>5800122.9900000002</v>
      </c>
      <c r="W10" s="166">
        <f t="shared" si="28"/>
        <v>6279380.5499999998</v>
      </c>
      <c r="X10" s="164">
        <f t="shared" si="4"/>
        <v>8.2628861633846196E-2</v>
      </c>
      <c r="Y10" s="166">
        <f t="shared" si="28"/>
        <v>24061645.789999999</v>
      </c>
      <c r="Z10" s="166">
        <f t="shared" si="28"/>
        <v>30596360.559999999</v>
      </c>
      <c r="AA10" s="164">
        <f t="shared" si="5"/>
        <v>0.27158220293957702</v>
      </c>
      <c r="AB10" s="166">
        <f t="shared" ref="AB10:AF10" si="29">SUM(AB7:AB9)</f>
        <v>6635780.6799999997</v>
      </c>
      <c r="AC10" s="166">
        <f t="shared" si="29"/>
        <v>7862577.2199999997</v>
      </c>
      <c r="AD10" s="164">
        <f t="shared" si="6"/>
        <v>0.184875992616441</v>
      </c>
      <c r="AE10" s="166">
        <f t="shared" si="29"/>
        <v>30697426.469999999</v>
      </c>
      <c r="AF10" s="166">
        <f t="shared" si="29"/>
        <v>38458937.780000001</v>
      </c>
      <c r="AG10" s="164">
        <f t="shared" si="7"/>
        <v>0.25283915306663202</v>
      </c>
      <c r="AH10" s="166">
        <f t="shared" ref="AH10:AL10" si="30">SUM(AH7:AH9)</f>
        <v>4703502.5599999996</v>
      </c>
      <c r="AI10" s="166">
        <f t="shared" si="30"/>
        <v>5083249.8</v>
      </c>
      <c r="AJ10" s="164">
        <f t="shared" si="8"/>
        <v>8.0737117744866096E-2</v>
      </c>
      <c r="AK10" s="166">
        <f t="shared" si="30"/>
        <v>35400929.030000001</v>
      </c>
      <c r="AL10" s="166">
        <f t="shared" si="30"/>
        <v>43400277.479999997</v>
      </c>
      <c r="AM10" s="164">
        <f t="shared" si="9"/>
        <v>0.22596436503745601</v>
      </c>
      <c r="AN10" s="166">
        <f t="shared" ref="AN10:AR10" si="31">SUM(AN7:AN9)</f>
        <v>4464163.2</v>
      </c>
      <c r="AO10" s="166">
        <f t="shared" si="31"/>
        <v>4314608.5199999996</v>
      </c>
      <c r="AP10" s="164">
        <f t="shared" si="10"/>
        <v>-3.35011676992455E-2</v>
      </c>
      <c r="AQ10" s="166">
        <f t="shared" si="31"/>
        <v>39865092.229999997</v>
      </c>
      <c r="AR10" s="166">
        <f t="shared" si="31"/>
        <v>47857481</v>
      </c>
      <c r="AS10" s="164">
        <f t="shared" si="11"/>
        <v>0.200485896881619</v>
      </c>
      <c r="AT10" s="166">
        <f t="shared" ref="AT10:AX10" si="32">SUM(AT7:AT9)</f>
        <v>7440889.21</v>
      </c>
      <c r="AU10" s="166">
        <f t="shared" si="32"/>
        <v>4011727.64</v>
      </c>
      <c r="AV10" s="164">
        <f t="shared" si="12"/>
        <v>-0.46085373309838601</v>
      </c>
      <c r="AW10" s="166">
        <f t="shared" si="32"/>
        <v>47305981.439999998</v>
      </c>
      <c r="AX10" s="166">
        <f t="shared" si="32"/>
        <v>51869208.640000001</v>
      </c>
      <c r="AY10" s="164">
        <f t="shared" si="13"/>
        <v>9.6461949654035095E-2</v>
      </c>
      <c r="AZ10" s="18">
        <f t="shared" si="14"/>
        <v>0.53750475274611398</v>
      </c>
    </row>
    <row r="11" spans="1:52" ht="15" customHeight="1">
      <c r="A11" s="155" t="s">
        <v>32</v>
      </c>
      <c r="B11" s="156" t="s">
        <v>33</v>
      </c>
      <c r="C11" s="158">
        <v>26000000</v>
      </c>
      <c r="D11" s="159">
        <v>1971859.46</v>
      </c>
      <c r="E11" s="159">
        <v>1683228.28</v>
      </c>
      <c r="F11" s="160">
        <f t="shared" si="15"/>
        <v>-0.14637512756613999</v>
      </c>
      <c r="G11" s="159">
        <v>862585.12</v>
      </c>
      <c r="H11" s="159">
        <v>832659.54</v>
      </c>
      <c r="I11" s="160">
        <f t="shared" si="16"/>
        <v>-3.46929008003291E-2</v>
      </c>
      <c r="J11" s="159">
        <v>1454016.01</v>
      </c>
      <c r="K11" s="159">
        <v>2188918.41</v>
      </c>
      <c r="L11" s="160">
        <f t="shared" si="0"/>
        <v>0.50542937281687905</v>
      </c>
      <c r="M11" s="159">
        <v>4288460.59</v>
      </c>
      <c r="N11" s="159">
        <v>4704806.2300000004</v>
      </c>
      <c r="O11" s="160">
        <f t="shared" si="1"/>
        <v>9.7085103445010396E-2</v>
      </c>
      <c r="P11" s="159">
        <v>1189993.77</v>
      </c>
      <c r="Q11" s="159">
        <v>1508708.25</v>
      </c>
      <c r="R11" s="160">
        <f t="shared" si="2"/>
        <v>0.26782869627964501</v>
      </c>
      <c r="S11" s="159">
        <v>5478454.3600000003</v>
      </c>
      <c r="T11" s="159">
        <v>6213514.4800000004</v>
      </c>
      <c r="U11" s="160">
        <f t="shared" si="3"/>
        <v>0.13417290200807699</v>
      </c>
      <c r="V11" s="159">
        <v>1649605.21</v>
      </c>
      <c r="W11" s="159">
        <v>1736224.19</v>
      </c>
      <c r="X11" s="160">
        <f t="shared" si="4"/>
        <v>5.2508915148249402E-2</v>
      </c>
      <c r="Y11" s="159">
        <v>7128059.5700000003</v>
      </c>
      <c r="Z11" s="159">
        <v>7949738.6699999999</v>
      </c>
      <c r="AA11" s="160">
        <f t="shared" si="5"/>
        <v>0.11527388231409</v>
      </c>
      <c r="AB11" s="159">
        <v>1202502.8400000001</v>
      </c>
      <c r="AC11" s="159">
        <v>2136560.09</v>
      </c>
      <c r="AD11" s="160">
        <f t="shared" si="6"/>
        <v>0.77676095135043499</v>
      </c>
      <c r="AE11" s="159">
        <v>8330562.4100000001</v>
      </c>
      <c r="AF11" s="159">
        <v>10086298.76</v>
      </c>
      <c r="AG11" s="160">
        <f t="shared" si="7"/>
        <v>0.21075844145797601</v>
      </c>
      <c r="AH11" s="159">
        <v>1775233.87</v>
      </c>
      <c r="AI11" s="159">
        <v>1520600.24</v>
      </c>
      <c r="AJ11" s="160">
        <f t="shared" si="8"/>
        <v>-0.14343666730513699</v>
      </c>
      <c r="AK11" s="159">
        <v>10105796.279999999</v>
      </c>
      <c r="AL11" s="159">
        <v>11606899</v>
      </c>
      <c r="AM11" s="160">
        <f t="shared" si="9"/>
        <v>0.14853878689112099</v>
      </c>
      <c r="AN11" s="159">
        <v>1110802.6000000001</v>
      </c>
      <c r="AO11" s="159">
        <v>748570.86</v>
      </c>
      <c r="AP11" s="160">
        <f t="shared" si="10"/>
        <v>-0.32609911067907099</v>
      </c>
      <c r="AQ11" s="159">
        <v>11216598.880000001</v>
      </c>
      <c r="AR11" s="159">
        <v>12355469.859999999</v>
      </c>
      <c r="AS11" s="160">
        <f t="shared" si="11"/>
        <v>0.101534430551019</v>
      </c>
      <c r="AT11" s="159">
        <v>2053571.01</v>
      </c>
      <c r="AU11" s="159">
        <v>1180401.6499999999</v>
      </c>
      <c r="AV11" s="160">
        <f t="shared" si="12"/>
        <v>-0.42519560110073801</v>
      </c>
      <c r="AW11" s="159">
        <v>13270169.890000001</v>
      </c>
      <c r="AX11" s="159">
        <v>13535871.51</v>
      </c>
      <c r="AY11" s="160">
        <f t="shared" si="13"/>
        <v>2.00224731260015E-2</v>
      </c>
      <c r="AZ11" s="18">
        <f t="shared" si="14"/>
        <v>0.52061044269230805</v>
      </c>
    </row>
    <row r="12" spans="1:52" ht="15" customHeight="1">
      <c r="A12" s="155" t="s">
        <v>34</v>
      </c>
      <c r="B12" s="156" t="s">
        <v>35</v>
      </c>
      <c r="C12" s="158">
        <v>15700000</v>
      </c>
      <c r="D12" s="159">
        <v>1223845.6000000001</v>
      </c>
      <c r="E12" s="159">
        <v>595578.30000000005</v>
      </c>
      <c r="F12" s="160">
        <f t="shared" si="15"/>
        <v>-0.51335503432786</v>
      </c>
      <c r="G12" s="159">
        <v>355310.4</v>
      </c>
      <c r="H12" s="159">
        <v>470333.56</v>
      </c>
      <c r="I12" s="160">
        <f t="shared" si="16"/>
        <v>0.323725846471142</v>
      </c>
      <c r="J12" s="159">
        <v>756633.2</v>
      </c>
      <c r="K12" s="159">
        <v>1014927.78</v>
      </c>
      <c r="L12" s="160">
        <f t="shared" si="0"/>
        <v>0.34137357440831301</v>
      </c>
      <c r="M12" s="159">
        <v>2335789.2000000002</v>
      </c>
      <c r="N12" s="159">
        <v>2080839.64</v>
      </c>
      <c r="O12" s="160">
        <f t="shared" si="1"/>
        <v>-0.109149216033707</v>
      </c>
      <c r="P12" s="159">
        <v>683687.2</v>
      </c>
      <c r="Q12" s="159">
        <v>937105.26</v>
      </c>
      <c r="R12" s="160">
        <f t="shared" si="2"/>
        <v>0.37066374798299601</v>
      </c>
      <c r="S12" s="159">
        <v>3019476.4</v>
      </c>
      <c r="T12" s="159">
        <v>3017944.9</v>
      </c>
      <c r="U12" s="160">
        <f t="shared" si="3"/>
        <v>-5.0720714359620001E-4</v>
      </c>
      <c r="V12" s="159">
        <v>541949.88</v>
      </c>
      <c r="W12" s="159">
        <v>706896</v>
      </c>
      <c r="X12" s="160">
        <f t="shared" si="4"/>
        <v>0.30435677926527099</v>
      </c>
      <c r="Y12" s="159">
        <v>3561426.28</v>
      </c>
      <c r="Z12" s="159">
        <v>3724840.9</v>
      </c>
      <c r="AA12" s="160">
        <f t="shared" si="5"/>
        <v>4.58845999193336E-2</v>
      </c>
      <c r="AB12" s="159">
        <v>565078.80000000005</v>
      </c>
      <c r="AC12" s="159">
        <v>1078704.8799999999</v>
      </c>
      <c r="AD12" s="160">
        <f t="shared" si="6"/>
        <v>0.90894593815942104</v>
      </c>
      <c r="AE12" s="159">
        <v>4126505.08</v>
      </c>
      <c r="AF12" s="159">
        <v>4801339.78</v>
      </c>
      <c r="AG12" s="160">
        <f t="shared" si="7"/>
        <v>0.163536621648846</v>
      </c>
      <c r="AH12" s="159">
        <v>611348.06000000006</v>
      </c>
      <c r="AI12" s="159">
        <v>1116779.6599999999</v>
      </c>
      <c r="AJ12" s="160">
        <f t="shared" si="8"/>
        <v>0.82674933163278497</v>
      </c>
      <c r="AK12" s="159">
        <v>4737853.1399999997</v>
      </c>
      <c r="AL12" s="159">
        <v>5918119.4400000004</v>
      </c>
      <c r="AM12" s="160">
        <f t="shared" si="9"/>
        <v>0.24911415890784699</v>
      </c>
      <c r="AN12" s="159">
        <v>565935</v>
      </c>
      <c r="AO12" s="159">
        <v>529250</v>
      </c>
      <c r="AP12" s="160">
        <f t="shared" si="10"/>
        <v>-6.4821931847296899E-2</v>
      </c>
      <c r="AQ12" s="159">
        <v>5303788.1399999997</v>
      </c>
      <c r="AR12" s="159">
        <v>6448660.4400000004</v>
      </c>
      <c r="AS12" s="160">
        <f t="shared" si="11"/>
        <v>0.215859357459177</v>
      </c>
      <c r="AT12" s="159">
        <v>1201478.6399999999</v>
      </c>
      <c r="AU12" s="159">
        <v>574943.16</v>
      </c>
      <c r="AV12" s="160">
        <f t="shared" si="12"/>
        <v>-0.52147034424182503</v>
      </c>
      <c r="AW12" s="159">
        <v>6505266.7800000003</v>
      </c>
      <c r="AX12" s="159">
        <v>7023603.5999999996</v>
      </c>
      <c r="AY12" s="160">
        <f t="shared" si="13"/>
        <v>7.9679563887155205E-2</v>
      </c>
      <c r="AZ12" s="18">
        <f t="shared" si="14"/>
        <v>0.44736328662420399</v>
      </c>
    </row>
    <row r="13" spans="1:52" s="153" customFormat="1" ht="15" customHeight="1">
      <c r="A13" s="185" t="s">
        <v>36</v>
      </c>
      <c r="B13" s="185"/>
      <c r="C13" s="162">
        <f>SUM(C10:C12)</f>
        <v>138200000</v>
      </c>
      <c r="D13" s="161">
        <f>SUM(D10:D12)</f>
        <v>8450997.2200000007</v>
      </c>
      <c r="E13" s="161">
        <f t="shared" ref="E13:H13" si="33">SUM(E10:E12)</f>
        <v>8358322.9500000002</v>
      </c>
      <c r="F13" s="164">
        <f t="shared" si="15"/>
        <v>-1.09660750781789E-2</v>
      </c>
      <c r="G13" s="161">
        <f t="shared" si="33"/>
        <v>3639403.25</v>
      </c>
      <c r="H13" s="161">
        <f t="shared" si="33"/>
        <v>5645379.5300000003</v>
      </c>
      <c r="I13" s="164">
        <f t="shared" si="16"/>
        <v>0.55118274678685297</v>
      </c>
      <c r="J13" s="161">
        <f t="shared" ref="J13:N13" si="34">SUM(J10:J12)</f>
        <v>6877733.4299999997</v>
      </c>
      <c r="K13" s="161">
        <f t="shared" si="34"/>
        <v>10339802.220000001</v>
      </c>
      <c r="L13" s="164">
        <f t="shared" si="0"/>
        <v>0.50337350600108999</v>
      </c>
      <c r="M13" s="161">
        <f t="shared" si="34"/>
        <v>18968133.899999999</v>
      </c>
      <c r="N13" s="161">
        <f t="shared" si="34"/>
        <v>24362742.940000001</v>
      </c>
      <c r="O13" s="164">
        <f t="shared" si="1"/>
        <v>0.28440378312597198</v>
      </c>
      <c r="P13" s="161">
        <f t="shared" ref="P13:T13" si="35">SUM(P10:P12)</f>
        <v>7791319.6600000001</v>
      </c>
      <c r="Q13" s="161">
        <f t="shared" si="35"/>
        <v>9125696.4499999993</v>
      </c>
      <c r="R13" s="164">
        <f t="shared" si="2"/>
        <v>0.17126454159628199</v>
      </c>
      <c r="S13" s="161">
        <f t="shared" si="35"/>
        <v>26759453.559999999</v>
      </c>
      <c r="T13" s="161">
        <f t="shared" si="35"/>
        <v>33488439.390000001</v>
      </c>
      <c r="U13" s="164">
        <f t="shared" si="3"/>
        <v>0.25146200444311301</v>
      </c>
      <c r="V13" s="161">
        <f t="shared" ref="V13:Z13" si="36">SUM(V10:V12)</f>
        <v>7991678.0800000001</v>
      </c>
      <c r="W13" s="161">
        <f t="shared" si="36"/>
        <v>8722500.7400000002</v>
      </c>
      <c r="X13" s="164">
        <f t="shared" si="4"/>
        <v>9.1447960326249703E-2</v>
      </c>
      <c r="Y13" s="161">
        <f t="shared" si="36"/>
        <v>34751131.640000001</v>
      </c>
      <c r="Z13" s="161">
        <f t="shared" si="36"/>
        <v>42270940.130000003</v>
      </c>
      <c r="AA13" s="164">
        <f t="shared" si="5"/>
        <v>0.21639031982901999</v>
      </c>
      <c r="AB13" s="161">
        <f t="shared" ref="AB13:AF13" si="37">SUM(AB10:AB12)</f>
        <v>8403362.3200000003</v>
      </c>
      <c r="AC13" s="161">
        <f t="shared" si="37"/>
        <v>11077842.189999999</v>
      </c>
      <c r="AD13" s="164">
        <f t="shared" si="6"/>
        <v>0.31826306758602302</v>
      </c>
      <c r="AE13" s="161">
        <f t="shared" si="37"/>
        <v>43154493.960000001</v>
      </c>
      <c r="AF13" s="161">
        <f t="shared" si="37"/>
        <v>53346576.32</v>
      </c>
      <c r="AG13" s="164">
        <f t="shared" si="7"/>
        <v>0.23617661626265599</v>
      </c>
      <c r="AH13" s="161">
        <f t="shared" ref="AH13:AL13" si="38">SUM(AH10:AH12)</f>
        <v>7090084.4900000002</v>
      </c>
      <c r="AI13" s="161">
        <f t="shared" si="38"/>
        <v>7720629.7000000002</v>
      </c>
      <c r="AJ13" s="164">
        <f t="shared" si="8"/>
        <v>8.8933384487777795E-2</v>
      </c>
      <c r="AK13" s="161">
        <f t="shared" si="38"/>
        <v>50244578.450000003</v>
      </c>
      <c r="AL13" s="161">
        <f t="shared" si="38"/>
        <v>60925295.920000002</v>
      </c>
      <c r="AM13" s="164">
        <f t="shared" si="9"/>
        <v>0.21257452643629501</v>
      </c>
      <c r="AN13" s="161">
        <f t="shared" ref="AN13:AR13" si="39">SUM(AN10:AN12)</f>
        <v>6140900.7999999998</v>
      </c>
      <c r="AO13" s="161">
        <f t="shared" si="39"/>
        <v>5592429.3799999999</v>
      </c>
      <c r="AP13" s="164">
        <f t="shared" si="10"/>
        <v>-8.9314489496394506E-2</v>
      </c>
      <c r="AQ13" s="161">
        <f t="shared" si="39"/>
        <v>56385479.25</v>
      </c>
      <c r="AR13" s="161">
        <f t="shared" si="39"/>
        <v>66661611.299999997</v>
      </c>
      <c r="AS13" s="164">
        <f t="shared" si="11"/>
        <v>0.18224784442175301</v>
      </c>
      <c r="AT13" s="161">
        <f t="shared" ref="AT13:AX13" si="40">SUM(AT10:AT12)</f>
        <v>10695938.859999999</v>
      </c>
      <c r="AU13" s="161">
        <f t="shared" si="40"/>
        <v>5767072.4500000002</v>
      </c>
      <c r="AV13" s="164">
        <f t="shared" si="12"/>
        <v>-0.46081662157145098</v>
      </c>
      <c r="AW13" s="161">
        <f t="shared" si="40"/>
        <v>67081418.109999999</v>
      </c>
      <c r="AX13" s="161">
        <f t="shared" si="40"/>
        <v>72428683.75</v>
      </c>
      <c r="AY13" s="164">
        <f t="shared" si="13"/>
        <v>7.9713067950226701E-2</v>
      </c>
      <c r="AZ13" s="18">
        <f t="shared" si="14"/>
        <v>0.52408598950795904</v>
      </c>
    </row>
    <row r="14" spans="1:52">
      <c r="B14" s="167"/>
      <c r="C14" s="167"/>
      <c r="D14" s="168"/>
      <c r="E14" s="168"/>
      <c r="F14" s="169"/>
      <c r="G14" s="168"/>
      <c r="H14" s="168"/>
      <c r="I14" s="169"/>
      <c r="J14" s="168"/>
      <c r="K14" s="168"/>
      <c r="L14" s="169"/>
      <c r="P14" s="168"/>
      <c r="Q14" s="168"/>
      <c r="R14" s="169"/>
      <c r="V14" s="168"/>
      <c r="W14" s="168"/>
      <c r="X14" s="169"/>
      <c r="AB14" s="168"/>
      <c r="AC14" s="168"/>
      <c r="AD14" s="169"/>
      <c r="AH14" s="168"/>
      <c r="AI14" s="168"/>
      <c r="AJ14" s="169"/>
      <c r="AN14" s="168"/>
      <c r="AO14" s="168"/>
      <c r="AP14" s="169"/>
      <c r="AT14" s="168"/>
      <c r="AU14" s="168"/>
      <c r="AV14" s="169"/>
    </row>
    <row r="15" spans="1:52">
      <c r="D15" s="168"/>
      <c r="E15" s="168"/>
      <c r="F15" s="169"/>
      <c r="G15" s="168"/>
      <c r="H15" s="168"/>
      <c r="I15" s="169"/>
      <c r="J15" s="168"/>
      <c r="K15" s="168"/>
      <c r="L15" s="169"/>
      <c r="P15" s="168"/>
      <c r="Q15" s="168"/>
      <c r="R15" s="169"/>
      <c r="V15" s="168"/>
      <c r="W15" s="168"/>
      <c r="X15" s="169"/>
      <c r="AB15" s="168"/>
      <c r="AC15" s="168"/>
      <c r="AD15" s="169"/>
      <c r="AH15" s="168"/>
      <c r="AI15" s="168"/>
      <c r="AJ15" s="169"/>
      <c r="AN15" s="168"/>
      <c r="AO15" s="168"/>
      <c r="AP15" s="169"/>
      <c r="AT15" s="168"/>
      <c r="AU15" s="168"/>
      <c r="AV15" s="169"/>
    </row>
    <row r="16" spans="1:52">
      <c r="B16" s="170" t="s">
        <v>37</v>
      </c>
      <c r="C16" s="158"/>
      <c r="D16" s="170">
        <v>159223.48000000001</v>
      </c>
      <c r="E16" s="171">
        <v>10985.2</v>
      </c>
      <c r="F16" s="172">
        <f>E16/D16-1</f>
        <v>-0.93100766294016402</v>
      </c>
      <c r="G16" s="171">
        <v>17619.22</v>
      </c>
      <c r="H16" s="171">
        <v>3564.8</v>
      </c>
      <c r="I16" s="172">
        <f>H16/G16-1</f>
        <v>-0.79767549301274399</v>
      </c>
      <c r="J16" s="173">
        <v>15307.5</v>
      </c>
      <c r="K16" s="173">
        <v>165.6</v>
      </c>
      <c r="L16" s="172">
        <f>K16/J16-1</f>
        <v>-0.98918177364037196</v>
      </c>
      <c r="M16" s="158">
        <v>192150.2</v>
      </c>
      <c r="N16" s="158">
        <v>14715.6</v>
      </c>
      <c r="O16" s="172">
        <f>N16/M16-1</f>
        <v>-0.92341616089913003</v>
      </c>
      <c r="P16" s="173">
        <v>15307.5</v>
      </c>
      <c r="Q16" s="173">
        <v>165.6</v>
      </c>
      <c r="R16" s="172">
        <f>Q16/P16-1</f>
        <v>-0.98918177364037196</v>
      </c>
      <c r="S16" s="158">
        <v>192150.2</v>
      </c>
      <c r="T16" s="158">
        <v>14715.6</v>
      </c>
      <c r="U16" s="172">
        <f>T16/S16-1</f>
        <v>-0.92341616089913003</v>
      </c>
      <c r="V16" s="173">
        <v>7356.6</v>
      </c>
      <c r="W16" s="173"/>
      <c r="X16" s="172">
        <f>W16/V16-1</f>
        <v>-1</v>
      </c>
      <c r="Y16" s="158">
        <v>226296.48</v>
      </c>
      <c r="Z16" s="158">
        <v>14715.6</v>
      </c>
      <c r="AA16" s="172">
        <f>Z16/Y16-1</f>
        <v>-0.93497203314872601</v>
      </c>
      <c r="AB16" s="173">
        <v>10109.200000000001</v>
      </c>
      <c r="AC16" s="173">
        <v>6590.6</v>
      </c>
      <c r="AD16" s="172">
        <f>AC16/AB16-1</f>
        <v>-0.34805919360582399</v>
      </c>
      <c r="AE16" s="158">
        <v>236405.68</v>
      </c>
      <c r="AF16" s="158">
        <v>21306.2</v>
      </c>
      <c r="AG16" s="172">
        <f>AF16/AE16-1</f>
        <v>-0.90987441587697904</v>
      </c>
      <c r="AH16" s="173">
        <v>30218.12</v>
      </c>
      <c r="AI16" s="173">
        <v>10907.2</v>
      </c>
      <c r="AJ16" s="172">
        <f>AI16/AH16-1</f>
        <v>-0.63905100648220303</v>
      </c>
      <c r="AK16" s="158">
        <v>266623.8</v>
      </c>
      <c r="AL16" s="158">
        <v>32213.4</v>
      </c>
      <c r="AM16" s="172">
        <f>AL16/AK16-1</f>
        <v>-0.87918032823776404</v>
      </c>
      <c r="AN16" s="173">
        <v>18456</v>
      </c>
      <c r="AO16" s="173">
        <v>4860.8</v>
      </c>
      <c r="AP16" s="172">
        <f>AO16/AN16-1</f>
        <v>-0.73662765496315596</v>
      </c>
      <c r="AQ16" s="158">
        <v>285079.8</v>
      </c>
      <c r="AR16" s="158">
        <v>37074.199999999997</v>
      </c>
      <c r="AS16" s="172">
        <f>AR16/AQ16-1</f>
        <v>-0.86995150129893495</v>
      </c>
      <c r="AT16" s="173">
        <v>32843.620000000003</v>
      </c>
      <c r="AU16" s="173">
        <v>6872.6</v>
      </c>
      <c r="AV16" s="172">
        <f>AU16/AT16-1</f>
        <v>-0.79074779211305002</v>
      </c>
      <c r="AW16" s="158">
        <v>317923.42</v>
      </c>
      <c r="AX16" s="158">
        <v>43946.8</v>
      </c>
      <c r="AY16" s="172">
        <f>AX16/AW16-1</f>
        <v>-0.861769227318956</v>
      </c>
      <c r="AZ16" s="158"/>
    </row>
    <row r="19" spans="21:52">
      <c r="U19" s="145"/>
      <c r="AA19" s="145"/>
      <c r="AG19" s="145"/>
      <c r="AM19" s="145"/>
      <c r="AS19" s="145"/>
      <c r="AY19" s="145"/>
      <c r="AZ19" s="145"/>
    </row>
  </sheetData>
  <mergeCells count="38">
    <mergeCell ref="D1:E1"/>
    <mergeCell ref="G1:H1"/>
    <mergeCell ref="J1:K1"/>
    <mergeCell ref="M1:N1"/>
    <mergeCell ref="P1:Q1"/>
    <mergeCell ref="S1:T1"/>
    <mergeCell ref="V1:W1"/>
    <mergeCell ref="Y1:Z1"/>
    <mergeCell ref="AB1:AC1"/>
    <mergeCell ref="AE1:AF1"/>
    <mergeCell ref="AN1:AO1"/>
    <mergeCell ref="AQ1:AR1"/>
    <mergeCell ref="AT1:AU1"/>
    <mergeCell ref="AJ1:AJ2"/>
    <mergeCell ref="AM1:AM2"/>
    <mergeCell ref="AP1:AP2"/>
    <mergeCell ref="AS1:AS2"/>
    <mergeCell ref="AA1:AA2"/>
    <mergeCell ref="AD1:AD2"/>
    <mergeCell ref="AG1:AG2"/>
    <mergeCell ref="AH1:AI1"/>
    <mergeCell ref="AK1:AL1"/>
    <mergeCell ref="AV1:AV2"/>
    <mergeCell ref="AY1:AY2"/>
    <mergeCell ref="AZ1:AZ2"/>
    <mergeCell ref="AW1:AX1"/>
    <mergeCell ref="A13:B13"/>
    <mergeCell ref="A1:A2"/>
    <mergeCell ref="A3:A10"/>
    <mergeCell ref="B1:B2"/>
    <mergeCell ref="C1:C2"/>
    <mergeCell ref="F1:F2"/>
    <mergeCell ref="I1:I2"/>
    <mergeCell ref="L1:L2"/>
    <mergeCell ref="O1:O2"/>
    <mergeCell ref="R1:R2"/>
    <mergeCell ref="U1:U2"/>
    <mergeCell ref="X1:X2"/>
  </mergeCells>
  <phoneticPr fontId="32" type="noConversion"/>
  <conditionalFormatting sqref="AZ3:AZ1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{215B434A-E50C-4F84-8B2A-709872CEDBC1}</x14:id>
        </ext>
      </extLst>
    </cfRule>
  </conditionalFormatting>
  <pageMargins left="0.75" right="0.75" top="1" bottom="1" header="0.5" footer="0.5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5B434A-E50C-4F84-8B2A-709872CEDBC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AZ3:AZ13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77"/>
  <sheetViews>
    <sheetView workbookViewId="0">
      <selection activeCell="Q20" sqref="Q20"/>
    </sheetView>
  </sheetViews>
  <sheetFormatPr baseColWidth="10" defaultColWidth="11.5" defaultRowHeight="14"/>
  <cols>
    <col min="1" max="1" width="6" customWidth="1"/>
    <col min="2" max="2" width="9.33203125" customWidth="1"/>
    <col min="3" max="3" width="11.33203125" customWidth="1"/>
    <col min="4" max="6" width="10.33203125" customWidth="1"/>
    <col min="7" max="8" width="8.5" style="4" hidden="1" customWidth="1"/>
    <col min="9" max="9" width="8.5" hidden="1" customWidth="1"/>
    <col min="10" max="11" width="8.5" style="4" hidden="1" customWidth="1"/>
    <col min="12" max="12" width="10" hidden="1" customWidth="1"/>
    <col min="13" max="15" width="10" customWidth="1"/>
    <col min="16" max="17" width="10" style="4" customWidth="1"/>
    <col min="18" max="18" width="10" customWidth="1"/>
    <col min="19" max="20" width="8" customWidth="1"/>
    <col min="21" max="21" width="8.83203125" customWidth="1"/>
    <col min="22" max="16382" width="11.5" customWidth="1"/>
  </cols>
  <sheetData>
    <row r="1" spans="1:21" ht="30" customHeight="1">
      <c r="A1" s="242" t="s">
        <v>523</v>
      </c>
      <c r="B1" s="242"/>
      <c r="C1" s="242"/>
      <c r="D1" s="242"/>
      <c r="E1" s="242"/>
      <c r="F1" s="242"/>
      <c r="G1" s="243"/>
      <c r="H1" s="243"/>
      <c r="I1" s="242"/>
      <c r="J1" s="243"/>
      <c r="K1" s="243"/>
      <c r="L1" s="242"/>
      <c r="M1" s="242"/>
      <c r="N1" s="242"/>
      <c r="O1" s="242"/>
      <c r="P1" s="243"/>
      <c r="Q1" s="243"/>
      <c r="R1" s="242"/>
      <c r="S1" s="242"/>
      <c r="T1" s="242"/>
      <c r="U1" s="242"/>
    </row>
    <row r="2" spans="1:21" ht="21" customHeight="1">
      <c r="A2" s="237" t="s">
        <v>1</v>
      </c>
      <c r="B2" s="237" t="s">
        <v>210</v>
      </c>
      <c r="C2" s="237" t="s">
        <v>524</v>
      </c>
      <c r="D2" s="235" t="s">
        <v>525</v>
      </c>
      <c r="E2" s="236"/>
      <c r="F2" s="246" t="s">
        <v>526</v>
      </c>
      <c r="G2" s="244" t="s">
        <v>14</v>
      </c>
      <c r="H2" s="245"/>
      <c r="I2" s="247" t="s">
        <v>4</v>
      </c>
      <c r="J2" s="244" t="s">
        <v>16</v>
      </c>
      <c r="K2" s="245"/>
      <c r="L2" s="247" t="s">
        <v>4</v>
      </c>
      <c r="M2" s="244" t="s">
        <v>18</v>
      </c>
      <c r="N2" s="245"/>
      <c r="O2" s="247" t="s">
        <v>4</v>
      </c>
      <c r="P2" s="243" t="s">
        <v>527</v>
      </c>
      <c r="Q2" s="243"/>
      <c r="R2" s="242" t="s">
        <v>4</v>
      </c>
      <c r="S2" s="242" t="s">
        <v>19</v>
      </c>
      <c r="T2" s="242"/>
      <c r="U2" s="242" t="s">
        <v>4</v>
      </c>
    </row>
    <row r="3" spans="1:21" ht="18" customHeight="1">
      <c r="A3" s="237"/>
      <c r="B3" s="237"/>
      <c r="C3" s="237"/>
      <c r="D3" s="6" t="s">
        <v>528</v>
      </c>
      <c r="E3" s="6" t="s">
        <v>529</v>
      </c>
      <c r="F3" s="240"/>
      <c r="G3" s="7" t="s">
        <v>530</v>
      </c>
      <c r="H3" s="7" t="s">
        <v>525</v>
      </c>
      <c r="I3" s="247"/>
      <c r="J3" s="7" t="s">
        <v>530</v>
      </c>
      <c r="K3" s="7" t="s">
        <v>525</v>
      </c>
      <c r="L3" s="247"/>
      <c r="M3" s="7" t="s">
        <v>530</v>
      </c>
      <c r="N3" s="7" t="s">
        <v>525</v>
      </c>
      <c r="O3" s="247"/>
      <c r="P3" s="5" t="s">
        <v>530</v>
      </c>
      <c r="Q3" s="5" t="s">
        <v>525</v>
      </c>
      <c r="R3" s="242"/>
      <c r="S3" s="5" t="s">
        <v>530</v>
      </c>
      <c r="T3" s="5" t="s">
        <v>525</v>
      </c>
      <c r="U3" s="242"/>
    </row>
    <row r="4" spans="1:21" ht="18">
      <c r="A4" s="238" t="s">
        <v>24</v>
      </c>
      <c r="B4" s="8" t="s">
        <v>74</v>
      </c>
      <c r="C4" s="9">
        <v>32</v>
      </c>
      <c r="D4" s="9">
        <v>2.3359000000000001</v>
      </c>
      <c r="E4" s="9">
        <v>10.0505</v>
      </c>
      <c r="F4" s="10">
        <f t="shared" ref="F4:F67" si="0">E4/D4-1</f>
        <v>3.30262425617535</v>
      </c>
      <c r="G4" s="11">
        <v>0</v>
      </c>
      <c r="H4" s="11">
        <v>0.58409999999999995</v>
      </c>
      <c r="I4" s="10" t="e">
        <f t="shared" ref="I4:I67" si="1">H4/G4-1</f>
        <v>#DIV/0!</v>
      </c>
      <c r="J4" s="11">
        <v>0.99270000000000003</v>
      </c>
      <c r="K4" s="11">
        <v>1.9584999999999999</v>
      </c>
      <c r="L4" s="10">
        <f>K4/J4-1</f>
        <v>0.97290218595749001</v>
      </c>
      <c r="M4" s="14">
        <v>9.7064000000000004</v>
      </c>
      <c r="N4" s="14">
        <v>2.4535999999999998</v>
      </c>
      <c r="O4" s="15">
        <f>N4/M4-1</f>
        <v>-0.74721833017390604</v>
      </c>
      <c r="P4" s="14">
        <f>G4+J4+M4</f>
        <v>10.6991</v>
      </c>
      <c r="Q4" s="14">
        <f>H4+K4+N4</f>
        <v>4.9962</v>
      </c>
      <c r="R4" s="15">
        <f>Q4/P4-1</f>
        <v>-0.53302614238580803</v>
      </c>
      <c r="S4" s="9">
        <v>17.960899999999999</v>
      </c>
      <c r="T4" s="9">
        <v>17.3826</v>
      </c>
      <c r="U4" s="15">
        <f t="shared" ref="U4:U67" si="2">T4/S4-1</f>
        <v>-3.2197718377141402E-2</v>
      </c>
    </row>
    <row r="5" spans="1:21" ht="18">
      <c r="A5" s="239"/>
      <c r="B5" s="8" t="s">
        <v>68</v>
      </c>
      <c r="C5" s="9">
        <v>86.1</v>
      </c>
      <c r="D5" s="9">
        <v>16.399999999999999</v>
      </c>
      <c r="E5" s="9">
        <v>27.584</v>
      </c>
      <c r="F5" s="10">
        <f t="shared" si="0"/>
        <v>0.68195121951219495</v>
      </c>
      <c r="G5" s="11">
        <v>15.7</v>
      </c>
      <c r="H5" s="11">
        <v>3.9</v>
      </c>
      <c r="I5" s="15">
        <f t="shared" si="1"/>
        <v>-0.75159235668789803</v>
      </c>
      <c r="J5" s="11">
        <v>10.6</v>
      </c>
      <c r="K5" s="11">
        <v>9.5500000000000007</v>
      </c>
      <c r="L5" s="16">
        <f t="shared" ref="L5:L36" si="3">K5/J5-1</f>
        <v>-9.90566037735848E-2</v>
      </c>
      <c r="M5" s="14">
        <v>14.2</v>
      </c>
      <c r="N5" s="14">
        <v>1.9</v>
      </c>
      <c r="O5" s="15">
        <f t="shared" ref="O5:O36" si="4">N5/M5-1</f>
        <v>-0.86619718309859195</v>
      </c>
      <c r="P5" s="14">
        <f t="shared" ref="P5:P36" si="5">G5+J5+M5</f>
        <v>40.5</v>
      </c>
      <c r="Q5" s="14">
        <f t="shared" ref="Q5:Q36" si="6">H5+K5+N5</f>
        <v>15.35</v>
      </c>
      <c r="R5" s="15">
        <f t="shared" ref="R5:R36" si="7">Q5/P5-1</f>
        <v>-0.62098765432098801</v>
      </c>
      <c r="S5" s="9">
        <v>163.64498800000001</v>
      </c>
      <c r="T5" s="9">
        <v>59.334000000000003</v>
      </c>
      <c r="U5" s="15">
        <f t="shared" si="2"/>
        <v>-0.63742244278205495</v>
      </c>
    </row>
    <row r="6" spans="1:21" ht="18">
      <c r="A6" s="239"/>
      <c r="B6" s="8" t="s">
        <v>76</v>
      </c>
      <c r="C6" s="9">
        <v>515.4</v>
      </c>
      <c r="D6" s="9">
        <v>536.56832699999995</v>
      </c>
      <c r="E6" s="9">
        <v>603.41374099999996</v>
      </c>
      <c r="F6" s="10">
        <f t="shared" si="0"/>
        <v>0.12457950019849</v>
      </c>
      <c r="G6" s="11">
        <v>149.214124</v>
      </c>
      <c r="H6" s="11">
        <v>137.36040800000001</v>
      </c>
      <c r="I6" s="15">
        <f t="shared" si="1"/>
        <v>-7.94409783888822E-2</v>
      </c>
      <c r="J6" s="11">
        <v>125.17835599999999</v>
      </c>
      <c r="K6" s="11">
        <v>98.602564999999998</v>
      </c>
      <c r="L6" s="16">
        <f t="shared" si="3"/>
        <v>-0.21230340331358899</v>
      </c>
      <c r="M6" s="14">
        <v>157.49625399999999</v>
      </c>
      <c r="N6" s="14">
        <v>111.97475300000001</v>
      </c>
      <c r="O6" s="15">
        <f t="shared" si="4"/>
        <v>-0.289032277554995</v>
      </c>
      <c r="P6" s="14">
        <f t="shared" si="5"/>
        <v>431.888734</v>
      </c>
      <c r="Q6" s="14">
        <f t="shared" si="6"/>
        <v>347.937726</v>
      </c>
      <c r="R6" s="15">
        <f t="shared" si="7"/>
        <v>-0.19438110186963101</v>
      </c>
      <c r="S6" s="9">
        <v>1150.2614960000001</v>
      </c>
      <c r="T6" s="9">
        <v>1487.9197939999999</v>
      </c>
      <c r="U6" s="18">
        <f t="shared" si="2"/>
        <v>0.29354916179859702</v>
      </c>
    </row>
    <row r="7" spans="1:21" ht="18">
      <c r="A7" s="239"/>
      <c r="B7" s="8" t="s">
        <v>72</v>
      </c>
      <c r="C7" s="9">
        <v>44.4</v>
      </c>
      <c r="D7" s="9">
        <v>0</v>
      </c>
      <c r="E7" s="9">
        <v>0</v>
      </c>
      <c r="F7" s="10" t="e">
        <f t="shared" si="0"/>
        <v>#DIV/0!</v>
      </c>
      <c r="G7" s="11">
        <v>0</v>
      </c>
      <c r="H7" s="11">
        <v>0</v>
      </c>
      <c r="I7" s="10" t="e">
        <f t="shared" si="1"/>
        <v>#DIV/0!</v>
      </c>
      <c r="J7" s="11">
        <v>0</v>
      </c>
      <c r="K7" s="11">
        <v>0</v>
      </c>
      <c r="L7" s="10" t="e">
        <f t="shared" si="3"/>
        <v>#DIV/0!</v>
      </c>
      <c r="M7" s="14">
        <v>0</v>
      </c>
      <c r="N7" s="14">
        <v>0</v>
      </c>
      <c r="O7" s="10" t="e">
        <f t="shared" si="4"/>
        <v>#DIV/0!</v>
      </c>
      <c r="P7" s="14">
        <f t="shared" si="5"/>
        <v>0</v>
      </c>
      <c r="Q7" s="14">
        <f t="shared" si="6"/>
        <v>0</v>
      </c>
      <c r="R7" s="10" t="e">
        <f t="shared" si="7"/>
        <v>#DIV/0!</v>
      </c>
      <c r="S7" s="9">
        <v>3</v>
      </c>
      <c r="T7" s="9">
        <v>0</v>
      </c>
      <c r="U7" s="15">
        <f t="shared" si="2"/>
        <v>-1</v>
      </c>
    </row>
    <row r="8" spans="1:21" ht="18">
      <c r="A8" s="239"/>
      <c r="B8" s="8" t="s">
        <v>66</v>
      </c>
      <c r="C8" s="9">
        <v>65.599999999999994</v>
      </c>
      <c r="D8" s="9">
        <v>16.4361</v>
      </c>
      <c r="E8" s="9">
        <v>9.7253740000000004</v>
      </c>
      <c r="F8" s="10">
        <f t="shared" si="0"/>
        <v>-0.40829186972578602</v>
      </c>
      <c r="G8" s="11">
        <v>0</v>
      </c>
      <c r="H8" s="11">
        <v>4</v>
      </c>
      <c r="I8" s="10" t="e">
        <f t="shared" si="1"/>
        <v>#DIV/0!</v>
      </c>
      <c r="J8" s="11">
        <v>0</v>
      </c>
      <c r="K8" s="11">
        <v>7</v>
      </c>
      <c r="L8" s="10" t="e">
        <f t="shared" si="3"/>
        <v>#DIV/0!</v>
      </c>
      <c r="M8" s="14">
        <v>4.3506</v>
      </c>
      <c r="N8" s="14">
        <v>3</v>
      </c>
      <c r="O8" s="15">
        <f t="shared" si="4"/>
        <v>-0.310439939318715</v>
      </c>
      <c r="P8" s="14">
        <f t="shared" si="5"/>
        <v>4.3506</v>
      </c>
      <c r="Q8" s="14">
        <f t="shared" si="6"/>
        <v>14</v>
      </c>
      <c r="R8" s="10">
        <f t="shared" si="7"/>
        <v>2.217946949846</v>
      </c>
      <c r="S8" s="9">
        <v>113.66419999999999</v>
      </c>
      <c r="T8" s="9">
        <v>40.161473999999998</v>
      </c>
      <c r="U8" s="15">
        <f t="shared" si="2"/>
        <v>-0.64666558159913101</v>
      </c>
    </row>
    <row r="9" spans="1:21" ht="18">
      <c r="A9" s="239"/>
      <c r="B9" s="8" t="s">
        <v>62</v>
      </c>
      <c r="C9" s="9">
        <v>114.2</v>
      </c>
      <c r="D9" s="9">
        <v>32.258099999999999</v>
      </c>
      <c r="E9" s="9">
        <v>49.331000000000003</v>
      </c>
      <c r="F9" s="10">
        <f t="shared" si="0"/>
        <v>0.529259317814751</v>
      </c>
      <c r="G9" s="11">
        <v>17.2134</v>
      </c>
      <c r="H9" s="11">
        <v>14.7933</v>
      </c>
      <c r="I9" s="15">
        <f t="shared" si="1"/>
        <v>-0.14059395587158799</v>
      </c>
      <c r="J9" s="11">
        <v>19.534700000000001</v>
      </c>
      <c r="K9" s="11">
        <v>10.1793</v>
      </c>
      <c r="L9" s="16">
        <f t="shared" si="3"/>
        <v>-0.478911885004633</v>
      </c>
      <c r="M9" s="14">
        <v>25.931999999999999</v>
      </c>
      <c r="N9" s="14">
        <v>12.4824</v>
      </c>
      <c r="O9" s="15">
        <f t="shared" si="4"/>
        <v>-0.51864877371587204</v>
      </c>
      <c r="P9" s="14">
        <f t="shared" si="5"/>
        <v>62.680100000000003</v>
      </c>
      <c r="Q9" s="14">
        <f t="shared" si="6"/>
        <v>37.454999999999998</v>
      </c>
      <c r="R9" s="15">
        <f t="shared" si="7"/>
        <v>-0.40244192335366402</v>
      </c>
      <c r="S9" s="9">
        <v>156.78380000000001</v>
      </c>
      <c r="T9" s="9">
        <v>119.0441</v>
      </c>
      <c r="U9" s="15">
        <f t="shared" si="2"/>
        <v>-0.24071173169676999</v>
      </c>
    </row>
    <row r="10" spans="1:21" ht="18">
      <c r="A10" s="239"/>
      <c r="B10" s="8" t="s">
        <v>70</v>
      </c>
      <c r="C10" s="9">
        <v>46.1</v>
      </c>
      <c r="D10" s="9">
        <v>38.118000000000002</v>
      </c>
      <c r="E10" s="9">
        <v>46.5</v>
      </c>
      <c r="F10" s="10">
        <f t="shared" si="0"/>
        <v>0.219896112073036</v>
      </c>
      <c r="G10" s="11">
        <v>0</v>
      </c>
      <c r="H10" s="11">
        <v>0</v>
      </c>
      <c r="I10" s="10" t="e">
        <f t="shared" si="1"/>
        <v>#DIV/0!</v>
      </c>
      <c r="J10" s="11">
        <v>0</v>
      </c>
      <c r="K10" s="11">
        <v>3</v>
      </c>
      <c r="L10" s="10" t="e">
        <f t="shared" si="3"/>
        <v>#DIV/0!</v>
      </c>
      <c r="M10" s="14">
        <v>0.67989999999999995</v>
      </c>
      <c r="N10" s="14">
        <v>1</v>
      </c>
      <c r="O10" s="10">
        <f t="shared" si="4"/>
        <v>0.47080453007795298</v>
      </c>
      <c r="P10" s="14">
        <f t="shared" si="5"/>
        <v>0.67989999999999995</v>
      </c>
      <c r="Q10" s="14">
        <f t="shared" si="6"/>
        <v>4</v>
      </c>
      <c r="R10" s="10">
        <f t="shared" si="7"/>
        <v>4.8832181203118097</v>
      </c>
      <c r="S10" s="9">
        <v>94.345699999999994</v>
      </c>
      <c r="T10" s="9">
        <v>88.617999999999995</v>
      </c>
      <c r="U10" s="15">
        <f t="shared" si="2"/>
        <v>-6.0709709080541102E-2</v>
      </c>
    </row>
    <row r="11" spans="1:21" ht="18">
      <c r="A11" s="239"/>
      <c r="B11" s="8" t="s">
        <v>57</v>
      </c>
      <c r="C11" s="9">
        <v>216.4</v>
      </c>
      <c r="D11" s="9">
        <v>96.067404999999994</v>
      </c>
      <c r="E11" s="9">
        <v>285.04837500000002</v>
      </c>
      <c r="F11" s="10">
        <f t="shared" si="0"/>
        <v>1.96717055071905</v>
      </c>
      <c r="G11" s="11">
        <v>28.306999999999999</v>
      </c>
      <c r="H11" s="11">
        <v>74.469170000000005</v>
      </c>
      <c r="I11" s="10">
        <f t="shared" si="1"/>
        <v>1.63076871445226</v>
      </c>
      <c r="J11" s="11">
        <v>36.715679999999999</v>
      </c>
      <c r="K11" s="11">
        <v>53.898400000000002</v>
      </c>
      <c r="L11" s="10">
        <f t="shared" si="3"/>
        <v>0.46799405594558002</v>
      </c>
      <c r="M11" s="14">
        <v>80.472880000000004</v>
      </c>
      <c r="N11" s="14">
        <v>33.7258</v>
      </c>
      <c r="O11" s="15">
        <f t="shared" si="4"/>
        <v>-0.580904771893338</v>
      </c>
      <c r="P11" s="14">
        <f t="shared" si="5"/>
        <v>145.49556000000001</v>
      </c>
      <c r="Q11" s="14">
        <f t="shared" si="6"/>
        <v>162.09336999999999</v>
      </c>
      <c r="R11" s="10">
        <f t="shared" si="7"/>
        <v>0.11407777666892401</v>
      </c>
      <c r="S11" s="9">
        <v>430.94857200000001</v>
      </c>
      <c r="T11" s="9">
        <v>543.20915000000002</v>
      </c>
      <c r="U11" s="18">
        <f t="shared" si="2"/>
        <v>0.26049646128076698</v>
      </c>
    </row>
    <row r="12" spans="1:21" ht="18">
      <c r="A12" s="239"/>
      <c r="B12" s="8" t="s">
        <v>531</v>
      </c>
      <c r="C12" s="9">
        <v>142.19999999999999</v>
      </c>
      <c r="D12" s="9"/>
      <c r="E12" s="9"/>
      <c r="F12" s="10" t="e">
        <f t="shared" si="0"/>
        <v>#DIV/0!</v>
      </c>
      <c r="G12" s="11"/>
      <c r="H12" s="11"/>
      <c r="I12" s="10" t="e">
        <f t="shared" si="1"/>
        <v>#DIV/0!</v>
      </c>
      <c r="J12" s="11"/>
      <c r="K12" s="11"/>
      <c r="L12" s="10" t="e">
        <f t="shared" si="3"/>
        <v>#DIV/0!</v>
      </c>
      <c r="M12" s="14"/>
      <c r="N12" s="14"/>
      <c r="O12" s="10" t="e">
        <f t="shared" si="4"/>
        <v>#DIV/0!</v>
      </c>
      <c r="P12" s="14">
        <f t="shared" si="5"/>
        <v>0</v>
      </c>
      <c r="Q12" s="14">
        <f t="shared" si="6"/>
        <v>0</v>
      </c>
      <c r="R12" s="10" t="e">
        <f t="shared" si="7"/>
        <v>#DIV/0!</v>
      </c>
      <c r="S12" s="9"/>
      <c r="T12" s="9"/>
      <c r="U12" s="18" t="e">
        <f t="shared" si="2"/>
        <v>#DIV/0!</v>
      </c>
    </row>
    <row r="13" spans="1:21" s="3" customFormat="1" ht="18">
      <c r="A13" s="240"/>
      <c r="B13" s="6" t="s">
        <v>31</v>
      </c>
      <c r="C13" s="12">
        <f t="shared" ref="C13:H13" si="8">SUM(C4:C12)</f>
        <v>1262.4000000000001</v>
      </c>
      <c r="D13" s="12">
        <f t="shared" si="8"/>
        <v>738.18383200000005</v>
      </c>
      <c r="E13" s="12">
        <f t="shared" si="8"/>
        <v>1031.65299</v>
      </c>
      <c r="F13" s="13">
        <f t="shared" si="0"/>
        <v>0.39755565656983899</v>
      </c>
      <c r="G13" s="12">
        <f t="shared" si="8"/>
        <v>210.43452400000001</v>
      </c>
      <c r="H13" s="12">
        <f t="shared" si="8"/>
        <v>235.106978</v>
      </c>
      <c r="I13" s="13">
        <f t="shared" si="1"/>
        <v>0.117245276730353</v>
      </c>
      <c r="J13" s="12">
        <f t="shared" ref="J13:N13" si="9">SUM(J4:J12)</f>
        <v>193.02143599999999</v>
      </c>
      <c r="K13" s="12">
        <f t="shared" si="9"/>
        <v>184.18876499999999</v>
      </c>
      <c r="L13" s="17">
        <f t="shared" si="3"/>
        <v>-4.5760052266940701E-2</v>
      </c>
      <c r="M13" s="12">
        <f t="shared" si="9"/>
        <v>292.83803399999999</v>
      </c>
      <c r="N13" s="12">
        <f t="shared" si="9"/>
        <v>166.536553</v>
      </c>
      <c r="O13" s="13">
        <f t="shared" si="4"/>
        <v>-0.43130149207326002</v>
      </c>
      <c r="P13" s="12">
        <f t="shared" ref="P13:Q13" si="10">SUM(P4:P12)</f>
        <v>696.293994</v>
      </c>
      <c r="Q13" s="12">
        <f t="shared" si="10"/>
        <v>585.83229600000004</v>
      </c>
      <c r="R13" s="13">
        <f t="shared" si="7"/>
        <v>-0.15864232486830801</v>
      </c>
      <c r="S13" s="12">
        <f>SUM(S4:S12)</f>
        <v>2130.6096560000001</v>
      </c>
      <c r="T13" s="12">
        <f>SUM(T4:T12)</f>
        <v>2355.6691179999998</v>
      </c>
      <c r="U13" s="13">
        <f t="shared" si="2"/>
        <v>0.105631485038196</v>
      </c>
    </row>
    <row r="14" spans="1:21" ht="18">
      <c r="A14" s="238" t="s">
        <v>27</v>
      </c>
      <c r="B14" s="8" t="s">
        <v>154</v>
      </c>
      <c r="C14" s="9">
        <v>60.4</v>
      </c>
      <c r="D14" s="9">
        <v>0</v>
      </c>
      <c r="E14" s="9">
        <v>0</v>
      </c>
      <c r="F14" s="10" t="e">
        <f t="shared" si="0"/>
        <v>#DIV/0!</v>
      </c>
      <c r="G14" s="11">
        <v>0</v>
      </c>
      <c r="H14" s="11">
        <v>0</v>
      </c>
      <c r="I14" s="10" t="e">
        <f t="shared" si="1"/>
        <v>#DIV/0!</v>
      </c>
      <c r="J14" s="11">
        <v>0</v>
      </c>
      <c r="K14" s="11">
        <v>0</v>
      </c>
      <c r="L14" s="10" t="e">
        <f t="shared" si="3"/>
        <v>#DIV/0!</v>
      </c>
      <c r="M14" s="14">
        <v>0</v>
      </c>
      <c r="N14" s="14">
        <v>0</v>
      </c>
      <c r="O14" s="10" t="e">
        <f t="shared" si="4"/>
        <v>#DIV/0!</v>
      </c>
      <c r="P14" s="14">
        <f t="shared" si="5"/>
        <v>0</v>
      </c>
      <c r="Q14" s="14">
        <f t="shared" si="6"/>
        <v>0</v>
      </c>
      <c r="R14" s="10" t="e">
        <f t="shared" si="7"/>
        <v>#DIV/0!</v>
      </c>
      <c r="S14" s="9">
        <v>1.6674</v>
      </c>
      <c r="T14" s="9">
        <v>0</v>
      </c>
      <c r="U14" s="15">
        <f t="shared" si="2"/>
        <v>-1</v>
      </c>
    </row>
    <row r="15" spans="1:21" ht="18">
      <c r="A15" s="239"/>
      <c r="B15" s="8" t="s">
        <v>144</v>
      </c>
      <c r="C15" s="9">
        <v>56.1</v>
      </c>
      <c r="D15" s="9">
        <v>15.4154</v>
      </c>
      <c r="E15" s="9">
        <v>5.6123000000000003</v>
      </c>
      <c r="F15" s="10">
        <f t="shared" si="0"/>
        <v>-0.63592900605887603</v>
      </c>
      <c r="G15" s="11">
        <v>0.27462599999999998</v>
      </c>
      <c r="H15" s="11">
        <v>2.6</v>
      </c>
      <c r="I15" s="10">
        <f t="shared" si="1"/>
        <v>8.4674211473057905</v>
      </c>
      <c r="J15" s="11">
        <v>0</v>
      </c>
      <c r="K15" s="11">
        <v>8.1471</v>
      </c>
      <c r="L15" s="10" t="e">
        <f t="shared" si="3"/>
        <v>#DIV/0!</v>
      </c>
      <c r="M15" s="14">
        <v>0</v>
      </c>
      <c r="N15" s="14">
        <v>5.2</v>
      </c>
      <c r="O15" s="10" t="e">
        <f t="shared" si="4"/>
        <v>#DIV/0!</v>
      </c>
      <c r="P15" s="14">
        <f t="shared" si="5"/>
        <v>0.27462599999999998</v>
      </c>
      <c r="Q15" s="14">
        <f t="shared" si="6"/>
        <v>15.947100000000001</v>
      </c>
      <c r="R15" s="10">
        <f t="shared" si="7"/>
        <v>57.068427607000103</v>
      </c>
      <c r="S15" s="9">
        <v>33.278626000000003</v>
      </c>
      <c r="T15" s="9">
        <v>36.974800000000002</v>
      </c>
      <c r="U15" s="18">
        <f t="shared" si="2"/>
        <v>0.111067506212546</v>
      </c>
    </row>
    <row r="16" spans="1:21" ht="18">
      <c r="A16" s="239"/>
      <c r="B16" s="8" t="s">
        <v>141</v>
      </c>
      <c r="C16" s="9">
        <v>106</v>
      </c>
      <c r="D16" s="9">
        <v>97.060103999999995</v>
      </c>
      <c r="E16" s="9">
        <v>86.508308</v>
      </c>
      <c r="F16" s="10">
        <f t="shared" si="0"/>
        <v>-0.10871403970471701</v>
      </c>
      <c r="G16" s="11">
        <v>24.2759</v>
      </c>
      <c r="H16" s="11">
        <v>28.299499999999998</v>
      </c>
      <c r="I16" s="10">
        <f t="shared" si="1"/>
        <v>0.165744627387656</v>
      </c>
      <c r="J16" s="11">
        <v>26.559656</v>
      </c>
      <c r="K16" s="11">
        <v>21.987400000000001</v>
      </c>
      <c r="L16" s="16">
        <f t="shared" si="3"/>
        <v>-0.17215042243017001</v>
      </c>
      <c r="M16" s="14">
        <v>29.438914</v>
      </c>
      <c r="N16" s="14">
        <v>16.566400000000002</v>
      </c>
      <c r="O16" s="15">
        <f t="shared" si="4"/>
        <v>-0.43726185008047502</v>
      </c>
      <c r="P16" s="14">
        <f t="shared" si="5"/>
        <v>80.274469999999994</v>
      </c>
      <c r="Q16" s="14">
        <f t="shared" si="6"/>
        <v>66.853300000000004</v>
      </c>
      <c r="R16" s="15">
        <f t="shared" si="7"/>
        <v>-0.16719101353144999</v>
      </c>
      <c r="S16" s="9">
        <v>259.82224400000001</v>
      </c>
      <c r="T16" s="9">
        <v>250.42171200000001</v>
      </c>
      <c r="U16" s="15">
        <f t="shared" si="2"/>
        <v>-3.6180628168233302E-2</v>
      </c>
    </row>
    <row r="17" spans="1:21" ht="18">
      <c r="A17" s="239"/>
      <c r="B17" s="8" t="s">
        <v>138</v>
      </c>
      <c r="C17" s="9">
        <v>55.2</v>
      </c>
      <c r="D17" s="9">
        <v>2.6517059999999999</v>
      </c>
      <c r="E17" s="9">
        <v>11.981999999999999</v>
      </c>
      <c r="F17" s="10">
        <f t="shared" si="0"/>
        <v>3.5186004783335698</v>
      </c>
      <c r="G17" s="11">
        <v>0.2311</v>
      </c>
      <c r="H17" s="11">
        <v>1</v>
      </c>
      <c r="I17" s="10">
        <f t="shared" si="1"/>
        <v>3.3271311120727001</v>
      </c>
      <c r="J17" s="11">
        <v>0</v>
      </c>
      <c r="K17" s="11">
        <v>0</v>
      </c>
      <c r="L17" s="10" t="e">
        <f t="shared" si="3"/>
        <v>#DIV/0!</v>
      </c>
      <c r="M17" s="14">
        <v>9.1006999999999998</v>
      </c>
      <c r="N17" s="14">
        <v>0.23219999999999999</v>
      </c>
      <c r="O17" s="15">
        <f t="shared" si="4"/>
        <v>-0.97448547913896699</v>
      </c>
      <c r="P17" s="14">
        <f t="shared" si="5"/>
        <v>9.3317999999999994</v>
      </c>
      <c r="Q17" s="14">
        <f t="shared" si="6"/>
        <v>1.2322</v>
      </c>
      <c r="R17" s="15">
        <f t="shared" si="7"/>
        <v>-0.86795687863006099</v>
      </c>
      <c r="S17" s="9">
        <v>30.561800000000002</v>
      </c>
      <c r="T17" s="9">
        <v>15.865906000000001</v>
      </c>
      <c r="U17" s="15">
        <f t="shared" si="2"/>
        <v>-0.48085826096630402</v>
      </c>
    </row>
    <row r="18" spans="1:21" ht="18">
      <c r="A18" s="239"/>
      <c r="B18" s="8" t="s">
        <v>135</v>
      </c>
      <c r="C18" s="9">
        <v>68.8</v>
      </c>
      <c r="D18" s="9">
        <v>12.8507</v>
      </c>
      <c r="E18" s="9">
        <v>4.9717000000000002</v>
      </c>
      <c r="F18" s="10">
        <f t="shared" si="0"/>
        <v>-0.61311835152948901</v>
      </c>
      <c r="G18" s="11">
        <v>1.9259999999999999</v>
      </c>
      <c r="H18" s="11">
        <v>-0.45989999999999998</v>
      </c>
      <c r="I18" s="15">
        <f t="shared" si="1"/>
        <v>-1.2387850467289701</v>
      </c>
      <c r="J18" s="11">
        <v>3.1478000000000002</v>
      </c>
      <c r="K18" s="11">
        <v>3.7599999999999999E-3</v>
      </c>
      <c r="L18" s="16">
        <f t="shared" si="3"/>
        <v>-0.99880551496283099</v>
      </c>
      <c r="M18" s="14">
        <v>10.829000000000001</v>
      </c>
      <c r="N18" s="14">
        <v>3.0000000000000001E-3</v>
      </c>
      <c r="O18" s="15">
        <f t="shared" si="4"/>
        <v>-0.99972296610952105</v>
      </c>
      <c r="P18" s="14">
        <f t="shared" si="5"/>
        <v>15.902799999999999</v>
      </c>
      <c r="Q18" s="14">
        <f t="shared" si="6"/>
        <v>-0.45313999999999999</v>
      </c>
      <c r="R18" s="15">
        <f t="shared" si="7"/>
        <v>-1.0284943531956601</v>
      </c>
      <c r="S18" s="9">
        <v>63.289782000000002</v>
      </c>
      <c r="T18" s="9">
        <v>17.369260000000001</v>
      </c>
      <c r="U18" s="15">
        <f t="shared" si="2"/>
        <v>-0.72555980679472099</v>
      </c>
    </row>
    <row r="19" spans="1:21" s="3" customFormat="1" ht="18">
      <c r="A19" s="240"/>
      <c r="B19" s="6" t="s">
        <v>31</v>
      </c>
      <c r="C19" s="12">
        <f t="shared" ref="C19:H19" si="11">SUM(C14:C18)</f>
        <v>346.5</v>
      </c>
      <c r="D19" s="12">
        <f t="shared" si="11"/>
        <v>127.97790999999999</v>
      </c>
      <c r="E19" s="12">
        <f t="shared" si="11"/>
        <v>109.074308</v>
      </c>
      <c r="F19" s="13">
        <f t="shared" si="0"/>
        <v>-0.14770988211950001</v>
      </c>
      <c r="G19" s="12">
        <f t="shared" si="11"/>
        <v>26.707626000000001</v>
      </c>
      <c r="H19" s="12">
        <f t="shared" si="11"/>
        <v>31.439599999999999</v>
      </c>
      <c r="I19" s="13">
        <f t="shared" si="1"/>
        <v>0.177176885732936</v>
      </c>
      <c r="J19" s="12">
        <f t="shared" ref="J19:N19" si="12">SUM(J14:J18)</f>
        <v>29.707456000000001</v>
      </c>
      <c r="K19" s="12">
        <f t="shared" si="12"/>
        <v>30.138259999999999</v>
      </c>
      <c r="L19" s="13">
        <f t="shared" si="3"/>
        <v>1.4501544662727199E-2</v>
      </c>
      <c r="M19" s="12">
        <f t="shared" si="12"/>
        <v>49.368614000000001</v>
      </c>
      <c r="N19" s="12">
        <f t="shared" si="12"/>
        <v>22.0016</v>
      </c>
      <c r="O19" s="13">
        <f t="shared" si="4"/>
        <v>-0.55434033452914</v>
      </c>
      <c r="P19" s="12">
        <f t="shared" ref="P19:T19" si="13">SUM(P14:P18)</f>
        <v>105.78369600000001</v>
      </c>
      <c r="Q19" s="12">
        <f t="shared" si="13"/>
        <v>83.579459999999997</v>
      </c>
      <c r="R19" s="13">
        <f t="shared" si="7"/>
        <v>-0.209902251855522</v>
      </c>
      <c r="S19" s="12">
        <f t="shared" si="13"/>
        <v>388.61985199999998</v>
      </c>
      <c r="T19" s="12">
        <f t="shared" si="13"/>
        <v>320.63167800000002</v>
      </c>
      <c r="U19" s="13">
        <f t="shared" si="2"/>
        <v>-0.174947763605242</v>
      </c>
    </row>
    <row r="20" spans="1:21" ht="18">
      <c r="A20" s="238" t="s">
        <v>29</v>
      </c>
      <c r="B20" s="8" t="s">
        <v>213</v>
      </c>
      <c r="C20" s="9">
        <v>110.9</v>
      </c>
      <c r="D20" s="9">
        <v>131.54924</v>
      </c>
      <c r="E20" s="9">
        <v>61.675203000000003</v>
      </c>
      <c r="F20" s="10">
        <f t="shared" si="0"/>
        <v>-0.53116260496829903</v>
      </c>
      <c r="G20" s="11">
        <v>13.6532</v>
      </c>
      <c r="H20" s="11">
        <v>17.023299999999999</v>
      </c>
      <c r="I20" s="10">
        <f t="shared" si="1"/>
        <v>0.24683590660065</v>
      </c>
      <c r="J20" s="11">
        <v>3.3816999999999999</v>
      </c>
      <c r="K20" s="11">
        <v>10.6442</v>
      </c>
      <c r="L20" s="10">
        <f t="shared" si="3"/>
        <v>2.1475884909956502</v>
      </c>
      <c r="M20" s="14">
        <v>62.202300000000001</v>
      </c>
      <c r="N20" s="14">
        <v>12.2377</v>
      </c>
      <c r="O20" s="15">
        <f t="shared" si="4"/>
        <v>-0.80325968653892199</v>
      </c>
      <c r="P20" s="14">
        <f t="shared" si="5"/>
        <v>79.237200000000001</v>
      </c>
      <c r="Q20" s="14">
        <f t="shared" si="6"/>
        <v>39.905200000000001</v>
      </c>
      <c r="R20" s="15">
        <f t="shared" si="7"/>
        <v>-0.496383012019607</v>
      </c>
      <c r="S20" s="9">
        <v>229.95099999999999</v>
      </c>
      <c r="T20" s="9">
        <v>233.12964299999999</v>
      </c>
      <c r="U20" s="18">
        <f t="shared" si="2"/>
        <v>1.38231318846189E-2</v>
      </c>
    </row>
    <row r="21" spans="1:21" ht="18">
      <c r="A21" s="239"/>
      <c r="B21" s="8" t="s">
        <v>232</v>
      </c>
      <c r="C21" s="9">
        <v>47.7</v>
      </c>
      <c r="D21" s="9">
        <v>7.0712999999999999</v>
      </c>
      <c r="E21" s="9">
        <v>11.755599999999999</v>
      </c>
      <c r="F21" s="10">
        <f t="shared" si="0"/>
        <v>0.66243830695911599</v>
      </c>
      <c r="G21" s="11">
        <v>3.7549000000000001</v>
      </c>
      <c r="H21" s="11">
        <v>5.4009</v>
      </c>
      <c r="I21" s="10">
        <f t="shared" si="1"/>
        <v>0.43836054222482601</v>
      </c>
      <c r="J21" s="11">
        <v>3.1600000000000003E-2</v>
      </c>
      <c r="K21" s="11">
        <v>4.3428000000000004</v>
      </c>
      <c r="L21" s="10">
        <f t="shared" si="3"/>
        <v>136.430379746835</v>
      </c>
      <c r="M21" s="14">
        <v>9.3054000000000006</v>
      </c>
      <c r="N21" s="14">
        <v>7.4977999999999998</v>
      </c>
      <c r="O21" s="15">
        <f t="shared" si="4"/>
        <v>-0.19425279944978199</v>
      </c>
      <c r="P21" s="14">
        <f t="shared" si="5"/>
        <v>13.091900000000001</v>
      </c>
      <c r="Q21" s="14">
        <f t="shared" si="6"/>
        <v>17.241499999999998</v>
      </c>
      <c r="R21" s="10">
        <f t="shared" si="7"/>
        <v>0.31695934127208403</v>
      </c>
      <c r="S21" s="9">
        <v>27.801500000000001</v>
      </c>
      <c r="T21" s="9">
        <v>36.068399999999997</v>
      </c>
      <c r="U21" s="18">
        <f t="shared" si="2"/>
        <v>0.29735445929176502</v>
      </c>
    </row>
    <row r="22" spans="1:21" ht="18">
      <c r="A22" s="239"/>
      <c r="B22" s="8" t="s">
        <v>230</v>
      </c>
      <c r="C22" s="9">
        <v>66.8</v>
      </c>
      <c r="D22" s="9">
        <v>12.3299</v>
      </c>
      <c r="E22" s="9">
        <v>12.426600000000001</v>
      </c>
      <c r="F22" s="10">
        <f t="shared" si="0"/>
        <v>7.8427237852700706E-3</v>
      </c>
      <c r="G22" s="11">
        <v>6.1052</v>
      </c>
      <c r="H22" s="11">
        <v>3.9090400000000001</v>
      </c>
      <c r="I22" s="15">
        <f t="shared" si="1"/>
        <v>-0.35971958330603399</v>
      </c>
      <c r="J22" s="11">
        <v>5.3935000000000004</v>
      </c>
      <c r="K22" s="11">
        <v>2.3559000000000001</v>
      </c>
      <c r="L22" s="16">
        <f t="shared" si="3"/>
        <v>-0.56319644015945103</v>
      </c>
      <c r="M22" s="14">
        <v>11.922516999999999</v>
      </c>
      <c r="N22" s="14">
        <v>3.2330999999999999</v>
      </c>
      <c r="O22" s="15">
        <f t="shared" si="4"/>
        <v>-0.72882403942053497</v>
      </c>
      <c r="P22" s="14">
        <f t="shared" si="5"/>
        <v>23.421216999999999</v>
      </c>
      <c r="Q22" s="14">
        <f t="shared" si="6"/>
        <v>9.4980399999999996</v>
      </c>
      <c r="R22" s="15">
        <f t="shared" si="7"/>
        <v>-0.59446855387574404</v>
      </c>
      <c r="S22" s="9">
        <v>62.766216999999997</v>
      </c>
      <c r="T22" s="9">
        <v>31.899840000000001</v>
      </c>
      <c r="U22" s="15">
        <f t="shared" si="2"/>
        <v>-0.49176736268811599</v>
      </c>
    </row>
    <row r="23" spans="1:21" ht="18">
      <c r="A23" s="239"/>
      <c r="B23" s="8" t="s">
        <v>217</v>
      </c>
      <c r="C23" s="9">
        <v>159.5</v>
      </c>
      <c r="D23" s="9">
        <v>73.754965999999996</v>
      </c>
      <c r="E23" s="9">
        <v>133.816191</v>
      </c>
      <c r="F23" s="10">
        <f t="shared" si="0"/>
        <v>0.81433465781815995</v>
      </c>
      <c r="G23" s="11">
        <v>27.578600000000002</v>
      </c>
      <c r="H23" s="11">
        <v>45.802258999999999</v>
      </c>
      <c r="I23" s="10">
        <f t="shared" si="1"/>
        <v>0.660789851551565</v>
      </c>
      <c r="J23" s="11">
        <v>26.055890000000002</v>
      </c>
      <c r="K23" s="11">
        <v>46.414951000000002</v>
      </c>
      <c r="L23" s="10">
        <f t="shared" si="3"/>
        <v>0.78136118167523705</v>
      </c>
      <c r="M23" s="14">
        <v>26.285392000000002</v>
      </c>
      <c r="N23" s="14">
        <v>22.568593</v>
      </c>
      <c r="O23" s="15">
        <f t="shared" si="4"/>
        <v>-0.14140169566426899</v>
      </c>
      <c r="P23" s="14">
        <f t="shared" si="5"/>
        <v>79.919882000000001</v>
      </c>
      <c r="Q23" s="14">
        <f t="shared" si="6"/>
        <v>114.785803</v>
      </c>
      <c r="R23" s="10">
        <f t="shared" si="7"/>
        <v>0.436260916901754</v>
      </c>
      <c r="S23" s="9">
        <v>226.46830199999999</v>
      </c>
      <c r="T23" s="9">
        <v>324.78014999999999</v>
      </c>
      <c r="U23" s="18">
        <f t="shared" si="2"/>
        <v>0.43410864625107698</v>
      </c>
    </row>
    <row r="24" spans="1:21" ht="18">
      <c r="A24" s="239"/>
      <c r="B24" s="8" t="s">
        <v>222</v>
      </c>
      <c r="C24" s="9">
        <v>69.7</v>
      </c>
      <c r="D24" s="9">
        <v>6.915654</v>
      </c>
      <c r="E24" s="9">
        <v>22.6922</v>
      </c>
      <c r="F24" s="10">
        <f t="shared" si="0"/>
        <v>2.2812804110789799</v>
      </c>
      <c r="G24" s="11">
        <v>10.275499999999999</v>
      </c>
      <c r="H24" s="11">
        <v>10.321400000000001</v>
      </c>
      <c r="I24" s="10">
        <f t="shared" si="1"/>
        <v>4.4669359155273796E-3</v>
      </c>
      <c r="J24" s="11">
        <v>9.6944999999999997</v>
      </c>
      <c r="K24" s="11">
        <v>9.8496000000000006</v>
      </c>
      <c r="L24" s="10">
        <f t="shared" si="3"/>
        <v>1.59987621847439E-2</v>
      </c>
      <c r="M24" s="14">
        <v>12.127800000000001</v>
      </c>
      <c r="N24" s="14">
        <v>14.439500000000001</v>
      </c>
      <c r="O24" s="10">
        <f t="shared" si="4"/>
        <v>0.19061165256682999</v>
      </c>
      <c r="P24" s="14">
        <f t="shared" si="5"/>
        <v>32.097799999999999</v>
      </c>
      <c r="Q24" s="14">
        <f t="shared" si="6"/>
        <v>34.610500000000002</v>
      </c>
      <c r="R24" s="10">
        <f t="shared" si="7"/>
        <v>7.8282623731221496E-2</v>
      </c>
      <c r="S24" s="9">
        <v>79.678100000000001</v>
      </c>
      <c r="T24" s="9">
        <v>64.218354000000005</v>
      </c>
      <c r="U24" s="15">
        <f t="shared" si="2"/>
        <v>-0.194027543327464</v>
      </c>
    </row>
    <row r="25" spans="1:21" ht="18">
      <c r="A25" s="239"/>
      <c r="B25" s="8" t="s">
        <v>226</v>
      </c>
      <c r="C25" s="9">
        <v>106.3</v>
      </c>
      <c r="D25" s="9">
        <v>66.333749999999995</v>
      </c>
      <c r="E25" s="9">
        <v>69.965999999999994</v>
      </c>
      <c r="F25" s="10">
        <f t="shared" si="0"/>
        <v>5.4757193736220303E-2</v>
      </c>
      <c r="G25" s="11">
        <v>15.414</v>
      </c>
      <c r="H25" s="11">
        <v>23.321400000000001</v>
      </c>
      <c r="I25" s="10">
        <f t="shared" si="1"/>
        <v>0.51300116776955995</v>
      </c>
      <c r="J25" s="11">
        <v>16.5505</v>
      </c>
      <c r="K25" s="11">
        <v>24.056799999999999</v>
      </c>
      <c r="L25" s="10">
        <f t="shared" si="3"/>
        <v>0.453539168000967</v>
      </c>
      <c r="M25" s="14">
        <v>24.905799999999999</v>
      </c>
      <c r="N25" s="14">
        <v>18.1462</v>
      </c>
      <c r="O25" s="15">
        <f t="shared" si="4"/>
        <v>-0.27140666029599497</v>
      </c>
      <c r="P25" s="14">
        <f t="shared" si="5"/>
        <v>56.8703</v>
      </c>
      <c r="Q25" s="14">
        <f t="shared" si="6"/>
        <v>65.5244</v>
      </c>
      <c r="R25" s="10">
        <f t="shared" si="7"/>
        <v>0.15217257514027499</v>
      </c>
      <c r="S25" s="9">
        <v>191.75470799999999</v>
      </c>
      <c r="T25" s="9">
        <v>201.82415</v>
      </c>
      <c r="U25" s="18">
        <f t="shared" si="2"/>
        <v>5.2512097903744802E-2</v>
      </c>
    </row>
    <row r="26" spans="1:21" s="3" customFormat="1" ht="18">
      <c r="A26" s="240"/>
      <c r="B26" s="6" t="s">
        <v>31</v>
      </c>
      <c r="C26" s="12">
        <f t="shared" ref="C26:H26" si="14">SUM(C20:C25)</f>
        <v>560.9</v>
      </c>
      <c r="D26" s="12">
        <f t="shared" si="14"/>
        <v>297.95481000000001</v>
      </c>
      <c r="E26" s="12">
        <f t="shared" si="14"/>
        <v>312.331794</v>
      </c>
      <c r="F26" s="13">
        <f t="shared" si="0"/>
        <v>4.8252229927081801E-2</v>
      </c>
      <c r="G26" s="12">
        <f t="shared" si="14"/>
        <v>76.781400000000005</v>
      </c>
      <c r="H26" s="12">
        <f t="shared" si="14"/>
        <v>105.778299</v>
      </c>
      <c r="I26" s="13">
        <f t="shared" si="1"/>
        <v>0.37765525244395098</v>
      </c>
      <c r="J26" s="12">
        <f t="shared" ref="J26:N26" si="15">SUM(J20:J25)</f>
        <v>61.107689999999998</v>
      </c>
      <c r="K26" s="12">
        <f t="shared" si="15"/>
        <v>97.664250999999993</v>
      </c>
      <c r="L26" s="13">
        <f t="shared" si="3"/>
        <v>0.59823176101076603</v>
      </c>
      <c r="M26" s="12">
        <f t="shared" si="15"/>
        <v>146.74920900000001</v>
      </c>
      <c r="N26" s="12">
        <f t="shared" si="15"/>
        <v>78.122893000000005</v>
      </c>
      <c r="O26" s="13">
        <f t="shared" si="4"/>
        <v>-0.46764351554358302</v>
      </c>
      <c r="P26" s="12">
        <f t="shared" ref="P26:T26" si="16">SUM(P20:P25)</f>
        <v>284.63829900000002</v>
      </c>
      <c r="Q26" s="12">
        <f t="shared" si="16"/>
        <v>281.56544300000002</v>
      </c>
      <c r="R26" s="13">
        <f t="shared" si="7"/>
        <v>-1.07956519231448E-2</v>
      </c>
      <c r="S26" s="12">
        <f t="shared" si="16"/>
        <v>818.41982700000005</v>
      </c>
      <c r="T26" s="12">
        <f t="shared" si="16"/>
        <v>891.92053699999997</v>
      </c>
      <c r="U26" s="13">
        <f t="shared" si="2"/>
        <v>8.9808075971747003E-2</v>
      </c>
    </row>
    <row r="27" spans="1:21" ht="18">
      <c r="A27" s="238" t="s">
        <v>164</v>
      </c>
      <c r="B27" s="8" t="s">
        <v>182</v>
      </c>
      <c r="C27" s="9">
        <v>109.5</v>
      </c>
      <c r="D27" s="9">
        <v>0.94840000000000002</v>
      </c>
      <c r="E27" s="9">
        <v>0.27660000000000001</v>
      </c>
      <c r="F27" s="10">
        <f t="shared" si="0"/>
        <v>-0.70835090679038404</v>
      </c>
      <c r="G27" s="11">
        <v>0</v>
      </c>
      <c r="H27" s="11">
        <v>0</v>
      </c>
      <c r="I27" s="10" t="e">
        <f t="shared" si="1"/>
        <v>#DIV/0!</v>
      </c>
      <c r="J27" s="11">
        <v>0</v>
      </c>
      <c r="K27" s="11">
        <v>0</v>
      </c>
      <c r="L27" s="10" t="e">
        <f t="shared" si="3"/>
        <v>#DIV/0!</v>
      </c>
      <c r="M27" s="14">
        <v>0.33750000000000002</v>
      </c>
      <c r="N27" s="14">
        <v>0</v>
      </c>
      <c r="O27" s="15">
        <f t="shared" si="4"/>
        <v>-1</v>
      </c>
      <c r="P27" s="14">
        <f t="shared" si="5"/>
        <v>0.33750000000000002</v>
      </c>
      <c r="Q27" s="14">
        <f t="shared" si="6"/>
        <v>0</v>
      </c>
      <c r="R27" s="15">
        <f t="shared" si="7"/>
        <v>-1</v>
      </c>
      <c r="S27" s="9">
        <v>5.2317999999999998</v>
      </c>
      <c r="T27" s="9">
        <v>1.2250000000000001</v>
      </c>
      <c r="U27" s="15">
        <f t="shared" si="2"/>
        <v>-0.76585496387476604</v>
      </c>
    </row>
    <row r="28" spans="1:21" ht="18">
      <c r="A28" s="239"/>
      <c r="B28" s="8" t="s">
        <v>174</v>
      </c>
      <c r="C28" s="9">
        <v>150.9</v>
      </c>
      <c r="D28" s="9">
        <v>126.769178</v>
      </c>
      <c r="E28" s="9">
        <v>152.85661099999999</v>
      </c>
      <c r="F28" s="10">
        <f t="shared" si="0"/>
        <v>0.20578687510303201</v>
      </c>
      <c r="G28" s="11">
        <v>27.829908</v>
      </c>
      <c r="H28" s="11">
        <v>23.628641999999999</v>
      </c>
      <c r="I28" s="10">
        <f t="shared" si="1"/>
        <v>-0.150962266925209</v>
      </c>
      <c r="J28" s="11">
        <v>10.844118</v>
      </c>
      <c r="K28" s="11">
        <v>8.9899000000000004</v>
      </c>
      <c r="L28" s="16">
        <f t="shared" si="3"/>
        <v>-0.170988364383346</v>
      </c>
      <c r="M28" s="14">
        <v>31.557676000000001</v>
      </c>
      <c r="N28" s="14">
        <v>14.747947999999999</v>
      </c>
      <c r="O28" s="15">
        <f t="shared" si="4"/>
        <v>-0.53266685417519299</v>
      </c>
      <c r="P28" s="14">
        <f t="shared" si="5"/>
        <v>70.231701999999999</v>
      </c>
      <c r="Q28" s="14">
        <f t="shared" si="6"/>
        <v>47.366489999999999</v>
      </c>
      <c r="R28" s="15">
        <f t="shared" si="7"/>
        <v>-0.32556824551966601</v>
      </c>
      <c r="S28" s="9">
        <v>183.84305000000001</v>
      </c>
      <c r="T28" s="9">
        <v>326.992279</v>
      </c>
      <c r="U28" s="18">
        <f t="shared" si="2"/>
        <v>0.77864911945270698</v>
      </c>
    </row>
    <row r="29" spans="1:21" ht="18">
      <c r="A29" s="239"/>
      <c r="B29" s="8" t="s">
        <v>184</v>
      </c>
      <c r="C29" s="9">
        <v>58.4</v>
      </c>
      <c r="D29" s="9">
        <v>3.3367</v>
      </c>
      <c r="E29" s="9">
        <v>0.1479</v>
      </c>
      <c r="F29" s="10">
        <f t="shared" si="0"/>
        <v>-0.95567476848383104</v>
      </c>
      <c r="G29" s="11">
        <v>7.1086</v>
      </c>
      <c r="H29" s="11">
        <v>0</v>
      </c>
      <c r="I29" s="15">
        <f t="shared" si="1"/>
        <v>-1</v>
      </c>
      <c r="J29" s="11">
        <v>5.2183000000000002</v>
      </c>
      <c r="K29" s="11">
        <v>0</v>
      </c>
      <c r="L29" s="16">
        <f t="shared" si="3"/>
        <v>-1</v>
      </c>
      <c r="M29" s="14">
        <v>2.2803</v>
      </c>
      <c r="N29" s="14">
        <v>0</v>
      </c>
      <c r="O29" s="15">
        <f t="shared" si="4"/>
        <v>-1</v>
      </c>
      <c r="P29" s="14">
        <f t="shared" si="5"/>
        <v>14.607200000000001</v>
      </c>
      <c r="Q29" s="14">
        <f t="shared" si="6"/>
        <v>0</v>
      </c>
      <c r="R29" s="15">
        <f t="shared" si="7"/>
        <v>-1</v>
      </c>
      <c r="S29" s="9">
        <v>50.249899999999997</v>
      </c>
      <c r="T29" s="9">
        <v>3.4845999999999999</v>
      </c>
      <c r="U29" s="15">
        <f t="shared" si="2"/>
        <v>-0.93065458836734005</v>
      </c>
    </row>
    <row r="30" spans="1:21" ht="18">
      <c r="A30" s="239"/>
      <c r="B30" s="8" t="s">
        <v>189</v>
      </c>
      <c r="C30" s="9">
        <v>17.899999999999999</v>
      </c>
      <c r="D30" s="9">
        <v>0</v>
      </c>
      <c r="E30" s="9">
        <v>0</v>
      </c>
      <c r="F30" s="10" t="e">
        <f t="shared" si="0"/>
        <v>#DIV/0!</v>
      </c>
      <c r="G30" s="11">
        <v>0</v>
      </c>
      <c r="H30" s="11">
        <v>0</v>
      </c>
      <c r="I30" s="10" t="e">
        <f t="shared" si="1"/>
        <v>#DIV/0!</v>
      </c>
      <c r="J30" s="11">
        <v>0</v>
      </c>
      <c r="K30" s="11">
        <v>0</v>
      </c>
      <c r="L30" s="10" t="e">
        <f t="shared" si="3"/>
        <v>#DIV/0!</v>
      </c>
      <c r="M30" s="14">
        <v>0</v>
      </c>
      <c r="N30" s="14">
        <v>0</v>
      </c>
      <c r="O30" s="10" t="e">
        <f t="shared" si="4"/>
        <v>#DIV/0!</v>
      </c>
      <c r="P30" s="14">
        <f t="shared" si="5"/>
        <v>0</v>
      </c>
      <c r="Q30" s="14">
        <f t="shared" si="6"/>
        <v>0</v>
      </c>
      <c r="R30" s="10" t="e">
        <f t="shared" si="7"/>
        <v>#DIV/0!</v>
      </c>
      <c r="S30" s="9">
        <v>0.66490000000000005</v>
      </c>
      <c r="T30" s="9">
        <v>0</v>
      </c>
      <c r="U30" s="15">
        <f t="shared" si="2"/>
        <v>-1</v>
      </c>
    </row>
    <row r="31" spans="1:21" ht="18">
      <c r="A31" s="239"/>
      <c r="B31" s="8" t="s">
        <v>532</v>
      </c>
      <c r="C31" s="9">
        <v>46.9</v>
      </c>
      <c r="D31" s="9"/>
      <c r="E31" s="9"/>
      <c r="F31" s="10" t="e">
        <f t="shared" si="0"/>
        <v>#DIV/0!</v>
      </c>
      <c r="G31" s="11"/>
      <c r="H31" s="11"/>
      <c r="I31" s="10" t="e">
        <f t="shared" si="1"/>
        <v>#DIV/0!</v>
      </c>
      <c r="J31" s="11"/>
      <c r="K31" s="11"/>
      <c r="L31" s="10" t="e">
        <f t="shared" si="3"/>
        <v>#DIV/0!</v>
      </c>
      <c r="M31" s="14"/>
      <c r="N31" s="14"/>
      <c r="O31" s="10" t="e">
        <f t="shared" si="4"/>
        <v>#DIV/0!</v>
      </c>
      <c r="P31" s="14">
        <f t="shared" si="5"/>
        <v>0</v>
      </c>
      <c r="Q31" s="14">
        <f t="shared" si="6"/>
        <v>0</v>
      </c>
      <c r="R31" s="10" t="e">
        <f t="shared" si="7"/>
        <v>#DIV/0!</v>
      </c>
      <c r="S31" s="9"/>
      <c r="T31" s="9"/>
      <c r="U31" s="18" t="e">
        <f t="shared" si="2"/>
        <v>#DIV/0!</v>
      </c>
    </row>
    <row r="32" spans="1:21" ht="18">
      <c r="A32" s="239"/>
      <c r="B32" s="8" t="s">
        <v>533</v>
      </c>
      <c r="C32" s="9">
        <v>47.4</v>
      </c>
      <c r="D32" s="9"/>
      <c r="E32" s="9"/>
      <c r="F32" s="10" t="e">
        <f t="shared" si="0"/>
        <v>#DIV/0!</v>
      </c>
      <c r="G32" s="11"/>
      <c r="H32" s="11"/>
      <c r="I32" s="10" t="e">
        <f t="shared" si="1"/>
        <v>#DIV/0!</v>
      </c>
      <c r="J32" s="11"/>
      <c r="K32" s="11"/>
      <c r="L32" s="10" t="e">
        <f t="shared" si="3"/>
        <v>#DIV/0!</v>
      </c>
      <c r="M32" s="14"/>
      <c r="N32" s="14"/>
      <c r="O32" s="10" t="e">
        <f t="shared" si="4"/>
        <v>#DIV/0!</v>
      </c>
      <c r="P32" s="14">
        <f t="shared" si="5"/>
        <v>0</v>
      </c>
      <c r="Q32" s="14">
        <f t="shared" si="6"/>
        <v>0</v>
      </c>
      <c r="R32" s="10" t="e">
        <f t="shared" si="7"/>
        <v>#DIV/0!</v>
      </c>
      <c r="S32" s="9"/>
      <c r="T32" s="9"/>
      <c r="U32" s="18" t="e">
        <f t="shared" si="2"/>
        <v>#DIV/0!</v>
      </c>
    </row>
    <row r="33" spans="1:21" ht="18">
      <c r="A33" s="239"/>
      <c r="B33" s="8" t="s">
        <v>166</v>
      </c>
      <c r="C33" s="9">
        <v>191.8</v>
      </c>
      <c r="D33" s="9">
        <v>23.594954000000001</v>
      </c>
      <c r="E33" s="9">
        <v>34.136499999999998</v>
      </c>
      <c r="F33" s="10">
        <f t="shared" si="0"/>
        <v>0.446771203707369</v>
      </c>
      <c r="G33" s="11">
        <v>19.628399999999999</v>
      </c>
      <c r="H33" s="11">
        <v>1.85</v>
      </c>
      <c r="I33" s="15">
        <f t="shared" si="1"/>
        <v>-0.90574881294450904</v>
      </c>
      <c r="J33" s="11">
        <v>13.1828</v>
      </c>
      <c r="K33" s="11">
        <v>8.01</v>
      </c>
      <c r="L33" s="16">
        <f t="shared" si="3"/>
        <v>-0.39239008404891201</v>
      </c>
      <c r="M33" s="14">
        <v>22.036200000000001</v>
      </c>
      <c r="N33" s="14">
        <v>6.1666999999999996</v>
      </c>
      <c r="O33" s="15">
        <f t="shared" si="4"/>
        <v>-0.72015592525026995</v>
      </c>
      <c r="P33" s="14">
        <f t="shared" si="5"/>
        <v>54.8474</v>
      </c>
      <c r="Q33" s="14">
        <f t="shared" si="6"/>
        <v>16.026700000000002</v>
      </c>
      <c r="R33" s="15">
        <f t="shared" si="7"/>
        <v>-0.70779471770767599</v>
      </c>
      <c r="S33" s="9">
        <v>183.03153</v>
      </c>
      <c r="T33" s="9">
        <v>73.758154000000005</v>
      </c>
      <c r="U33" s="15">
        <f t="shared" si="2"/>
        <v>-0.59701940971591105</v>
      </c>
    </row>
    <row r="34" spans="1:21" ht="18">
      <c r="A34" s="239"/>
      <c r="B34" s="8" t="s">
        <v>534</v>
      </c>
      <c r="C34" s="9">
        <v>98.1</v>
      </c>
      <c r="D34" s="9"/>
      <c r="E34" s="9"/>
      <c r="F34" s="10" t="e">
        <f t="shared" si="0"/>
        <v>#DIV/0!</v>
      </c>
      <c r="G34" s="11"/>
      <c r="H34" s="11"/>
      <c r="I34" s="10" t="e">
        <f t="shared" si="1"/>
        <v>#DIV/0!</v>
      </c>
      <c r="J34" s="11"/>
      <c r="K34" s="11"/>
      <c r="L34" s="10" t="e">
        <f t="shared" si="3"/>
        <v>#DIV/0!</v>
      </c>
      <c r="M34" s="14"/>
      <c r="N34" s="14"/>
      <c r="O34" s="10" t="e">
        <f t="shared" si="4"/>
        <v>#DIV/0!</v>
      </c>
      <c r="P34" s="14">
        <f t="shared" si="5"/>
        <v>0</v>
      </c>
      <c r="Q34" s="14">
        <f t="shared" si="6"/>
        <v>0</v>
      </c>
      <c r="R34" s="10" t="e">
        <f t="shared" si="7"/>
        <v>#DIV/0!</v>
      </c>
      <c r="S34" s="9"/>
      <c r="T34" s="9"/>
      <c r="U34" s="18" t="e">
        <f t="shared" si="2"/>
        <v>#DIV/0!</v>
      </c>
    </row>
    <row r="35" spans="1:21" s="3" customFormat="1" ht="18">
      <c r="A35" s="240"/>
      <c r="B35" s="6" t="s">
        <v>31</v>
      </c>
      <c r="C35" s="12">
        <f t="shared" ref="C35:H35" si="17">SUM(C27:C34)</f>
        <v>720.9</v>
      </c>
      <c r="D35" s="12">
        <f t="shared" si="17"/>
        <v>154.64923200000001</v>
      </c>
      <c r="E35" s="12">
        <f t="shared" si="17"/>
        <v>187.41761099999999</v>
      </c>
      <c r="F35" s="13">
        <f t="shared" si="0"/>
        <v>0.21188840433426701</v>
      </c>
      <c r="G35" s="12">
        <f t="shared" si="17"/>
        <v>54.566907999999998</v>
      </c>
      <c r="H35" s="12">
        <f t="shared" si="17"/>
        <v>25.478642000000001</v>
      </c>
      <c r="I35" s="13">
        <f t="shared" si="1"/>
        <v>-0.53307521107847999</v>
      </c>
      <c r="J35" s="12">
        <f t="shared" ref="J35:N35" si="18">SUM(J27:J34)</f>
        <v>29.245218000000001</v>
      </c>
      <c r="K35" s="12">
        <f t="shared" si="18"/>
        <v>16.9999</v>
      </c>
      <c r="L35" s="17">
        <f t="shared" si="3"/>
        <v>-0.41871180443927603</v>
      </c>
      <c r="M35" s="12">
        <f t="shared" si="18"/>
        <v>56.211675999999997</v>
      </c>
      <c r="N35" s="12">
        <f t="shared" si="18"/>
        <v>20.914648</v>
      </c>
      <c r="O35" s="13">
        <f t="shared" si="4"/>
        <v>-0.62793053884392303</v>
      </c>
      <c r="P35" s="12">
        <f t="shared" ref="P35:T35" si="19">SUM(P27:P34)</f>
        <v>140.02380199999999</v>
      </c>
      <c r="Q35" s="12">
        <f t="shared" si="19"/>
        <v>63.393189999999997</v>
      </c>
      <c r="R35" s="13">
        <f t="shared" si="7"/>
        <v>-0.54726847082755303</v>
      </c>
      <c r="S35" s="12">
        <f t="shared" si="19"/>
        <v>423.02118000000002</v>
      </c>
      <c r="T35" s="12">
        <f t="shared" si="19"/>
        <v>405.46003300000001</v>
      </c>
      <c r="U35" s="13">
        <f t="shared" si="2"/>
        <v>-4.1513635321994903E-2</v>
      </c>
    </row>
    <row r="36" spans="1:21" ht="18">
      <c r="A36" s="238" t="s">
        <v>168</v>
      </c>
      <c r="B36" s="8" t="s">
        <v>199</v>
      </c>
      <c r="C36" s="9">
        <v>26.4</v>
      </c>
      <c r="D36" s="9">
        <v>0</v>
      </c>
      <c r="E36" s="9">
        <v>0</v>
      </c>
      <c r="F36" s="10" t="e">
        <f t="shared" si="0"/>
        <v>#DIV/0!</v>
      </c>
      <c r="G36" s="11">
        <v>1</v>
      </c>
      <c r="H36" s="11">
        <v>0</v>
      </c>
      <c r="I36" s="15">
        <f t="shared" si="1"/>
        <v>-1</v>
      </c>
      <c r="J36" s="11">
        <v>0</v>
      </c>
      <c r="K36" s="11">
        <v>0</v>
      </c>
      <c r="L36" s="10" t="e">
        <f t="shared" si="3"/>
        <v>#DIV/0!</v>
      </c>
      <c r="M36" s="14">
        <v>0</v>
      </c>
      <c r="N36" s="14">
        <v>0</v>
      </c>
      <c r="O36" s="10" t="e">
        <f t="shared" si="4"/>
        <v>#DIV/0!</v>
      </c>
      <c r="P36" s="14">
        <f t="shared" si="5"/>
        <v>1</v>
      </c>
      <c r="Q36" s="14">
        <f t="shared" si="6"/>
        <v>0</v>
      </c>
      <c r="R36" s="15">
        <f t="shared" si="7"/>
        <v>-1</v>
      </c>
      <c r="S36" s="9">
        <v>3</v>
      </c>
      <c r="T36" s="9">
        <v>0</v>
      </c>
      <c r="U36" s="15">
        <f t="shared" si="2"/>
        <v>-1</v>
      </c>
    </row>
    <row r="37" spans="1:21" ht="18">
      <c r="A37" s="239"/>
      <c r="B37" s="8" t="s">
        <v>191</v>
      </c>
      <c r="C37" s="9">
        <v>49.2</v>
      </c>
      <c r="D37" s="9">
        <v>0</v>
      </c>
      <c r="E37" s="9">
        <v>0</v>
      </c>
      <c r="F37" s="10" t="e">
        <f t="shared" si="0"/>
        <v>#DIV/0!</v>
      </c>
      <c r="G37" s="11">
        <v>0</v>
      </c>
      <c r="H37" s="11">
        <v>0</v>
      </c>
      <c r="I37" s="10" t="e">
        <f t="shared" si="1"/>
        <v>#DIV/0!</v>
      </c>
      <c r="J37" s="11">
        <v>0</v>
      </c>
      <c r="K37" s="11">
        <v>0</v>
      </c>
      <c r="L37" s="10" t="e">
        <f t="shared" ref="L37:L77" si="20">K37/J37-1</f>
        <v>#DIV/0!</v>
      </c>
      <c r="M37" s="14">
        <v>0</v>
      </c>
      <c r="N37" s="14">
        <v>0</v>
      </c>
      <c r="O37" s="10" t="e">
        <f t="shared" ref="O37:O77" si="21">N37/M37-1</f>
        <v>#DIV/0!</v>
      </c>
      <c r="P37" s="14">
        <f t="shared" ref="P37:P75" si="22">G37+J37+M37</f>
        <v>0</v>
      </c>
      <c r="Q37" s="14">
        <f t="shared" ref="Q37:Q75" si="23">H37+K37+N37</f>
        <v>0</v>
      </c>
      <c r="R37" s="10" t="e">
        <f t="shared" ref="R37:R77" si="24">Q37/P37-1</f>
        <v>#DIV/0!</v>
      </c>
      <c r="S37" s="9">
        <v>1.9218</v>
      </c>
      <c r="T37" s="9">
        <v>0</v>
      </c>
      <c r="U37" s="15">
        <f t="shared" si="2"/>
        <v>-1</v>
      </c>
    </row>
    <row r="38" spans="1:21" ht="18">
      <c r="A38" s="239"/>
      <c r="B38" s="8" t="s">
        <v>535</v>
      </c>
      <c r="C38" s="9">
        <v>24.5</v>
      </c>
      <c r="D38" s="9"/>
      <c r="E38" s="9"/>
      <c r="F38" s="10" t="e">
        <f t="shared" si="0"/>
        <v>#DIV/0!</v>
      </c>
      <c r="G38" s="11"/>
      <c r="H38" s="11"/>
      <c r="I38" s="10" t="e">
        <f t="shared" si="1"/>
        <v>#DIV/0!</v>
      </c>
      <c r="J38" s="11"/>
      <c r="K38" s="11"/>
      <c r="L38" s="10" t="e">
        <f t="shared" si="20"/>
        <v>#DIV/0!</v>
      </c>
      <c r="M38" s="14"/>
      <c r="N38" s="14"/>
      <c r="O38" s="10" t="e">
        <f t="shared" si="21"/>
        <v>#DIV/0!</v>
      </c>
      <c r="P38" s="14">
        <f t="shared" si="22"/>
        <v>0</v>
      </c>
      <c r="Q38" s="14">
        <f t="shared" si="23"/>
        <v>0</v>
      </c>
      <c r="R38" s="10" t="e">
        <f t="shared" si="24"/>
        <v>#DIV/0!</v>
      </c>
      <c r="S38" s="9"/>
      <c r="T38" s="9"/>
      <c r="U38" s="18" t="e">
        <f t="shared" si="2"/>
        <v>#DIV/0!</v>
      </c>
    </row>
    <row r="39" spans="1:21" ht="18">
      <c r="A39" s="239"/>
      <c r="B39" s="8" t="s">
        <v>197</v>
      </c>
      <c r="C39" s="9">
        <v>36.9</v>
      </c>
      <c r="D39" s="9">
        <v>0.56120000000000003</v>
      </c>
      <c r="E39" s="9">
        <v>0</v>
      </c>
      <c r="F39" s="10">
        <f t="shared" si="0"/>
        <v>-1</v>
      </c>
      <c r="G39" s="11">
        <v>0</v>
      </c>
      <c r="H39" s="11">
        <v>0.43540000000000001</v>
      </c>
      <c r="I39" s="10" t="e">
        <f t="shared" si="1"/>
        <v>#DIV/0!</v>
      </c>
      <c r="J39" s="11">
        <v>0</v>
      </c>
      <c r="K39" s="11">
        <v>0</v>
      </c>
      <c r="L39" s="10" t="e">
        <f t="shared" si="20"/>
        <v>#DIV/0!</v>
      </c>
      <c r="M39" s="14">
        <v>0</v>
      </c>
      <c r="N39" s="14">
        <v>0</v>
      </c>
      <c r="O39" s="10" t="e">
        <f t="shared" si="21"/>
        <v>#DIV/0!</v>
      </c>
      <c r="P39" s="14">
        <f t="shared" si="22"/>
        <v>0</v>
      </c>
      <c r="Q39" s="14">
        <f t="shared" si="23"/>
        <v>0.43540000000000001</v>
      </c>
      <c r="R39" s="10" t="e">
        <f t="shared" si="24"/>
        <v>#DIV/0!</v>
      </c>
      <c r="S39" s="9">
        <v>0.29980000000000001</v>
      </c>
      <c r="T39" s="9">
        <v>0.99660000000000004</v>
      </c>
      <c r="U39" s="18">
        <f t="shared" si="2"/>
        <v>2.3242161440960598</v>
      </c>
    </row>
    <row r="40" spans="1:21" ht="18">
      <c r="A40" s="239"/>
      <c r="B40" s="8" t="s">
        <v>170</v>
      </c>
      <c r="C40" s="9">
        <v>92.9</v>
      </c>
      <c r="D40" s="9">
        <v>57.295099999999998</v>
      </c>
      <c r="E40" s="9">
        <v>61.617100000000001</v>
      </c>
      <c r="F40" s="10">
        <f t="shared" si="0"/>
        <v>7.5434024899162497E-2</v>
      </c>
      <c r="G40" s="11">
        <v>10.2639</v>
      </c>
      <c r="H40" s="11">
        <v>12.4398</v>
      </c>
      <c r="I40" s="10">
        <f t="shared" si="1"/>
        <v>0.211995440329699</v>
      </c>
      <c r="J40" s="11">
        <v>16.038499999999999</v>
      </c>
      <c r="K40" s="11">
        <v>7.3093000000000004</v>
      </c>
      <c r="L40" s="16">
        <f t="shared" si="20"/>
        <v>-0.54426536147395299</v>
      </c>
      <c r="M40" s="14">
        <v>11.0047</v>
      </c>
      <c r="N40" s="14">
        <v>13.820499999999999</v>
      </c>
      <c r="O40" s="10">
        <f t="shared" si="21"/>
        <v>0.255872490844821</v>
      </c>
      <c r="P40" s="14">
        <f t="shared" si="22"/>
        <v>37.307099999999998</v>
      </c>
      <c r="Q40" s="14">
        <f t="shared" si="23"/>
        <v>33.569600000000001</v>
      </c>
      <c r="R40" s="15">
        <f t="shared" si="24"/>
        <v>-0.10018200288953</v>
      </c>
      <c r="S40" s="9">
        <v>116.75463999999999</v>
      </c>
      <c r="T40" s="9">
        <v>152.48179999999999</v>
      </c>
      <c r="U40" s="18">
        <f t="shared" si="2"/>
        <v>0.30600205696321803</v>
      </c>
    </row>
    <row r="41" spans="1:21" s="3" customFormat="1" ht="18">
      <c r="A41" s="240"/>
      <c r="B41" s="6" t="s">
        <v>31</v>
      </c>
      <c r="C41" s="12">
        <f t="shared" ref="C41:H41" si="25">SUM(C36:C40)</f>
        <v>229.9</v>
      </c>
      <c r="D41" s="12">
        <f t="shared" si="25"/>
        <v>57.856299999999997</v>
      </c>
      <c r="E41" s="12">
        <f t="shared" si="25"/>
        <v>61.617100000000001</v>
      </c>
      <c r="F41" s="13">
        <f t="shared" si="0"/>
        <v>6.5002428430438894E-2</v>
      </c>
      <c r="G41" s="12">
        <f t="shared" si="25"/>
        <v>11.2639</v>
      </c>
      <c r="H41" s="12">
        <f t="shared" si="25"/>
        <v>12.8752</v>
      </c>
      <c r="I41" s="13">
        <f t="shared" si="1"/>
        <v>0.143049920542619</v>
      </c>
      <c r="J41" s="12">
        <f t="shared" ref="J41:N41" si="26">SUM(J36:J40)</f>
        <v>16.038499999999999</v>
      </c>
      <c r="K41" s="12">
        <f t="shared" si="26"/>
        <v>7.3093000000000004</v>
      </c>
      <c r="L41" s="17">
        <f t="shared" si="20"/>
        <v>-0.54426536147395299</v>
      </c>
      <c r="M41" s="12">
        <f t="shared" si="26"/>
        <v>11.0047</v>
      </c>
      <c r="N41" s="12">
        <f t="shared" si="26"/>
        <v>13.820499999999999</v>
      </c>
      <c r="O41" s="13">
        <f t="shared" si="21"/>
        <v>0.255872490844821</v>
      </c>
      <c r="P41" s="12">
        <f t="shared" ref="P41:T41" si="27">SUM(P36:P40)</f>
        <v>38.307099999999998</v>
      </c>
      <c r="Q41" s="12">
        <f t="shared" si="27"/>
        <v>34.005000000000003</v>
      </c>
      <c r="R41" s="13">
        <f t="shared" si="24"/>
        <v>-0.11230555171234601</v>
      </c>
      <c r="S41" s="12">
        <f t="shared" si="27"/>
        <v>121.97624</v>
      </c>
      <c r="T41" s="12">
        <f t="shared" si="27"/>
        <v>153.47839999999999</v>
      </c>
      <c r="U41" s="13">
        <f t="shared" si="2"/>
        <v>0.25826472434303599</v>
      </c>
    </row>
    <row r="42" spans="1:21" ht="18">
      <c r="A42" s="241" t="s">
        <v>33</v>
      </c>
      <c r="B42" s="8" t="s">
        <v>366</v>
      </c>
      <c r="C42" s="9">
        <v>113.3</v>
      </c>
      <c r="D42" s="9">
        <v>33.4542</v>
      </c>
      <c r="E42" s="9">
        <v>45.906700000000001</v>
      </c>
      <c r="F42" s="10">
        <f t="shared" si="0"/>
        <v>0.372225311022233</v>
      </c>
      <c r="G42" s="11">
        <v>29.950600000000001</v>
      </c>
      <c r="H42" s="11">
        <v>21.764451999999999</v>
      </c>
      <c r="I42" s="15">
        <f t="shared" si="1"/>
        <v>-0.27332166968274402</v>
      </c>
      <c r="J42" s="11">
        <v>15.589399999999999</v>
      </c>
      <c r="K42" s="11">
        <v>9.9763999999999999</v>
      </c>
      <c r="L42" s="16">
        <f t="shared" si="20"/>
        <v>-0.36005234325888102</v>
      </c>
      <c r="M42" s="14">
        <v>24.877700000000001</v>
      </c>
      <c r="N42" s="14">
        <v>17.447700000000001</v>
      </c>
      <c r="O42" s="15">
        <f t="shared" si="21"/>
        <v>-0.29866104985589498</v>
      </c>
      <c r="P42" s="14">
        <f t="shared" si="22"/>
        <v>70.417699999999996</v>
      </c>
      <c r="Q42" s="14">
        <f t="shared" si="23"/>
        <v>49.188552000000001</v>
      </c>
      <c r="R42" s="15">
        <f t="shared" si="24"/>
        <v>-0.30147460084609401</v>
      </c>
      <c r="S42" s="9">
        <v>175.688863</v>
      </c>
      <c r="T42" s="9">
        <v>128.549452</v>
      </c>
      <c r="U42" s="15">
        <f t="shared" si="2"/>
        <v>-0.26831189066321198</v>
      </c>
    </row>
    <row r="43" spans="1:21" ht="18">
      <c r="A43" s="241"/>
      <c r="B43" s="8" t="s">
        <v>351</v>
      </c>
      <c r="C43" s="9">
        <v>80.900000000000006</v>
      </c>
      <c r="D43" s="9">
        <v>66.038300000000007</v>
      </c>
      <c r="E43" s="9">
        <v>68.2072</v>
      </c>
      <c r="F43" s="10">
        <f t="shared" si="0"/>
        <v>3.2843062283553603E-2</v>
      </c>
      <c r="G43" s="11">
        <v>26.866099999999999</v>
      </c>
      <c r="H43" s="11">
        <v>15.8588</v>
      </c>
      <c r="I43" s="15">
        <f t="shared" si="1"/>
        <v>-0.40970963407416799</v>
      </c>
      <c r="J43" s="11">
        <v>12.524800000000001</v>
      </c>
      <c r="K43" s="11">
        <v>18.236000000000001</v>
      </c>
      <c r="L43" s="10">
        <f t="shared" si="20"/>
        <v>0.45599131323454301</v>
      </c>
      <c r="M43" s="14">
        <v>36.585099999999997</v>
      </c>
      <c r="N43" s="14">
        <v>28.0426</v>
      </c>
      <c r="O43" s="15">
        <f t="shared" si="21"/>
        <v>-0.23349669674266299</v>
      </c>
      <c r="P43" s="14">
        <f t="shared" si="22"/>
        <v>75.975999999999999</v>
      </c>
      <c r="Q43" s="14">
        <f t="shared" si="23"/>
        <v>62.1374</v>
      </c>
      <c r="R43" s="15">
        <f t="shared" si="24"/>
        <v>-0.18214436137727699</v>
      </c>
      <c r="S43" s="9">
        <v>201.59610000000001</v>
      </c>
      <c r="T43" s="9">
        <v>196.38290000000001</v>
      </c>
      <c r="U43" s="15">
        <f t="shared" si="2"/>
        <v>-2.5859627244773101E-2</v>
      </c>
    </row>
    <row r="44" spans="1:21" ht="18">
      <c r="A44" s="241"/>
      <c r="B44" s="8" t="s">
        <v>359</v>
      </c>
      <c r="C44" s="9">
        <v>113.6</v>
      </c>
      <c r="D44" s="9">
        <v>125.266023</v>
      </c>
      <c r="E44" s="9">
        <v>209.230953</v>
      </c>
      <c r="F44" s="10">
        <f t="shared" si="0"/>
        <v>0.67029293330402895</v>
      </c>
      <c r="G44" s="11">
        <v>35.926687000000001</v>
      </c>
      <c r="H44" s="11">
        <v>37.379772000000003</v>
      </c>
      <c r="I44" s="10">
        <f t="shared" si="1"/>
        <v>4.0445839049951998E-2</v>
      </c>
      <c r="J44" s="11">
        <v>28.395959999999999</v>
      </c>
      <c r="K44" s="11">
        <v>13.666686</v>
      </c>
      <c r="L44" s="16">
        <f t="shared" si="20"/>
        <v>-0.51871019680264396</v>
      </c>
      <c r="M44" s="14">
        <v>61.042800999999997</v>
      </c>
      <c r="N44" s="14">
        <v>22.389865</v>
      </c>
      <c r="O44" s="15">
        <f t="shared" si="21"/>
        <v>-0.63321039281929403</v>
      </c>
      <c r="P44" s="14">
        <f t="shared" si="22"/>
        <v>125.365448</v>
      </c>
      <c r="Q44" s="14">
        <f t="shared" si="23"/>
        <v>73.436323000000002</v>
      </c>
      <c r="R44" s="15">
        <f t="shared" si="24"/>
        <v>-0.41422198722569897</v>
      </c>
      <c r="S44" s="9">
        <v>418.098026</v>
      </c>
      <c r="T44" s="9">
        <v>407.93329899999998</v>
      </c>
      <c r="U44" s="15">
        <f t="shared" si="2"/>
        <v>-2.4311827293822301E-2</v>
      </c>
    </row>
    <row r="45" spans="1:21" ht="18">
      <c r="A45" s="241"/>
      <c r="B45" s="8" t="s">
        <v>376</v>
      </c>
      <c r="C45" s="9">
        <v>69.8</v>
      </c>
      <c r="D45" s="9">
        <v>31.670400000000001</v>
      </c>
      <c r="E45" s="9">
        <v>20.173100000000002</v>
      </c>
      <c r="F45" s="10">
        <f t="shared" si="0"/>
        <v>-0.36302983227240598</v>
      </c>
      <c r="G45" s="11">
        <v>0.90510000000000002</v>
      </c>
      <c r="H45" s="11">
        <v>11.5427</v>
      </c>
      <c r="I45" s="10">
        <f t="shared" si="1"/>
        <v>11.7529554745332</v>
      </c>
      <c r="J45" s="11">
        <v>0.3024</v>
      </c>
      <c r="K45" s="11">
        <v>4.3247999999999998</v>
      </c>
      <c r="L45" s="10">
        <f t="shared" si="20"/>
        <v>13.301587301587301</v>
      </c>
      <c r="M45" s="14">
        <v>6.8239000000000001</v>
      </c>
      <c r="N45" s="14">
        <v>0</v>
      </c>
      <c r="O45" s="15">
        <f t="shared" si="21"/>
        <v>-1</v>
      </c>
      <c r="P45" s="14">
        <f t="shared" si="22"/>
        <v>8.0313999999999997</v>
      </c>
      <c r="Q45" s="14">
        <f t="shared" si="23"/>
        <v>15.8675</v>
      </c>
      <c r="R45" s="10">
        <f t="shared" si="24"/>
        <v>0.97568294444306103</v>
      </c>
      <c r="S45" s="9">
        <v>56.989400000000003</v>
      </c>
      <c r="T45" s="9">
        <v>67.710999999999999</v>
      </c>
      <c r="U45" s="18">
        <f t="shared" si="2"/>
        <v>0.188133231793983</v>
      </c>
    </row>
    <row r="46" spans="1:21" ht="18">
      <c r="A46" s="241"/>
      <c r="B46" s="8" t="s">
        <v>356</v>
      </c>
      <c r="C46" s="9">
        <v>41.5</v>
      </c>
      <c r="D46" s="9">
        <v>7</v>
      </c>
      <c r="E46" s="9">
        <v>0</v>
      </c>
      <c r="F46" s="10">
        <f t="shared" si="0"/>
        <v>-1</v>
      </c>
      <c r="G46" s="11">
        <v>0</v>
      </c>
      <c r="H46" s="11">
        <v>0</v>
      </c>
      <c r="I46" s="10" t="e">
        <f t="shared" si="1"/>
        <v>#DIV/0!</v>
      </c>
      <c r="J46" s="11">
        <v>0</v>
      </c>
      <c r="K46" s="11">
        <v>0</v>
      </c>
      <c r="L46" s="10" t="e">
        <f t="shared" si="20"/>
        <v>#DIV/0!</v>
      </c>
      <c r="M46" s="14">
        <v>2</v>
      </c>
      <c r="N46" s="14">
        <v>0</v>
      </c>
      <c r="O46" s="15">
        <f t="shared" si="21"/>
        <v>-1</v>
      </c>
      <c r="P46" s="14">
        <f t="shared" si="22"/>
        <v>2</v>
      </c>
      <c r="Q46" s="14">
        <f t="shared" si="23"/>
        <v>0</v>
      </c>
      <c r="R46" s="15">
        <f t="shared" si="24"/>
        <v>-1</v>
      </c>
      <c r="S46" s="9">
        <v>11.48</v>
      </c>
      <c r="T46" s="9">
        <v>7</v>
      </c>
      <c r="U46" s="15">
        <f t="shared" si="2"/>
        <v>-0.39024390243902402</v>
      </c>
    </row>
    <row r="47" spans="1:21" ht="18">
      <c r="A47" s="241"/>
      <c r="B47" s="8" t="s">
        <v>347</v>
      </c>
      <c r="C47" s="9">
        <v>123.8</v>
      </c>
      <c r="D47" s="9">
        <v>207.05170000000001</v>
      </c>
      <c r="E47" s="9">
        <v>194.63130000000001</v>
      </c>
      <c r="F47" s="10">
        <f t="shared" si="0"/>
        <v>-5.9986950119221401E-2</v>
      </c>
      <c r="G47" s="11">
        <v>83.874899999999997</v>
      </c>
      <c r="H47" s="11">
        <v>65.514300000000006</v>
      </c>
      <c r="I47" s="15">
        <f t="shared" si="1"/>
        <v>-0.218904582896671</v>
      </c>
      <c r="J47" s="11">
        <v>54.267699999999998</v>
      </c>
      <c r="K47" s="11">
        <v>28.653199999999998</v>
      </c>
      <c r="L47" s="16">
        <f t="shared" si="20"/>
        <v>-0.472002682995594</v>
      </c>
      <c r="M47" s="14">
        <v>74.027600000000007</v>
      </c>
      <c r="N47" s="14">
        <v>50.16</v>
      </c>
      <c r="O47" s="15">
        <f t="shared" si="21"/>
        <v>-0.32241488309765598</v>
      </c>
      <c r="P47" s="14">
        <f t="shared" si="22"/>
        <v>212.17019999999999</v>
      </c>
      <c r="Q47" s="14">
        <f t="shared" si="23"/>
        <v>144.32749999999999</v>
      </c>
      <c r="R47" s="15">
        <f t="shared" si="24"/>
        <v>-0.31975602605832498</v>
      </c>
      <c r="S47" s="9">
        <v>463.16460000000001</v>
      </c>
      <c r="T47" s="9">
        <v>546.01049999999998</v>
      </c>
      <c r="U47" s="18">
        <f t="shared" si="2"/>
        <v>0.178869240006684</v>
      </c>
    </row>
    <row r="48" spans="1:21" s="3" customFormat="1" ht="18">
      <c r="A48" s="237"/>
      <c r="B48" s="6" t="s">
        <v>31</v>
      </c>
      <c r="C48" s="12">
        <f t="shared" ref="C48:H48" si="28">SUM(C42:C47)</f>
        <v>542.9</v>
      </c>
      <c r="D48" s="12">
        <f t="shared" si="28"/>
        <v>470.48062299999998</v>
      </c>
      <c r="E48" s="12">
        <f t="shared" si="28"/>
        <v>538.14925300000004</v>
      </c>
      <c r="F48" s="13">
        <f t="shared" si="0"/>
        <v>0.143828728946399</v>
      </c>
      <c r="G48" s="12">
        <f t="shared" si="28"/>
        <v>177.52338700000001</v>
      </c>
      <c r="H48" s="12">
        <f t="shared" si="28"/>
        <v>152.060024</v>
      </c>
      <c r="I48" s="13">
        <f t="shared" si="1"/>
        <v>-0.14343666730513699</v>
      </c>
      <c r="J48" s="12">
        <f t="shared" ref="J48:N48" si="29">SUM(J42:J47)</f>
        <v>111.08026</v>
      </c>
      <c r="K48" s="12">
        <f t="shared" si="29"/>
        <v>74.857085999999995</v>
      </c>
      <c r="L48" s="17">
        <f t="shared" si="20"/>
        <v>-0.32609911067907099</v>
      </c>
      <c r="M48" s="12">
        <f t="shared" si="29"/>
        <v>205.357101</v>
      </c>
      <c r="N48" s="12">
        <f t="shared" si="29"/>
        <v>118.040165</v>
      </c>
      <c r="O48" s="13">
        <f t="shared" si="21"/>
        <v>-0.42519560110073801</v>
      </c>
      <c r="P48" s="12">
        <f t="shared" ref="P48:T48" si="30">SUM(P42:P47)</f>
        <v>493.96074800000002</v>
      </c>
      <c r="Q48" s="12">
        <f t="shared" si="30"/>
        <v>344.95727499999998</v>
      </c>
      <c r="R48" s="13">
        <f t="shared" si="24"/>
        <v>-0.30165043194889701</v>
      </c>
      <c r="S48" s="12">
        <f t="shared" si="30"/>
        <v>1327.016989</v>
      </c>
      <c r="T48" s="12">
        <f t="shared" si="30"/>
        <v>1353.5871509999999</v>
      </c>
      <c r="U48" s="13">
        <f t="shared" si="2"/>
        <v>2.0022473126001701E-2</v>
      </c>
    </row>
    <row r="49" spans="1:21" ht="18">
      <c r="A49" s="238" t="s">
        <v>30</v>
      </c>
      <c r="B49" s="8" t="s">
        <v>307</v>
      </c>
      <c r="C49" s="9">
        <v>111.1</v>
      </c>
      <c r="D49" s="9">
        <v>50.859400000000001</v>
      </c>
      <c r="E49" s="9">
        <v>53.523299999999999</v>
      </c>
      <c r="F49" s="10">
        <f t="shared" si="0"/>
        <v>5.2377731550116602E-2</v>
      </c>
      <c r="G49" s="11">
        <v>3.9411</v>
      </c>
      <c r="H49" s="11">
        <v>1.43</v>
      </c>
      <c r="I49" s="15">
        <f t="shared" si="1"/>
        <v>-0.63715713886985903</v>
      </c>
      <c r="J49" s="11">
        <v>26.143899999999999</v>
      </c>
      <c r="K49" s="11">
        <v>0.81859999999999999</v>
      </c>
      <c r="L49" s="16">
        <f t="shared" si="20"/>
        <v>-0.968688680724758</v>
      </c>
      <c r="M49" s="14">
        <v>28.4236</v>
      </c>
      <c r="N49" s="14">
        <v>1.5872999999999999</v>
      </c>
      <c r="O49" s="15">
        <f t="shared" si="21"/>
        <v>-0.94415556087195196</v>
      </c>
      <c r="P49" s="14">
        <f t="shared" si="22"/>
        <v>58.508600000000001</v>
      </c>
      <c r="Q49" s="14">
        <f t="shared" si="23"/>
        <v>3.8359000000000001</v>
      </c>
      <c r="R49" s="15">
        <f t="shared" si="24"/>
        <v>-0.93443869790082101</v>
      </c>
      <c r="S49" s="9">
        <v>112.92619999999999</v>
      </c>
      <c r="T49" s="9">
        <v>108.2186</v>
      </c>
      <c r="U49" s="15">
        <f t="shared" si="2"/>
        <v>-4.1687402923325199E-2</v>
      </c>
    </row>
    <row r="50" spans="1:21" ht="18">
      <c r="A50" s="239"/>
      <c r="B50" s="8" t="s">
        <v>342</v>
      </c>
      <c r="C50" s="9">
        <v>38.799999999999997</v>
      </c>
      <c r="D50" s="9">
        <v>0</v>
      </c>
      <c r="E50" s="9">
        <v>0</v>
      </c>
      <c r="F50" s="10" t="e">
        <f t="shared" si="0"/>
        <v>#DIV/0!</v>
      </c>
      <c r="G50" s="11">
        <v>0</v>
      </c>
      <c r="H50" s="11">
        <v>0</v>
      </c>
      <c r="I50" s="10" t="e">
        <f t="shared" si="1"/>
        <v>#DIV/0!</v>
      </c>
      <c r="J50" s="11">
        <v>2.1616</v>
      </c>
      <c r="K50" s="11">
        <v>0</v>
      </c>
      <c r="L50" s="16">
        <f t="shared" si="20"/>
        <v>-1</v>
      </c>
      <c r="M50" s="14">
        <v>0</v>
      </c>
      <c r="N50" s="14">
        <v>0</v>
      </c>
      <c r="O50" s="10" t="e">
        <f t="shared" si="21"/>
        <v>#DIV/0!</v>
      </c>
      <c r="P50" s="14">
        <f t="shared" si="22"/>
        <v>2.1616</v>
      </c>
      <c r="Q50" s="14">
        <f t="shared" si="23"/>
        <v>0</v>
      </c>
      <c r="R50" s="15">
        <f t="shared" si="24"/>
        <v>-1</v>
      </c>
      <c r="S50" s="9">
        <v>3.0015999999999998</v>
      </c>
      <c r="T50" s="9">
        <v>0</v>
      </c>
      <c r="U50" s="15">
        <f t="shared" si="2"/>
        <v>-1</v>
      </c>
    </row>
    <row r="51" spans="1:21" ht="18">
      <c r="A51" s="239"/>
      <c r="B51" s="8" t="s">
        <v>302</v>
      </c>
      <c r="C51" s="9">
        <v>222.7</v>
      </c>
      <c r="D51" s="9">
        <v>142.36512300000001</v>
      </c>
      <c r="E51" s="9">
        <v>195.28816800000001</v>
      </c>
      <c r="F51" s="10">
        <f t="shared" si="0"/>
        <v>0.37174164489711398</v>
      </c>
      <c r="G51" s="11">
        <v>38.803198000000002</v>
      </c>
      <c r="H51" s="11">
        <v>57.829960999999997</v>
      </c>
      <c r="I51" s="10">
        <f t="shared" si="1"/>
        <v>0.49034007454746398</v>
      </c>
      <c r="J51" s="11">
        <v>33.890819999999998</v>
      </c>
      <c r="K51" s="11">
        <v>43.492876000000003</v>
      </c>
      <c r="L51" s="10">
        <f t="shared" si="20"/>
        <v>0.28332321259857401</v>
      </c>
      <c r="M51" s="14">
        <v>87.463676000000007</v>
      </c>
      <c r="N51" s="14">
        <v>34.164720000000003</v>
      </c>
      <c r="O51" s="15">
        <f t="shared" si="21"/>
        <v>-0.60938390012329202</v>
      </c>
      <c r="P51" s="14">
        <f t="shared" si="22"/>
        <v>160.15769399999999</v>
      </c>
      <c r="Q51" s="14">
        <f t="shared" si="23"/>
        <v>135.48755700000001</v>
      </c>
      <c r="R51" s="15">
        <f t="shared" si="24"/>
        <v>-0.15403653976186699</v>
      </c>
      <c r="S51" s="9">
        <v>389.99357700000002</v>
      </c>
      <c r="T51" s="9">
        <v>473.14084800000001</v>
      </c>
      <c r="U51" s="18">
        <f t="shared" si="2"/>
        <v>0.21320164203627401</v>
      </c>
    </row>
    <row r="52" spans="1:21" ht="18">
      <c r="A52" s="239"/>
      <c r="B52" s="8" t="s">
        <v>321</v>
      </c>
      <c r="C52" s="9">
        <v>46.8</v>
      </c>
      <c r="D52" s="9">
        <v>6.8918999999999997</v>
      </c>
      <c r="E52" s="9">
        <v>3.4862000000000002</v>
      </c>
      <c r="F52" s="10">
        <f t="shared" si="0"/>
        <v>-0.49415981079237897</v>
      </c>
      <c r="G52" s="11">
        <v>2.5918000000000001</v>
      </c>
      <c r="H52" s="11">
        <v>1.0900000000000001</v>
      </c>
      <c r="I52" s="15">
        <f t="shared" si="1"/>
        <v>-0.579442858245235</v>
      </c>
      <c r="J52" s="11">
        <v>5</v>
      </c>
      <c r="K52" s="11">
        <v>1.78</v>
      </c>
      <c r="L52" s="16">
        <f t="shared" si="20"/>
        <v>-0.64400000000000002</v>
      </c>
      <c r="M52" s="14">
        <v>1.3006</v>
      </c>
      <c r="N52" s="14">
        <v>3.3285</v>
      </c>
      <c r="O52" s="10">
        <f t="shared" si="21"/>
        <v>1.5592034445640499</v>
      </c>
      <c r="P52" s="14">
        <f t="shared" si="22"/>
        <v>8.8924000000000003</v>
      </c>
      <c r="Q52" s="14">
        <f t="shared" si="23"/>
        <v>6.1985000000000001</v>
      </c>
      <c r="R52" s="15">
        <f t="shared" si="24"/>
        <v>-0.302944087085601</v>
      </c>
      <c r="S52" s="9">
        <v>29.1953</v>
      </c>
      <c r="T52" s="9">
        <v>16.576599999999999</v>
      </c>
      <c r="U52" s="15">
        <f t="shared" si="2"/>
        <v>-0.43221682942117401</v>
      </c>
    </row>
    <row r="53" spans="1:21" ht="18">
      <c r="A53" s="239"/>
      <c r="B53" s="8" t="s">
        <v>331</v>
      </c>
      <c r="C53" s="9">
        <v>145.80000000000001</v>
      </c>
      <c r="D53" s="9">
        <v>15.1983</v>
      </c>
      <c r="E53" s="9">
        <v>26.414200000000001</v>
      </c>
      <c r="F53" s="10">
        <f t="shared" si="0"/>
        <v>0.73797069409078697</v>
      </c>
      <c r="G53" s="11">
        <v>5.0791000000000004</v>
      </c>
      <c r="H53" s="11">
        <v>0.25600000000000001</v>
      </c>
      <c r="I53" s="15">
        <f t="shared" si="1"/>
        <v>-0.949597369612727</v>
      </c>
      <c r="J53" s="11">
        <v>4.6821999999999999</v>
      </c>
      <c r="K53" s="11">
        <v>4.8765999999999998</v>
      </c>
      <c r="L53" s="10">
        <f t="shared" si="20"/>
        <v>4.15189440861135E-2</v>
      </c>
      <c r="M53" s="14">
        <v>4.2695999999999996</v>
      </c>
      <c r="N53" s="14">
        <v>3.5244499999999999</v>
      </c>
      <c r="O53" s="15">
        <f t="shared" si="21"/>
        <v>-0.17452454562488301</v>
      </c>
      <c r="P53" s="14">
        <f t="shared" si="22"/>
        <v>14.030900000000001</v>
      </c>
      <c r="Q53" s="14">
        <f t="shared" si="23"/>
        <v>8.6570499999999999</v>
      </c>
      <c r="R53" s="15">
        <f t="shared" si="24"/>
        <v>-0.38300109045036301</v>
      </c>
      <c r="S53" s="9">
        <v>50.723599999999998</v>
      </c>
      <c r="T53" s="9">
        <v>50.269550000000002</v>
      </c>
      <c r="U53" s="15">
        <f t="shared" si="2"/>
        <v>-8.9514545497558808E-3</v>
      </c>
    </row>
    <row r="54" spans="1:21" ht="18">
      <c r="A54" s="239"/>
      <c r="B54" s="8" t="s">
        <v>311</v>
      </c>
      <c r="C54" s="9">
        <v>43.4</v>
      </c>
      <c r="D54" s="9">
        <v>12.967499999999999</v>
      </c>
      <c r="E54" s="9">
        <v>10.0565</v>
      </c>
      <c r="F54" s="10">
        <f t="shared" si="0"/>
        <v>-0.22448428764218201</v>
      </c>
      <c r="G54" s="11">
        <v>2.1042999999999998</v>
      </c>
      <c r="H54" s="11">
        <v>5.3010999999999999</v>
      </c>
      <c r="I54" s="10">
        <f t="shared" si="1"/>
        <v>1.51917502257283</v>
      </c>
      <c r="J54" s="11">
        <v>2.8974000000000002</v>
      </c>
      <c r="K54" s="11">
        <v>6.9519000000000002</v>
      </c>
      <c r="L54" s="10">
        <f t="shared" si="20"/>
        <v>1.39935804514392</v>
      </c>
      <c r="M54" s="14">
        <v>6.6195000000000004</v>
      </c>
      <c r="N54" s="14">
        <v>2.8167</v>
      </c>
      <c r="O54" s="15">
        <f t="shared" si="21"/>
        <v>-0.57448447767958299</v>
      </c>
      <c r="P54" s="14">
        <f t="shared" si="22"/>
        <v>11.6212</v>
      </c>
      <c r="Q54" s="14">
        <f t="shared" si="23"/>
        <v>15.069699999999999</v>
      </c>
      <c r="R54" s="10">
        <f t="shared" si="24"/>
        <v>0.296742160878395</v>
      </c>
      <c r="S54" s="9">
        <v>56.626600000000003</v>
      </c>
      <c r="T54" s="9">
        <v>38.093699999999998</v>
      </c>
      <c r="U54" s="15">
        <f t="shared" si="2"/>
        <v>-0.32728258450975301</v>
      </c>
    </row>
    <row r="55" spans="1:21" ht="18">
      <c r="A55" s="239"/>
      <c r="B55" s="8" t="s">
        <v>336</v>
      </c>
      <c r="C55" s="9">
        <v>64.3</v>
      </c>
      <c r="D55" s="9">
        <v>1.9172</v>
      </c>
      <c r="E55" s="9">
        <v>1.5968</v>
      </c>
      <c r="F55" s="10">
        <f t="shared" si="0"/>
        <v>-0.167118714792406</v>
      </c>
      <c r="G55" s="11">
        <v>0.36109999999999998</v>
      </c>
      <c r="H55" s="11">
        <v>0.65</v>
      </c>
      <c r="I55" s="10">
        <f t="shared" si="1"/>
        <v>0.80005538631957895</v>
      </c>
      <c r="J55" s="11">
        <v>0</v>
      </c>
      <c r="K55" s="11">
        <v>2.1</v>
      </c>
      <c r="L55" s="10" t="e">
        <f t="shared" si="20"/>
        <v>#DIV/0!</v>
      </c>
      <c r="M55" s="14">
        <v>2.3746</v>
      </c>
      <c r="N55" s="14">
        <v>0.95040000000000002</v>
      </c>
      <c r="O55" s="15">
        <f t="shared" si="21"/>
        <v>-0.59976417080771505</v>
      </c>
      <c r="P55" s="14">
        <f t="shared" si="22"/>
        <v>2.7357</v>
      </c>
      <c r="Q55" s="14">
        <f t="shared" si="23"/>
        <v>3.7004000000000001</v>
      </c>
      <c r="R55" s="10">
        <f t="shared" si="24"/>
        <v>0.352633695215119</v>
      </c>
      <c r="S55" s="9">
        <v>10.758100000000001</v>
      </c>
      <c r="T55" s="9">
        <v>7.2144000000000004</v>
      </c>
      <c r="U55" s="15">
        <f t="shared" si="2"/>
        <v>-0.32939831382864998</v>
      </c>
    </row>
    <row r="56" spans="1:21" s="3" customFormat="1" ht="18">
      <c r="A56" s="240"/>
      <c r="B56" s="6" t="s">
        <v>31</v>
      </c>
      <c r="C56" s="12">
        <f t="shared" ref="C56:H56" si="31">SUM(C49:C55)</f>
        <v>672.9</v>
      </c>
      <c r="D56" s="12">
        <f t="shared" si="31"/>
        <v>230.199423</v>
      </c>
      <c r="E56" s="12">
        <f t="shared" si="31"/>
        <v>290.36516799999998</v>
      </c>
      <c r="F56" s="13">
        <f t="shared" si="0"/>
        <v>0.26136357865675502</v>
      </c>
      <c r="G56" s="12">
        <f t="shared" si="31"/>
        <v>52.880597999999999</v>
      </c>
      <c r="H56" s="12">
        <f t="shared" si="31"/>
        <v>66.557061000000004</v>
      </c>
      <c r="I56" s="13">
        <f t="shared" si="1"/>
        <v>0.25862912896711199</v>
      </c>
      <c r="J56" s="12">
        <f t="shared" ref="J56:N56" si="32">SUM(J49:J55)</f>
        <v>74.775919999999999</v>
      </c>
      <c r="K56" s="12">
        <f t="shared" si="32"/>
        <v>60.019976</v>
      </c>
      <c r="L56" s="17">
        <f t="shared" si="20"/>
        <v>-0.197335505868734</v>
      </c>
      <c r="M56" s="12">
        <f t="shared" si="32"/>
        <v>130.45157599999999</v>
      </c>
      <c r="N56" s="12">
        <f t="shared" si="32"/>
        <v>46.372070000000001</v>
      </c>
      <c r="O56" s="13">
        <f t="shared" si="21"/>
        <v>-0.64452656363461602</v>
      </c>
      <c r="P56" s="12">
        <f t="shared" ref="P56:T56" si="33">SUM(P49:P55)</f>
        <v>258.10809399999999</v>
      </c>
      <c r="Q56" s="12">
        <f t="shared" si="33"/>
        <v>172.949107</v>
      </c>
      <c r="R56" s="13">
        <f t="shared" si="24"/>
        <v>-0.329935360337828</v>
      </c>
      <c r="S56" s="12">
        <f t="shared" si="33"/>
        <v>653.22497699999997</v>
      </c>
      <c r="T56" s="12">
        <f t="shared" si="33"/>
        <v>693.51369799999998</v>
      </c>
      <c r="U56" s="13">
        <f t="shared" si="2"/>
        <v>6.1676638858835203E-2</v>
      </c>
    </row>
    <row r="57" spans="1:21" ht="18">
      <c r="A57" s="238" t="s">
        <v>414</v>
      </c>
      <c r="B57" s="8" t="s">
        <v>464</v>
      </c>
      <c r="C57" s="9">
        <v>85.1</v>
      </c>
      <c r="D57" s="9">
        <v>12.1106</v>
      </c>
      <c r="E57" s="9">
        <v>14.413600000000001</v>
      </c>
      <c r="F57" s="10">
        <f t="shared" si="0"/>
        <v>0.19016398857199501</v>
      </c>
      <c r="G57" s="11">
        <v>2.1263999999999998</v>
      </c>
      <c r="H57" s="11">
        <v>0.76559999999999995</v>
      </c>
      <c r="I57" s="15">
        <f t="shared" si="1"/>
        <v>-0.63995485327313795</v>
      </c>
      <c r="J57" s="11">
        <v>11.7399</v>
      </c>
      <c r="K57" s="11">
        <v>0.99750000000000005</v>
      </c>
      <c r="L57" s="16">
        <f t="shared" si="20"/>
        <v>-0.91503334781386503</v>
      </c>
      <c r="M57" s="14">
        <v>11.180099999999999</v>
      </c>
      <c r="N57" s="14">
        <v>3.0305599999999999</v>
      </c>
      <c r="O57" s="15">
        <f t="shared" si="21"/>
        <v>-0.72893265713186794</v>
      </c>
      <c r="P57" s="14">
        <f t="shared" si="22"/>
        <v>25.046399999999998</v>
      </c>
      <c r="Q57" s="14">
        <f t="shared" si="23"/>
        <v>4.79366</v>
      </c>
      <c r="R57" s="15">
        <f t="shared" si="24"/>
        <v>-0.80860882202631901</v>
      </c>
      <c r="S57" s="9">
        <v>63.366700000000002</v>
      </c>
      <c r="T57" s="9">
        <v>31.31786</v>
      </c>
      <c r="U57" s="15">
        <f t="shared" si="2"/>
        <v>-0.505767855987451</v>
      </c>
    </row>
    <row r="58" spans="1:21" ht="18">
      <c r="A58" s="239"/>
      <c r="B58" s="8" t="s">
        <v>420</v>
      </c>
      <c r="C58" s="9">
        <v>148.5</v>
      </c>
      <c r="D58" s="9">
        <v>62.474308000000001</v>
      </c>
      <c r="E58" s="9">
        <v>54.350968000000002</v>
      </c>
      <c r="F58" s="10">
        <f t="shared" si="0"/>
        <v>-0.13002689041389601</v>
      </c>
      <c r="G58" s="11">
        <v>20.744275999999999</v>
      </c>
      <c r="H58" s="11">
        <v>14.48532</v>
      </c>
      <c r="I58" s="15">
        <f t="shared" si="1"/>
        <v>-0.301719664740288</v>
      </c>
      <c r="J58" s="11">
        <v>19.116</v>
      </c>
      <c r="K58" s="11">
        <v>14.540844</v>
      </c>
      <c r="L58" s="16">
        <f t="shared" si="20"/>
        <v>-0.23933647206528599</v>
      </c>
      <c r="M58" s="14">
        <v>38.878743999999998</v>
      </c>
      <c r="N58" s="14">
        <v>14.5044</v>
      </c>
      <c r="O58" s="15">
        <f t="shared" si="21"/>
        <v>-0.62693239267194401</v>
      </c>
      <c r="P58" s="14">
        <f t="shared" si="22"/>
        <v>78.739019999999996</v>
      </c>
      <c r="Q58" s="14">
        <f t="shared" si="23"/>
        <v>43.530563999999998</v>
      </c>
      <c r="R58" s="15">
        <f t="shared" si="24"/>
        <v>-0.44715385078452802</v>
      </c>
      <c r="S58" s="9">
        <v>217.83670799999999</v>
      </c>
      <c r="T58" s="9">
        <v>160.35584</v>
      </c>
      <c r="U58" s="15">
        <f t="shared" si="2"/>
        <v>-0.26387135817348101</v>
      </c>
    </row>
    <row r="59" spans="1:21" ht="18">
      <c r="A59" s="239"/>
      <c r="B59" s="8" t="s">
        <v>443</v>
      </c>
      <c r="C59" s="9">
        <v>47.7</v>
      </c>
      <c r="D59" s="9">
        <v>2.3231000000000002</v>
      </c>
      <c r="E59" s="9">
        <v>16.491150000000001</v>
      </c>
      <c r="F59" s="10">
        <f t="shared" si="0"/>
        <v>6.0987688864017899</v>
      </c>
      <c r="G59" s="11">
        <v>1.4715</v>
      </c>
      <c r="H59" s="11">
        <v>2.3451460000000002</v>
      </c>
      <c r="I59" s="10">
        <f t="shared" si="1"/>
        <v>0.59371117906897697</v>
      </c>
      <c r="J59" s="11">
        <v>3.0145</v>
      </c>
      <c r="K59" s="11">
        <v>2.3450000000000002</v>
      </c>
      <c r="L59" s="16">
        <f t="shared" si="20"/>
        <v>-0.222093216122077</v>
      </c>
      <c r="M59" s="14">
        <v>5.7976000000000001</v>
      </c>
      <c r="N59" s="14">
        <v>1.0678000000000001</v>
      </c>
      <c r="O59" s="15">
        <f t="shared" si="21"/>
        <v>-0.81582033945080701</v>
      </c>
      <c r="P59" s="14">
        <f t="shared" si="22"/>
        <v>10.2836</v>
      </c>
      <c r="Q59" s="14">
        <f t="shared" si="23"/>
        <v>5.7579459999999996</v>
      </c>
      <c r="R59" s="15">
        <f t="shared" si="24"/>
        <v>-0.44008460072348199</v>
      </c>
      <c r="S59" s="9">
        <v>31.003499999999999</v>
      </c>
      <c r="T59" s="9">
        <v>24.572196000000002</v>
      </c>
      <c r="U59" s="15">
        <f t="shared" si="2"/>
        <v>-0.207437998935604</v>
      </c>
    </row>
    <row r="60" spans="1:21" ht="18">
      <c r="A60" s="239"/>
      <c r="B60" s="8" t="s">
        <v>434</v>
      </c>
      <c r="C60" s="9">
        <v>87.7</v>
      </c>
      <c r="D60" s="9">
        <v>0</v>
      </c>
      <c r="E60" s="9">
        <v>3.9993500000000002</v>
      </c>
      <c r="F60" s="10" t="e">
        <f t="shared" si="0"/>
        <v>#DIV/0!</v>
      </c>
      <c r="G60" s="11">
        <v>0</v>
      </c>
      <c r="H60" s="11">
        <v>2.8649</v>
      </c>
      <c r="I60" s="10" t="e">
        <f t="shared" si="1"/>
        <v>#DIV/0!</v>
      </c>
      <c r="J60" s="11">
        <v>0</v>
      </c>
      <c r="K60" s="11">
        <v>0</v>
      </c>
      <c r="L60" s="10" t="e">
        <f t="shared" si="20"/>
        <v>#DIV/0!</v>
      </c>
      <c r="M60" s="14">
        <v>0</v>
      </c>
      <c r="N60" s="14">
        <v>1.1548</v>
      </c>
      <c r="O60" s="10" t="e">
        <f t="shared" si="21"/>
        <v>#DIV/0!</v>
      </c>
      <c r="P60" s="14">
        <f t="shared" si="22"/>
        <v>0</v>
      </c>
      <c r="Q60" s="14">
        <f t="shared" si="23"/>
        <v>4.0197000000000003</v>
      </c>
      <c r="R60" s="10" t="e">
        <f t="shared" si="24"/>
        <v>#DIV/0!</v>
      </c>
      <c r="S60" s="9">
        <v>0</v>
      </c>
      <c r="T60" s="9">
        <v>8.01905</v>
      </c>
      <c r="U60" s="18" t="e">
        <f t="shared" si="2"/>
        <v>#DIV/0!</v>
      </c>
    </row>
    <row r="61" spans="1:21" ht="18">
      <c r="A61" s="239"/>
      <c r="B61" s="8" t="s">
        <v>416</v>
      </c>
      <c r="C61" s="9">
        <v>154.5</v>
      </c>
      <c r="D61" s="9">
        <v>57.578850000000003</v>
      </c>
      <c r="E61" s="9">
        <v>59.473100000000002</v>
      </c>
      <c r="F61" s="10">
        <f t="shared" si="0"/>
        <v>3.2898364590470401E-2</v>
      </c>
      <c r="G61" s="11">
        <v>13.3878</v>
      </c>
      <c r="H61" s="11">
        <v>40.544699999999999</v>
      </c>
      <c r="I61" s="10">
        <f t="shared" si="1"/>
        <v>2.0284811544839298</v>
      </c>
      <c r="J61" s="11">
        <v>3.5533000000000001</v>
      </c>
      <c r="K61" s="11">
        <v>19.9514</v>
      </c>
      <c r="L61" s="10">
        <f t="shared" si="20"/>
        <v>4.6148931978723997</v>
      </c>
      <c r="M61" s="14">
        <v>20.9588</v>
      </c>
      <c r="N61" s="14">
        <v>24.293555999999999</v>
      </c>
      <c r="O61" s="10">
        <f t="shared" si="21"/>
        <v>0.15911006355325699</v>
      </c>
      <c r="P61" s="14">
        <f t="shared" si="22"/>
        <v>37.899900000000002</v>
      </c>
      <c r="Q61" s="14">
        <f t="shared" si="23"/>
        <v>84.789655999999994</v>
      </c>
      <c r="R61" s="10">
        <f t="shared" si="24"/>
        <v>1.23719999261212</v>
      </c>
      <c r="S61" s="9">
        <v>66.777900000000002</v>
      </c>
      <c r="T61" s="9">
        <v>201.84160600000001</v>
      </c>
      <c r="U61" s="18">
        <f t="shared" si="2"/>
        <v>2.0225809137454198</v>
      </c>
    </row>
    <row r="62" spans="1:21" ht="18">
      <c r="A62" s="239"/>
      <c r="B62" s="8" t="s">
        <v>471</v>
      </c>
      <c r="C62" s="9">
        <v>27.1</v>
      </c>
      <c r="D62" s="9">
        <v>0</v>
      </c>
      <c r="E62" s="9">
        <v>0</v>
      </c>
      <c r="F62" s="10" t="e">
        <f t="shared" si="0"/>
        <v>#DIV/0!</v>
      </c>
      <c r="G62" s="11">
        <v>0</v>
      </c>
      <c r="H62" s="11">
        <v>0</v>
      </c>
      <c r="I62" s="10" t="e">
        <f t="shared" si="1"/>
        <v>#DIV/0!</v>
      </c>
      <c r="J62" s="11">
        <v>0</v>
      </c>
      <c r="K62" s="11">
        <v>0</v>
      </c>
      <c r="L62" s="10" t="e">
        <f t="shared" si="20"/>
        <v>#DIV/0!</v>
      </c>
      <c r="M62" s="14">
        <v>0</v>
      </c>
      <c r="N62" s="14">
        <v>0</v>
      </c>
      <c r="O62" s="10" t="e">
        <f t="shared" si="21"/>
        <v>#DIV/0!</v>
      </c>
      <c r="P62" s="14">
        <f t="shared" si="22"/>
        <v>0</v>
      </c>
      <c r="Q62" s="14">
        <f t="shared" si="23"/>
        <v>0</v>
      </c>
      <c r="R62" s="10" t="e">
        <f t="shared" si="24"/>
        <v>#DIV/0!</v>
      </c>
      <c r="S62" s="9">
        <v>0</v>
      </c>
      <c r="T62" s="9">
        <v>0</v>
      </c>
      <c r="U62" s="18" t="e">
        <f t="shared" si="2"/>
        <v>#DIV/0!</v>
      </c>
    </row>
    <row r="63" spans="1:21" ht="18">
      <c r="A63" s="239"/>
      <c r="B63" s="8" t="s">
        <v>428</v>
      </c>
      <c r="C63" s="9">
        <v>316.8</v>
      </c>
      <c r="D63" s="9">
        <v>45.196606000000003</v>
      </c>
      <c r="E63" s="9">
        <v>76.777146000000002</v>
      </c>
      <c r="F63" s="10">
        <f t="shared" si="0"/>
        <v>0.69873698038299603</v>
      </c>
      <c r="G63" s="11">
        <v>18.184830000000002</v>
      </c>
      <c r="H63" s="11">
        <v>11.484999999999999</v>
      </c>
      <c r="I63" s="15">
        <f t="shared" si="1"/>
        <v>-0.36842961963350801</v>
      </c>
      <c r="J63" s="11">
        <v>16.2348</v>
      </c>
      <c r="K63" s="11">
        <v>13.084756</v>
      </c>
      <c r="L63" s="16">
        <f t="shared" si="20"/>
        <v>-0.194030354547022</v>
      </c>
      <c r="M63" s="14">
        <v>22.277719999999999</v>
      </c>
      <c r="N63" s="14">
        <v>9.1608000000000001</v>
      </c>
      <c r="O63" s="15">
        <f t="shared" si="21"/>
        <v>-0.58879095347279697</v>
      </c>
      <c r="P63" s="14">
        <f t="shared" si="22"/>
        <v>56.69735</v>
      </c>
      <c r="Q63" s="14">
        <f t="shared" si="23"/>
        <v>33.730556</v>
      </c>
      <c r="R63" s="15">
        <f t="shared" si="24"/>
        <v>-0.40507702740957002</v>
      </c>
      <c r="S63" s="9">
        <v>186.15217000000001</v>
      </c>
      <c r="T63" s="9">
        <v>155.704308</v>
      </c>
      <c r="U63" s="15">
        <f t="shared" si="2"/>
        <v>-0.16356436779651801</v>
      </c>
    </row>
    <row r="64" spans="1:21" ht="18">
      <c r="A64" s="239"/>
      <c r="B64" s="8" t="s">
        <v>536</v>
      </c>
      <c r="C64" s="9">
        <v>29.3</v>
      </c>
      <c r="D64" s="9"/>
      <c r="E64" s="9"/>
      <c r="F64" s="10" t="e">
        <f t="shared" si="0"/>
        <v>#DIV/0!</v>
      </c>
      <c r="G64" s="11"/>
      <c r="H64" s="11"/>
      <c r="I64" s="10" t="e">
        <f t="shared" si="1"/>
        <v>#DIV/0!</v>
      </c>
      <c r="J64" s="11"/>
      <c r="K64" s="11"/>
      <c r="L64" s="10" t="e">
        <f t="shared" si="20"/>
        <v>#DIV/0!</v>
      </c>
      <c r="M64" s="14"/>
      <c r="N64" s="14"/>
      <c r="O64" s="10" t="e">
        <f t="shared" si="21"/>
        <v>#DIV/0!</v>
      </c>
      <c r="P64" s="14">
        <f t="shared" si="22"/>
        <v>0</v>
      </c>
      <c r="Q64" s="14">
        <f t="shared" si="23"/>
        <v>0</v>
      </c>
      <c r="R64" s="10" t="e">
        <f t="shared" si="24"/>
        <v>#DIV/0!</v>
      </c>
      <c r="S64" s="9"/>
      <c r="T64" s="9"/>
      <c r="U64" s="18" t="e">
        <f t="shared" si="2"/>
        <v>#DIV/0!</v>
      </c>
    </row>
    <row r="65" spans="1:21" ht="18">
      <c r="A65" s="239"/>
      <c r="B65" s="8" t="s">
        <v>431</v>
      </c>
      <c r="C65" s="9">
        <v>88.6</v>
      </c>
      <c r="D65" s="9">
        <v>1.0740000000000001</v>
      </c>
      <c r="E65" s="9">
        <v>2.2915999999999999</v>
      </c>
      <c r="F65" s="10">
        <f t="shared" si="0"/>
        <v>1.13370577281192</v>
      </c>
      <c r="G65" s="11">
        <v>0</v>
      </c>
      <c r="H65" s="11">
        <v>0</v>
      </c>
      <c r="I65" s="10" t="e">
        <f t="shared" si="1"/>
        <v>#DIV/0!</v>
      </c>
      <c r="J65" s="11">
        <v>0</v>
      </c>
      <c r="K65" s="11">
        <v>0</v>
      </c>
      <c r="L65" s="10" t="e">
        <f t="shared" si="20"/>
        <v>#DIV/0!</v>
      </c>
      <c r="M65" s="14">
        <v>0.90100000000000002</v>
      </c>
      <c r="N65" s="14">
        <v>0.18379999999999999</v>
      </c>
      <c r="O65" s="15">
        <f t="shared" si="21"/>
        <v>-0.79600443951165401</v>
      </c>
      <c r="P65" s="14">
        <f t="shared" si="22"/>
        <v>0.90100000000000002</v>
      </c>
      <c r="Q65" s="14">
        <f t="shared" si="23"/>
        <v>0.18379999999999999</v>
      </c>
      <c r="R65" s="15">
        <f t="shared" si="24"/>
        <v>-0.79600443951165401</v>
      </c>
      <c r="S65" s="9">
        <v>17.201499999999999</v>
      </c>
      <c r="T65" s="9">
        <v>3.5493999999999999</v>
      </c>
      <c r="U65" s="15">
        <f t="shared" si="2"/>
        <v>-0.793657529866581</v>
      </c>
    </row>
    <row r="66" spans="1:21" s="3" customFormat="1" ht="18">
      <c r="A66" s="240"/>
      <c r="B66" s="6" t="s">
        <v>31</v>
      </c>
      <c r="C66" s="12">
        <f t="shared" ref="C66:H66" si="34">SUM(C57:C65)</f>
        <v>985.3</v>
      </c>
      <c r="D66" s="12">
        <f t="shared" si="34"/>
        <v>180.757464</v>
      </c>
      <c r="E66" s="12">
        <f t="shared" si="34"/>
        <v>227.79691399999999</v>
      </c>
      <c r="F66" s="13">
        <f t="shared" si="0"/>
        <v>0.26023517346979402</v>
      </c>
      <c r="G66" s="12">
        <f t="shared" si="34"/>
        <v>55.914805999999999</v>
      </c>
      <c r="H66" s="12">
        <f t="shared" si="34"/>
        <v>72.490666000000004</v>
      </c>
      <c r="I66" s="13">
        <f t="shared" si="1"/>
        <v>0.29644849344554602</v>
      </c>
      <c r="J66" s="12">
        <f t="shared" ref="J66:N66" si="35">SUM(J57:J65)</f>
        <v>53.658499999999997</v>
      </c>
      <c r="K66" s="12">
        <f t="shared" si="35"/>
        <v>50.919499999999999</v>
      </c>
      <c r="L66" s="17">
        <f t="shared" si="20"/>
        <v>-5.1045034803432802E-2</v>
      </c>
      <c r="M66" s="12">
        <f t="shared" si="35"/>
        <v>99.993964000000005</v>
      </c>
      <c r="N66" s="12">
        <f t="shared" si="35"/>
        <v>53.395716</v>
      </c>
      <c r="O66" s="13">
        <f t="shared" si="21"/>
        <v>-0.46601060840032299</v>
      </c>
      <c r="P66" s="12">
        <f t="shared" ref="P66:T66" si="36">SUM(P57:P65)</f>
        <v>209.56727000000001</v>
      </c>
      <c r="Q66" s="12">
        <f t="shared" si="36"/>
        <v>176.805882</v>
      </c>
      <c r="R66" s="13">
        <f t="shared" si="24"/>
        <v>-0.15632874351037701</v>
      </c>
      <c r="S66" s="12">
        <f t="shared" si="36"/>
        <v>582.33847800000001</v>
      </c>
      <c r="T66" s="12">
        <f t="shared" si="36"/>
        <v>585.36026000000004</v>
      </c>
      <c r="U66" s="13">
        <f t="shared" si="2"/>
        <v>5.1890474597831001E-3</v>
      </c>
    </row>
    <row r="67" spans="1:21" ht="18">
      <c r="A67" s="241" t="s">
        <v>453</v>
      </c>
      <c r="B67" s="8" t="s">
        <v>537</v>
      </c>
      <c r="C67" s="9">
        <v>40.9</v>
      </c>
      <c r="D67" s="9"/>
      <c r="E67" s="9"/>
      <c r="F67" s="10" t="e">
        <f t="shared" si="0"/>
        <v>#DIV/0!</v>
      </c>
      <c r="G67" s="11"/>
      <c r="H67" s="11"/>
      <c r="I67" s="10" t="e">
        <f t="shared" si="1"/>
        <v>#DIV/0!</v>
      </c>
      <c r="J67" s="11"/>
      <c r="K67" s="11"/>
      <c r="L67" s="10" t="e">
        <f t="shared" si="20"/>
        <v>#DIV/0!</v>
      </c>
      <c r="M67" s="14"/>
      <c r="N67" s="14"/>
      <c r="O67" s="10" t="e">
        <f t="shared" si="21"/>
        <v>#DIV/0!</v>
      </c>
      <c r="P67" s="14">
        <f t="shared" si="22"/>
        <v>0</v>
      </c>
      <c r="Q67" s="14">
        <f t="shared" si="23"/>
        <v>0</v>
      </c>
      <c r="R67" s="10" t="e">
        <f t="shared" si="24"/>
        <v>#DIV/0!</v>
      </c>
      <c r="S67" s="9"/>
      <c r="T67" s="9"/>
      <c r="U67" s="18" t="e">
        <f t="shared" si="2"/>
        <v>#DIV/0!</v>
      </c>
    </row>
    <row r="68" spans="1:21" ht="18">
      <c r="A68" s="241"/>
      <c r="B68" s="8" t="s">
        <v>538</v>
      </c>
      <c r="C68" s="9">
        <v>11.1</v>
      </c>
      <c r="D68" s="9"/>
      <c r="E68" s="9"/>
      <c r="F68" s="10" t="e">
        <f t="shared" ref="F68:F77" si="37">E68/D68-1</f>
        <v>#DIV/0!</v>
      </c>
      <c r="G68" s="11"/>
      <c r="H68" s="11"/>
      <c r="I68" s="10" t="e">
        <f t="shared" ref="I68:I77" si="38">H68/G68-1</f>
        <v>#DIV/0!</v>
      </c>
      <c r="J68" s="11"/>
      <c r="K68" s="11"/>
      <c r="L68" s="10" t="e">
        <f t="shared" si="20"/>
        <v>#DIV/0!</v>
      </c>
      <c r="M68" s="14"/>
      <c r="N68" s="14"/>
      <c r="O68" s="10" t="e">
        <f t="shared" si="21"/>
        <v>#DIV/0!</v>
      </c>
      <c r="P68" s="14">
        <f t="shared" si="22"/>
        <v>0</v>
      </c>
      <c r="Q68" s="14">
        <f t="shared" si="23"/>
        <v>0</v>
      </c>
      <c r="R68" s="10" t="e">
        <f t="shared" si="24"/>
        <v>#DIV/0!</v>
      </c>
      <c r="S68" s="9"/>
      <c r="T68" s="9"/>
      <c r="U68" s="18" t="e">
        <f t="shared" ref="U68:U77" si="39">T68/S68-1</f>
        <v>#DIV/0!</v>
      </c>
    </row>
    <row r="69" spans="1:21" ht="18">
      <c r="A69" s="241"/>
      <c r="B69" s="8" t="s">
        <v>455</v>
      </c>
      <c r="C69" s="9">
        <v>57.9</v>
      </c>
      <c r="D69" s="9">
        <v>19.741499999999998</v>
      </c>
      <c r="E69" s="9">
        <v>29.653099999999998</v>
      </c>
      <c r="F69" s="10">
        <f t="shared" si="37"/>
        <v>0.50206924499151495</v>
      </c>
      <c r="G69" s="11">
        <v>5.22</v>
      </c>
      <c r="H69" s="11">
        <v>2.6076000000000001</v>
      </c>
      <c r="I69" s="15">
        <f t="shared" si="38"/>
        <v>-0.50045977011494203</v>
      </c>
      <c r="J69" s="11">
        <v>2.9350000000000001</v>
      </c>
      <c r="K69" s="11">
        <v>0.45</v>
      </c>
      <c r="L69" s="16">
        <f t="shared" si="20"/>
        <v>-0.84667802385008495</v>
      </c>
      <c r="M69" s="14">
        <v>14.678900000000001</v>
      </c>
      <c r="N69" s="14">
        <v>3.2136</v>
      </c>
      <c r="O69" s="15">
        <f t="shared" si="21"/>
        <v>-0.78107351368290501</v>
      </c>
      <c r="P69" s="14">
        <f t="shared" si="22"/>
        <v>22.8339</v>
      </c>
      <c r="Q69" s="14">
        <f t="shared" si="23"/>
        <v>6.2712000000000003</v>
      </c>
      <c r="R69" s="15">
        <f t="shared" si="24"/>
        <v>-0.72535572109889201</v>
      </c>
      <c r="S69" s="9">
        <v>46.480400000000003</v>
      </c>
      <c r="T69" s="9">
        <v>55.665799999999997</v>
      </c>
      <c r="U69" s="18">
        <f t="shared" si="39"/>
        <v>0.19761878124973101</v>
      </c>
    </row>
    <row r="70" spans="1:21" ht="18">
      <c r="A70" s="241"/>
      <c r="B70" s="8" t="s">
        <v>481</v>
      </c>
      <c r="C70" s="9">
        <v>25.2</v>
      </c>
      <c r="D70" s="9">
        <v>7.585</v>
      </c>
      <c r="E70" s="9">
        <v>14.6</v>
      </c>
      <c r="F70" s="10">
        <f t="shared" si="37"/>
        <v>0.92485168094924197</v>
      </c>
      <c r="G70" s="11">
        <v>0</v>
      </c>
      <c r="H70" s="11">
        <v>21.9</v>
      </c>
      <c r="I70" s="10" t="e">
        <f t="shared" si="38"/>
        <v>#DIV/0!</v>
      </c>
      <c r="J70" s="11">
        <v>0</v>
      </c>
      <c r="K70" s="11">
        <v>0</v>
      </c>
      <c r="L70" s="10" t="e">
        <f t="shared" si="20"/>
        <v>#DIV/0!</v>
      </c>
      <c r="M70" s="14">
        <v>5.4749999999999996</v>
      </c>
      <c r="N70" s="14">
        <v>0</v>
      </c>
      <c r="O70" s="15">
        <f t="shared" si="21"/>
        <v>-1</v>
      </c>
      <c r="P70" s="14">
        <f t="shared" si="22"/>
        <v>5.4749999999999996</v>
      </c>
      <c r="Q70" s="14">
        <f t="shared" si="23"/>
        <v>21.9</v>
      </c>
      <c r="R70" s="10">
        <f t="shared" si="24"/>
        <v>3</v>
      </c>
      <c r="S70" s="9">
        <v>13.775</v>
      </c>
      <c r="T70" s="9">
        <v>44.085000000000001</v>
      </c>
      <c r="U70" s="18">
        <f t="shared" si="39"/>
        <v>2.20036297640653</v>
      </c>
    </row>
    <row r="71" spans="1:21" ht="18">
      <c r="A71" s="241"/>
      <c r="B71" s="8" t="s">
        <v>474</v>
      </c>
      <c r="C71" s="9">
        <v>51.8</v>
      </c>
      <c r="D71" s="9">
        <v>0</v>
      </c>
      <c r="E71" s="9">
        <v>0</v>
      </c>
      <c r="F71" s="10" t="e">
        <f t="shared" si="37"/>
        <v>#DIV/0!</v>
      </c>
      <c r="G71" s="11">
        <v>0</v>
      </c>
      <c r="H71" s="11">
        <v>3.3889999999999998</v>
      </c>
      <c r="I71" s="10" t="e">
        <f t="shared" si="38"/>
        <v>#DIV/0!</v>
      </c>
      <c r="J71" s="11">
        <v>0</v>
      </c>
      <c r="K71" s="11">
        <v>0.99880000000000002</v>
      </c>
      <c r="L71" s="10" t="e">
        <f t="shared" si="20"/>
        <v>#DIV/0!</v>
      </c>
      <c r="M71" s="14">
        <v>0</v>
      </c>
      <c r="N71" s="14">
        <v>0.88500000000000001</v>
      </c>
      <c r="O71" s="10" t="e">
        <f t="shared" si="21"/>
        <v>#DIV/0!</v>
      </c>
      <c r="P71" s="14">
        <f t="shared" si="22"/>
        <v>0</v>
      </c>
      <c r="Q71" s="14">
        <f t="shared" si="23"/>
        <v>5.2728000000000002</v>
      </c>
      <c r="R71" s="10" t="e">
        <f t="shared" si="24"/>
        <v>#DIV/0!</v>
      </c>
      <c r="S71" s="9">
        <v>4.1668000000000003</v>
      </c>
      <c r="T71" s="9">
        <v>5.2728000000000002</v>
      </c>
      <c r="U71" s="18">
        <f t="shared" si="39"/>
        <v>0.265431506191802</v>
      </c>
    </row>
    <row r="72" spans="1:21" ht="18">
      <c r="A72" s="241"/>
      <c r="B72" s="8" t="s">
        <v>539</v>
      </c>
      <c r="C72" s="9">
        <v>14.1</v>
      </c>
      <c r="D72" s="9"/>
      <c r="E72" s="9"/>
      <c r="F72" s="10" t="e">
        <f t="shared" si="37"/>
        <v>#DIV/0!</v>
      </c>
      <c r="G72" s="11"/>
      <c r="H72" s="11"/>
      <c r="I72" s="10" t="e">
        <f t="shared" si="38"/>
        <v>#DIV/0!</v>
      </c>
      <c r="J72" s="11"/>
      <c r="K72" s="11"/>
      <c r="L72" s="10" t="e">
        <f t="shared" si="20"/>
        <v>#DIV/0!</v>
      </c>
      <c r="M72" s="14"/>
      <c r="N72" s="14"/>
      <c r="O72" s="10" t="e">
        <f t="shared" si="21"/>
        <v>#DIV/0!</v>
      </c>
      <c r="P72" s="14">
        <f t="shared" si="22"/>
        <v>0</v>
      </c>
      <c r="Q72" s="14">
        <f t="shared" si="23"/>
        <v>0</v>
      </c>
      <c r="R72" s="10" t="e">
        <f t="shared" si="24"/>
        <v>#DIV/0!</v>
      </c>
      <c r="S72" s="9"/>
      <c r="T72" s="9"/>
      <c r="U72" s="18" t="e">
        <f t="shared" si="39"/>
        <v>#DIV/0!</v>
      </c>
    </row>
    <row r="73" spans="1:21" ht="18">
      <c r="A73" s="241"/>
      <c r="B73" s="8" t="s">
        <v>492</v>
      </c>
      <c r="C73" s="9">
        <v>20.3</v>
      </c>
      <c r="D73" s="9">
        <v>0</v>
      </c>
      <c r="E73" s="9">
        <v>0</v>
      </c>
      <c r="F73" s="10" t="e">
        <f t="shared" si="37"/>
        <v>#DIV/0!</v>
      </c>
      <c r="G73" s="11">
        <v>0</v>
      </c>
      <c r="H73" s="11">
        <v>3.6798000000000002</v>
      </c>
      <c r="I73" s="10" t="e">
        <f t="shared" si="38"/>
        <v>#DIV/0!</v>
      </c>
      <c r="J73" s="11">
        <v>0</v>
      </c>
      <c r="K73" s="11">
        <v>0.45</v>
      </c>
      <c r="L73" s="10" t="e">
        <f t="shared" si="20"/>
        <v>#DIV/0!</v>
      </c>
      <c r="M73" s="14">
        <v>0</v>
      </c>
      <c r="N73" s="14">
        <v>0</v>
      </c>
      <c r="O73" s="10" t="e">
        <f t="shared" si="21"/>
        <v>#DIV/0!</v>
      </c>
      <c r="P73" s="14">
        <f t="shared" si="22"/>
        <v>0</v>
      </c>
      <c r="Q73" s="14">
        <f t="shared" si="23"/>
        <v>4.1298000000000004</v>
      </c>
      <c r="R73" s="10" t="e">
        <f t="shared" si="24"/>
        <v>#DIV/0!</v>
      </c>
      <c r="S73" s="9">
        <v>0.8</v>
      </c>
      <c r="T73" s="9">
        <v>4.1298000000000004</v>
      </c>
      <c r="U73" s="18">
        <f t="shared" si="39"/>
        <v>4.1622500000000002</v>
      </c>
    </row>
    <row r="74" spans="1:21" ht="18">
      <c r="A74" s="241"/>
      <c r="B74" s="8" t="s">
        <v>478</v>
      </c>
      <c r="C74" s="9">
        <v>19.399999999999999</v>
      </c>
      <c r="D74" s="9">
        <v>0</v>
      </c>
      <c r="E74" s="9">
        <v>0</v>
      </c>
      <c r="F74" s="10" t="e">
        <f t="shared" si="37"/>
        <v>#DIV/0!</v>
      </c>
      <c r="G74" s="11">
        <v>0</v>
      </c>
      <c r="H74" s="11">
        <v>5.55</v>
      </c>
      <c r="I74" s="10" t="e">
        <f t="shared" si="38"/>
        <v>#DIV/0!</v>
      </c>
      <c r="J74" s="11">
        <v>0</v>
      </c>
      <c r="K74" s="11">
        <v>0.1067</v>
      </c>
      <c r="L74" s="10" t="e">
        <f t="shared" si="20"/>
        <v>#DIV/0!</v>
      </c>
      <c r="M74" s="14">
        <v>0</v>
      </c>
      <c r="N74" s="14">
        <v>0</v>
      </c>
      <c r="O74" s="10" t="e">
        <f t="shared" si="21"/>
        <v>#DIV/0!</v>
      </c>
      <c r="P74" s="14">
        <f t="shared" si="22"/>
        <v>0</v>
      </c>
      <c r="Q74" s="14">
        <f t="shared" si="23"/>
        <v>5.6566999999999998</v>
      </c>
      <c r="R74" s="10" t="e">
        <f t="shared" si="24"/>
        <v>#DIV/0!</v>
      </c>
      <c r="S74" s="9">
        <v>2.9660000000000002</v>
      </c>
      <c r="T74" s="9">
        <v>5.6566999999999998</v>
      </c>
      <c r="U74" s="18">
        <f t="shared" si="39"/>
        <v>0.90718138907619705</v>
      </c>
    </row>
    <row r="75" spans="1:21" ht="18">
      <c r="A75" s="241"/>
      <c r="B75" s="8" t="s">
        <v>515</v>
      </c>
      <c r="C75" s="9">
        <v>12.6</v>
      </c>
      <c r="D75" s="9"/>
      <c r="E75" s="9"/>
      <c r="F75" s="10" t="e">
        <f t="shared" si="37"/>
        <v>#DIV/0!</v>
      </c>
      <c r="G75" s="11">
        <v>0</v>
      </c>
      <c r="H75" s="11">
        <v>2.19</v>
      </c>
      <c r="I75" s="10" t="e">
        <f t="shared" si="38"/>
        <v>#DIV/0!</v>
      </c>
      <c r="J75" s="11">
        <v>0</v>
      </c>
      <c r="K75" s="11">
        <v>0</v>
      </c>
      <c r="L75" s="10" t="e">
        <f t="shared" si="20"/>
        <v>#DIV/0!</v>
      </c>
      <c r="M75" s="14">
        <v>0</v>
      </c>
      <c r="N75" s="14">
        <v>0</v>
      </c>
      <c r="O75" s="10" t="e">
        <f t="shared" si="21"/>
        <v>#DIV/0!</v>
      </c>
      <c r="P75" s="14">
        <f t="shared" si="22"/>
        <v>0</v>
      </c>
      <c r="Q75" s="14">
        <f t="shared" si="23"/>
        <v>2.19</v>
      </c>
      <c r="R75" s="10" t="e">
        <f t="shared" si="24"/>
        <v>#DIV/0!</v>
      </c>
      <c r="S75" s="9">
        <v>0</v>
      </c>
      <c r="T75" s="9">
        <v>2.19</v>
      </c>
      <c r="U75" s="18" t="e">
        <f t="shared" si="39"/>
        <v>#DIV/0!</v>
      </c>
    </row>
    <row r="76" spans="1:21" s="3" customFormat="1" ht="18">
      <c r="A76" s="237"/>
      <c r="B76" s="6" t="s">
        <v>31</v>
      </c>
      <c r="C76" s="12">
        <f t="shared" ref="C76:H76" si="40">SUM(C67:C75)</f>
        <v>253.3</v>
      </c>
      <c r="D76" s="12">
        <f t="shared" si="40"/>
        <v>27.326499999999999</v>
      </c>
      <c r="E76" s="12">
        <f t="shared" si="40"/>
        <v>44.253100000000003</v>
      </c>
      <c r="F76" s="13">
        <f t="shared" si="37"/>
        <v>0.61942070883574596</v>
      </c>
      <c r="G76" s="12">
        <f t="shared" si="40"/>
        <v>5.22</v>
      </c>
      <c r="H76" s="12">
        <f t="shared" si="40"/>
        <v>39.316400000000002</v>
      </c>
      <c r="I76" s="13">
        <f t="shared" si="38"/>
        <v>6.5318773946360098</v>
      </c>
      <c r="J76" s="12">
        <f t="shared" ref="J76:N76" si="41">SUM(J67:J75)</f>
        <v>2.9350000000000001</v>
      </c>
      <c r="K76" s="12">
        <f t="shared" si="41"/>
        <v>2.0055000000000001</v>
      </c>
      <c r="L76" s="17">
        <f t="shared" si="20"/>
        <v>-0.31669505962521299</v>
      </c>
      <c r="M76" s="12">
        <f t="shared" si="41"/>
        <v>20.1539</v>
      </c>
      <c r="N76" s="12">
        <f t="shared" si="41"/>
        <v>4.0986000000000002</v>
      </c>
      <c r="O76" s="13">
        <f t="shared" si="21"/>
        <v>-0.79663489448692304</v>
      </c>
      <c r="P76" s="12">
        <f t="shared" ref="P76:T76" si="42">SUM(P67:P75)</f>
        <v>28.308900000000001</v>
      </c>
      <c r="Q76" s="12">
        <f t="shared" si="42"/>
        <v>45.420499999999997</v>
      </c>
      <c r="R76" s="13">
        <f t="shared" si="24"/>
        <v>0.60446008145848096</v>
      </c>
      <c r="S76" s="12">
        <f t="shared" si="42"/>
        <v>68.188199999999995</v>
      </c>
      <c r="T76" s="12">
        <f t="shared" si="42"/>
        <v>117.0001</v>
      </c>
      <c r="U76" s="13">
        <f t="shared" si="39"/>
        <v>0.71584086396180002</v>
      </c>
    </row>
    <row r="77" spans="1:21" s="3" customFormat="1" ht="17">
      <c r="A77" s="235" t="s">
        <v>540</v>
      </c>
      <c r="B77" s="236"/>
      <c r="C77" s="5">
        <f t="shared" ref="C77:H77" si="43">C76+C66++C56+C48+C41+C35+C26+C19+C13</f>
        <v>5575</v>
      </c>
      <c r="D77" s="5">
        <f t="shared" si="43"/>
        <v>2285.386094</v>
      </c>
      <c r="E77" s="5">
        <f t="shared" si="43"/>
        <v>2802.658238</v>
      </c>
      <c r="F77" s="13">
        <f t="shared" si="37"/>
        <v>0.22633906163953399</v>
      </c>
      <c r="G77" s="5">
        <f t="shared" si="43"/>
        <v>671.29314899999997</v>
      </c>
      <c r="H77" s="5">
        <f t="shared" si="43"/>
        <v>741.10287000000005</v>
      </c>
      <c r="I77" s="13">
        <f t="shared" si="38"/>
        <v>0.10399289953129</v>
      </c>
      <c r="J77" s="5">
        <f t="shared" ref="J77:N77" si="44">J76+J66++J56+J48+J41+J35+J26+J19+J13</f>
        <v>571.56997999999999</v>
      </c>
      <c r="K77" s="5">
        <f t="shared" si="44"/>
        <v>524.10253799999998</v>
      </c>
      <c r="L77" s="17">
        <f t="shared" si="20"/>
        <v>-8.3047472157302599E-2</v>
      </c>
      <c r="M77" s="5">
        <f t="shared" si="44"/>
        <v>1012.128774</v>
      </c>
      <c r="N77" s="5">
        <f t="shared" si="44"/>
        <v>523.30274499999996</v>
      </c>
      <c r="O77" s="13">
        <f t="shared" si="21"/>
        <v>-0.48296821665105599</v>
      </c>
      <c r="P77" s="5">
        <f t="shared" ref="P77:T77" si="45">P76+P66++P56+P48+P41+P35+P26+P19+P13</f>
        <v>2254.9919030000001</v>
      </c>
      <c r="Q77" s="5">
        <f t="shared" si="45"/>
        <v>1788.508153</v>
      </c>
      <c r="R77" s="13">
        <f t="shared" si="24"/>
        <v>-0.20686715077752499</v>
      </c>
      <c r="S77" s="5">
        <f t="shared" si="45"/>
        <v>6513.4153990000004</v>
      </c>
      <c r="T77" s="5">
        <f t="shared" si="45"/>
        <v>6876.6209749999998</v>
      </c>
      <c r="U77" s="13">
        <f t="shared" si="39"/>
        <v>5.5762691882934798E-2</v>
      </c>
    </row>
  </sheetData>
  <mergeCells count="26">
    <mergeCell ref="A1:U1"/>
    <mergeCell ref="D2:E2"/>
    <mergeCell ref="G2:H2"/>
    <mergeCell ref="J2:K2"/>
    <mergeCell ref="M2:N2"/>
    <mergeCell ref="P2:Q2"/>
    <mergeCell ref="S2:T2"/>
    <mergeCell ref="C2:C3"/>
    <mergeCell ref="F2:F3"/>
    <mergeCell ref="I2:I3"/>
    <mergeCell ref="L2:L3"/>
    <mergeCell ref="O2:O3"/>
    <mergeCell ref="R2:R3"/>
    <mergeCell ref="U2:U3"/>
    <mergeCell ref="A77:B77"/>
    <mergeCell ref="A2:A3"/>
    <mergeCell ref="A4:A13"/>
    <mergeCell ref="A14:A19"/>
    <mergeCell ref="A20:A26"/>
    <mergeCell ref="A27:A35"/>
    <mergeCell ref="A36:A41"/>
    <mergeCell ref="A42:A48"/>
    <mergeCell ref="A49:A56"/>
    <mergeCell ref="A57:A66"/>
    <mergeCell ref="A67:A76"/>
    <mergeCell ref="B2:B3"/>
  </mergeCells>
  <phoneticPr fontId="3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52"/>
  <sheetViews>
    <sheetView workbookViewId="0">
      <selection activeCell="H28" sqref="H28"/>
    </sheetView>
  </sheetViews>
  <sheetFormatPr baseColWidth="10" defaultColWidth="9" defaultRowHeight="13"/>
  <cols>
    <col min="1" max="1" width="9" style="1"/>
    <col min="2" max="2" width="32.1640625" style="1" customWidth="1"/>
    <col min="3" max="3" width="10.1640625" style="1"/>
    <col min="4" max="16384" width="9" style="1"/>
  </cols>
  <sheetData>
    <row r="1" spans="1:3">
      <c r="A1" s="2" t="s">
        <v>541</v>
      </c>
      <c r="B1" s="2" t="s">
        <v>542</v>
      </c>
      <c r="C1" s="2" t="s">
        <v>543</v>
      </c>
    </row>
    <row r="2" spans="1:3">
      <c r="A2" s="2" t="s">
        <v>37</v>
      </c>
      <c r="B2" s="2"/>
      <c r="C2" s="2">
        <v>6872.6</v>
      </c>
    </row>
    <row r="3" spans="1:3">
      <c r="A3" s="2"/>
      <c r="B3" s="2" t="s">
        <v>544</v>
      </c>
      <c r="C3" s="2">
        <v>6872.6</v>
      </c>
    </row>
    <row r="4" spans="1:3">
      <c r="A4" s="2" t="s">
        <v>24</v>
      </c>
      <c r="B4" s="2"/>
      <c r="C4" s="2">
        <v>1665365.53</v>
      </c>
    </row>
    <row r="5" spans="1:3">
      <c r="A5" s="2"/>
      <c r="B5" s="2" t="s">
        <v>545</v>
      </c>
      <c r="C5" s="2">
        <v>24037</v>
      </c>
    </row>
    <row r="6" spans="1:3">
      <c r="A6" s="2"/>
      <c r="B6" s="2" t="s">
        <v>99</v>
      </c>
      <c r="C6" s="2">
        <v>98642</v>
      </c>
    </row>
    <row r="7" spans="1:3">
      <c r="A7" s="2"/>
      <c r="B7" s="2" t="s">
        <v>131</v>
      </c>
      <c r="C7" s="2">
        <v>32450</v>
      </c>
    </row>
    <row r="8" spans="1:3">
      <c r="A8" s="2"/>
      <c r="B8" s="2" t="s">
        <v>121</v>
      </c>
      <c r="C8" s="2">
        <v>218669</v>
      </c>
    </row>
    <row r="9" spans="1:3">
      <c r="A9" s="2"/>
      <c r="B9" s="2" t="s">
        <v>97</v>
      </c>
      <c r="C9" s="2">
        <v>54601</v>
      </c>
    </row>
    <row r="10" spans="1:3">
      <c r="A10" s="2"/>
      <c r="B10" s="2" t="s">
        <v>107</v>
      </c>
      <c r="C10" s="2">
        <v>322595</v>
      </c>
    </row>
    <row r="11" spans="1:3">
      <c r="A11" s="2"/>
      <c r="B11" s="2" t="s">
        <v>67</v>
      </c>
      <c r="C11" s="2">
        <v>19000</v>
      </c>
    </row>
    <row r="12" spans="1:3">
      <c r="A12" s="2"/>
      <c r="B12" s="2" t="s">
        <v>87</v>
      </c>
      <c r="C12" s="2">
        <v>93879.44</v>
      </c>
    </row>
    <row r="13" spans="1:3">
      <c r="A13" s="2"/>
      <c r="B13" s="2" t="s">
        <v>73</v>
      </c>
      <c r="C13" s="2">
        <v>24536</v>
      </c>
    </row>
    <row r="14" spans="1:3">
      <c r="A14" s="2"/>
      <c r="B14" s="2" t="s">
        <v>64</v>
      </c>
      <c r="C14" s="2">
        <v>30000</v>
      </c>
    </row>
    <row r="15" spans="1:3">
      <c r="A15" s="2"/>
      <c r="B15" s="2" t="s">
        <v>83</v>
      </c>
      <c r="C15" s="2">
        <v>24824</v>
      </c>
    </row>
    <row r="16" spans="1:3">
      <c r="A16" s="2"/>
      <c r="B16" s="2" t="s">
        <v>60</v>
      </c>
      <c r="C16" s="2">
        <v>100000</v>
      </c>
    </row>
    <row r="17" spans="1:3">
      <c r="A17" s="2"/>
      <c r="B17" s="2" t="s">
        <v>130</v>
      </c>
      <c r="C17" s="2">
        <v>30503.1</v>
      </c>
    </row>
    <row r="18" spans="1:3">
      <c r="A18" s="2"/>
      <c r="B18" s="2" t="s">
        <v>115</v>
      </c>
      <c r="C18" s="2">
        <v>139207.99</v>
      </c>
    </row>
    <row r="19" spans="1:3">
      <c r="A19" s="2"/>
      <c r="B19" s="2" t="s">
        <v>118</v>
      </c>
      <c r="C19" s="2">
        <v>32000</v>
      </c>
    </row>
    <row r="20" spans="1:3">
      <c r="A20" s="2"/>
      <c r="B20" s="2" t="s">
        <v>69</v>
      </c>
      <c r="C20" s="2">
        <v>10000</v>
      </c>
    </row>
    <row r="21" spans="1:3">
      <c r="A21" s="2"/>
      <c r="B21" s="2" t="s">
        <v>122</v>
      </c>
      <c r="C21" s="2">
        <v>87258</v>
      </c>
    </row>
    <row r="22" spans="1:3">
      <c r="A22" s="2"/>
      <c r="B22" s="2" t="s">
        <v>546</v>
      </c>
      <c r="C22" s="2">
        <v>250000</v>
      </c>
    </row>
    <row r="23" spans="1:3">
      <c r="A23" s="2"/>
      <c r="B23" s="2" t="s">
        <v>105</v>
      </c>
      <c r="C23" s="2">
        <v>20000</v>
      </c>
    </row>
    <row r="24" spans="1:3">
      <c r="A24" s="2"/>
      <c r="B24" s="2" t="s">
        <v>116</v>
      </c>
      <c r="C24" s="2">
        <v>40340</v>
      </c>
    </row>
    <row r="25" spans="1:3">
      <c r="A25" s="2"/>
      <c r="B25" s="2" t="s">
        <v>547</v>
      </c>
      <c r="C25" s="2">
        <v>12823</v>
      </c>
    </row>
    <row r="26" spans="1:3">
      <c r="A26" s="2" t="s">
        <v>27</v>
      </c>
      <c r="B26" s="2"/>
      <c r="C26" s="2">
        <v>220016</v>
      </c>
    </row>
    <row r="27" spans="1:3">
      <c r="A27" s="2"/>
      <c r="B27" s="2" t="s">
        <v>548</v>
      </c>
      <c r="C27" s="2">
        <v>52000</v>
      </c>
    </row>
    <row r="28" spans="1:3">
      <c r="A28" s="2"/>
      <c r="B28" s="2" t="s">
        <v>160</v>
      </c>
      <c r="C28" s="2">
        <v>2322</v>
      </c>
    </row>
    <row r="29" spans="1:3">
      <c r="A29" s="2"/>
      <c r="B29" s="2" t="s">
        <v>140</v>
      </c>
      <c r="C29" s="2">
        <v>160000</v>
      </c>
    </row>
    <row r="30" spans="1:3">
      <c r="A30" s="2"/>
      <c r="B30" s="2" t="s">
        <v>158</v>
      </c>
      <c r="C30" s="2">
        <v>5664</v>
      </c>
    </row>
    <row r="31" spans="1:3">
      <c r="A31" s="2"/>
      <c r="B31" s="2" t="s">
        <v>549</v>
      </c>
      <c r="C31" s="2">
        <v>30</v>
      </c>
    </row>
    <row r="32" spans="1:3">
      <c r="A32" s="2" t="s">
        <v>29</v>
      </c>
      <c r="B32" s="2"/>
      <c r="C32" s="2">
        <v>781228.93</v>
      </c>
    </row>
    <row r="33" spans="1:3">
      <c r="A33" s="2"/>
      <c r="B33" s="2" t="s">
        <v>550</v>
      </c>
      <c r="C33" s="2">
        <v>90834</v>
      </c>
    </row>
    <row r="34" spans="1:3">
      <c r="A34" s="2"/>
      <c r="B34" s="2" t="s">
        <v>266</v>
      </c>
      <c r="C34" s="2">
        <v>5382</v>
      </c>
    </row>
    <row r="35" spans="1:3">
      <c r="A35" s="2"/>
      <c r="B35" s="2" t="s">
        <v>275</v>
      </c>
      <c r="C35" s="2">
        <v>5988</v>
      </c>
    </row>
    <row r="36" spans="1:3">
      <c r="A36" s="2"/>
      <c r="B36" s="2" t="s">
        <v>215</v>
      </c>
      <c r="C36" s="2">
        <v>5200</v>
      </c>
    </row>
    <row r="37" spans="1:3">
      <c r="A37" s="2"/>
      <c r="B37" s="2" t="s">
        <v>248</v>
      </c>
      <c r="C37" s="2">
        <v>6445</v>
      </c>
    </row>
    <row r="38" spans="1:3">
      <c r="A38" s="2"/>
      <c r="B38" s="2" t="s">
        <v>270</v>
      </c>
      <c r="C38" s="2">
        <v>790</v>
      </c>
    </row>
    <row r="39" spans="1:3">
      <c r="A39" s="2"/>
      <c r="B39" s="2" t="s">
        <v>279</v>
      </c>
      <c r="C39" s="2">
        <v>3141</v>
      </c>
    </row>
    <row r="40" spans="1:3">
      <c r="A40" s="2"/>
      <c r="B40" s="2" t="s">
        <v>297</v>
      </c>
      <c r="C40" s="2">
        <v>4883</v>
      </c>
    </row>
    <row r="41" spans="1:3">
      <c r="A41" s="2"/>
      <c r="B41" s="2" t="s">
        <v>298</v>
      </c>
      <c r="C41" s="2">
        <v>1970</v>
      </c>
    </row>
    <row r="42" spans="1:3">
      <c r="A42" s="2"/>
      <c r="B42" s="2" t="s">
        <v>278</v>
      </c>
      <c r="C42" s="2">
        <v>34226</v>
      </c>
    </row>
    <row r="43" spans="1:3">
      <c r="A43" s="2"/>
      <c r="B43" s="2" t="s">
        <v>299</v>
      </c>
      <c r="C43" s="2">
        <v>3899</v>
      </c>
    </row>
    <row r="44" spans="1:3">
      <c r="A44" s="2"/>
      <c r="B44" s="2" t="s">
        <v>264</v>
      </c>
      <c r="C44" s="2">
        <v>2517.5</v>
      </c>
    </row>
    <row r="45" spans="1:3">
      <c r="A45" s="2"/>
      <c r="B45" s="2" t="s">
        <v>140</v>
      </c>
      <c r="C45" s="2">
        <v>70000</v>
      </c>
    </row>
    <row r="46" spans="1:3">
      <c r="A46" s="2"/>
      <c r="B46" s="2" t="s">
        <v>229</v>
      </c>
      <c r="C46" s="2">
        <v>24940</v>
      </c>
    </row>
    <row r="47" spans="1:3">
      <c r="A47" s="2"/>
      <c r="B47" s="2" t="s">
        <v>238</v>
      </c>
      <c r="C47" s="2">
        <v>7391</v>
      </c>
    </row>
    <row r="48" spans="1:3">
      <c r="A48" s="2"/>
      <c r="B48" s="2" t="s">
        <v>276</v>
      </c>
      <c r="C48" s="2">
        <v>9808</v>
      </c>
    </row>
    <row r="49" spans="1:3">
      <c r="A49" s="2"/>
      <c r="B49" s="2" t="s">
        <v>231</v>
      </c>
      <c r="C49" s="2">
        <v>30000</v>
      </c>
    </row>
    <row r="50" spans="1:3">
      <c r="A50" s="2"/>
      <c r="B50" s="2" t="s">
        <v>224</v>
      </c>
      <c r="C50" s="2">
        <v>82873</v>
      </c>
    </row>
    <row r="51" spans="1:3">
      <c r="A51" s="2"/>
      <c r="B51" s="2" t="s">
        <v>551</v>
      </c>
      <c r="C51" s="2">
        <v>144395</v>
      </c>
    </row>
    <row r="52" spans="1:3">
      <c r="A52" s="2"/>
      <c r="B52" s="2" t="s">
        <v>261</v>
      </c>
      <c r="C52" s="2">
        <v>3149</v>
      </c>
    </row>
    <row r="53" spans="1:3">
      <c r="A53" s="2"/>
      <c r="B53" s="2" t="s">
        <v>227</v>
      </c>
      <c r="C53" s="2">
        <v>15915</v>
      </c>
    </row>
    <row r="54" spans="1:3">
      <c r="A54" s="2"/>
      <c r="B54" s="2" t="s">
        <v>237</v>
      </c>
      <c r="C54" s="2">
        <v>76510.600000000006</v>
      </c>
    </row>
    <row r="55" spans="1:3">
      <c r="A55" s="2"/>
      <c r="B55" s="2" t="s">
        <v>216</v>
      </c>
      <c r="C55" s="2">
        <v>8158</v>
      </c>
    </row>
    <row r="56" spans="1:3">
      <c r="A56" s="2"/>
      <c r="B56" s="2" t="s">
        <v>257</v>
      </c>
      <c r="C56" s="2">
        <v>5519</v>
      </c>
    </row>
    <row r="57" spans="1:3">
      <c r="A57" s="2"/>
      <c r="B57" s="2" t="s">
        <v>241</v>
      </c>
      <c r="C57" s="2">
        <v>14139</v>
      </c>
    </row>
    <row r="58" spans="1:3">
      <c r="A58" s="2"/>
      <c r="B58" s="2" t="s">
        <v>262</v>
      </c>
      <c r="C58" s="2">
        <v>6439</v>
      </c>
    </row>
    <row r="59" spans="1:3">
      <c r="A59" s="2"/>
      <c r="B59" s="2" t="s">
        <v>552</v>
      </c>
      <c r="C59" s="2">
        <v>24920</v>
      </c>
    </row>
    <row r="60" spans="1:3">
      <c r="A60" s="2"/>
      <c r="B60" s="2" t="s">
        <v>553</v>
      </c>
      <c r="C60" s="2">
        <v>0.03</v>
      </c>
    </row>
    <row r="61" spans="1:3">
      <c r="A61" s="2"/>
      <c r="B61" s="2" t="s">
        <v>255</v>
      </c>
      <c r="C61" s="2">
        <v>4597</v>
      </c>
    </row>
    <row r="62" spans="1:3">
      <c r="A62" s="2"/>
      <c r="B62" s="2" t="s">
        <v>119</v>
      </c>
      <c r="C62" s="2">
        <v>657.8</v>
      </c>
    </row>
    <row r="63" spans="1:3">
      <c r="A63" s="2"/>
      <c r="B63" s="2" t="s">
        <v>228</v>
      </c>
      <c r="C63" s="2">
        <v>55820</v>
      </c>
    </row>
    <row r="64" spans="1:3">
      <c r="A64" s="2"/>
      <c r="B64" s="2" t="s">
        <v>225</v>
      </c>
      <c r="C64" s="2">
        <v>14928</v>
      </c>
    </row>
    <row r="65" spans="1:3">
      <c r="A65" s="2"/>
      <c r="B65" s="2" t="s">
        <v>268</v>
      </c>
      <c r="C65" s="2">
        <v>4124</v>
      </c>
    </row>
    <row r="66" spans="1:3">
      <c r="A66" s="2"/>
      <c r="B66" s="2" t="s">
        <v>239</v>
      </c>
      <c r="C66" s="2">
        <v>3081</v>
      </c>
    </row>
    <row r="67" spans="1:3">
      <c r="A67" s="2"/>
      <c r="B67" s="2" t="s">
        <v>280</v>
      </c>
      <c r="C67" s="2">
        <v>8589</v>
      </c>
    </row>
    <row r="68" spans="1:3">
      <c r="A68" s="2" t="s">
        <v>164</v>
      </c>
      <c r="B68" s="2"/>
      <c r="C68" s="2">
        <v>317351.48</v>
      </c>
    </row>
    <row r="69" spans="1:3">
      <c r="A69" s="2"/>
      <c r="B69" s="2" t="s">
        <v>554</v>
      </c>
      <c r="C69" s="2">
        <v>12188</v>
      </c>
    </row>
    <row r="70" spans="1:3">
      <c r="A70" s="2"/>
      <c r="B70" s="2" t="s">
        <v>185</v>
      </c>
      <c r="C70" s="2">
        <v>94853</v>
      </c>
    </row>
    <row r="71" spans="1:3">
      <c r="A71" s="2"/>
      <c r="B71" s="2" t="s">
        <v>200</v>
      </c>
      <c r="C71" s="2">
        <v>2452</v>
      </c>
    </row>
    <row r="72" spans="1:3">
      <c r="A72" s="2"/>
      <c r="B72" s="2" t="s">
        <v>204</v>
      </c>
      <c r="C72" s="2">
        <v>19839</v>
      </c>
    </row>
    <row r="73" spans="1:3">
      <c r="A73" s="2"/>
      <c r="B73" s="2" t="s">
        <v>208</v>
      </c>
      <c r="C73" s="2">
        <v>14577</v>
      </c>
    </row>
    <row r="74" spans="1:3">
      <c r="A74" s="2"/>
      <c r="B74" s="2" t="s">
        <v>179</v>
      </c>
      <c r="C74" s="2">
        <v>3080</v>
      </c>
    </row>
    <row r="75" spans="1:3">
      <c r="A75" s="2"/>
      <c r="B75" s="2" t="s">
        <v>119</v>
      </c>
      <c r="C75" s="2">
        <v>5675.48</v>
      </c>
    </row>
    <row r="76" spans="1:3">
      <c r="A76" s="2"/>
      <c r="B76" s="2" t="s">
        <v>555</v>
      </c>
      <c r="C76" s="2">
        <v>58867</v>
      </c>
    </row>
    <row r="77" spans="1:3">
      <c r="A77" s="2"/>
      <c r="B77" s="2" t="s">
        <v>556</v>
      </c>
      <c r="C77" s="2">
        <v>2800</v>
      </c>
    </row>
    <row r="78" spans="1:3">
      <c r="A78" s="2"/>
      <c r="B78" s="2" t="s">
        <v>206</v>
      </c>
      <c r="C78" s="2">
        <v>11500</v>
      </c>
    </row>
    <row r="79" spans="1:3">
      <c r="A79" s="2"/>
      <c r="B79" s="2" t="s">
        <v>209</v>
      </c>
      <c r="C79" s="2">
        <v>3160</v>
      </c>
    </row>
    <row r="80" spans="1:3">
      <c r="A80" s="2"/>
      <c r="B80" s="2" t="s">
        <v>169</v>
      </c>
      <c r="C80" s="2">
        <v>88360</v>
      </c>
    </row>
    <row r="81" spans="1:3">
      <c r="A81" s="2" t="s">
        <v>33</v>
      </c>
      <c r="B81" s="2"/>
      <c r="C81" s="2">
        <v>1180401.6499999999</v>
      </c>
    </row>
    <row r="82" spans="1:3">
      <c r="A82" s="2"/>
      <c r="B82" s="2" t="s">
        <v>553</v>
      </c>
      <c r="C82" s="2">
        <v>14632.75</v>
      </c>
    </row>
    <row r="83" spans="1:3">
      <c r="A83" s="2"/>
      <c r="B83" s="2" t="s">
        <v>369</v>
      </c>
      <c r="C83" s="2">
        <v>135236</v>
      </c>
    </row>
    <row r="84" spans="1:3">
      <c r="A84" s="2"/>
      <c r="B84" s="2" t="s">
        <v>408</v>
      </c>
      <c r="C84" s="2">
        <v>41057.82</v>
      </c>
    </row>
    <row r="85" spans="1:3">
      <c r="A85" s="2"/>
      <c r="B85" s="2" t="s">
        <v>362</v>
      </c>
      <c r="C85" s="2">
        <v>50000</v>
      </c>
    </row>
    <row r="86" spans="1:3">
      <c r="A86" s="2"/>
      <c r="B86" s="2" t="s">
        <v>409</v>
      </c>
      <c r="C86" s="2">
        <v>4348</v>
      </c>
    </row>
    <row r="87" spans="1:3">
      <c r="A87" s="2"/>
      <c r="B87" s="2" t="s">
        <v>410</v>
      </c>
      <c r="C87" s="2">
        <v>78615.12</v>
      </c>
    </row>
    <row r="88" spans="1:3">
      <c r="A88" s="2"/>
      <c r="B88" s="2" t="s">
        <v>361</v>
      </c>
      <c r="C88" s="2">
        <v>72694</v>
      </c>
    </row>
    <row r="89" spans="1:3">
      <c r="A89" s="2"/>
      <c r="B89" s="2" t="s">
        <v>368</v>
      </c>
      <c r="C89" s="2">
        <v>6070.76</v>
      </c>
    </row>
    <row r="90" spans="1:3">
      <c r="A90" s="2"/>
      <c r="B90" s="2" t="s">
        <v>406</v>
      </c>
      <c r="C90" s="2">
        <v>4482</v>
      </c>
    </row>
    <row r="91" spans="1:3">
      <c r="A91" s="2"/>
      <c r="B91" s="2" t="s">
        <v>372</v>
      </c>
      <c r="C91" s="2">
        <v>11694</v>
      </c>
    </row>
    <row r="92" spans="1:3">
      <c r="A92" s="2"/>
      <c r="B92" s="2" t="s">
        <v>403</v>
      </c>
      <c r="C92" s="2">
        <v>13012</v>
      </c>
    </row>
    <row r="93" spans="1:3">
      <c r="A93" s="2"/>
      <c r="B93" s="2" t="s">
        <v>363</v>
      </c>
      <c r="C93" s="2">
        <v>83522.2</v>
      </c>
    </row>
    <row r="94" spans="1:3">
      <c r="A94" s="2"/>
      <c r="B94" s="2" t="s">
        <v>412</v>
      </c>
      <c r="C94" s="2">
        <v>23065</v>
      </c>
    </row>
    <row r="95" spans="1:3">
      <c r="A95" s="2"/>
      <c r="B95" s="2" t="s">
        <v>557</v>
      </c>
      <c r="C95" s="2">
        <v>30000</v>
      </c>
    </row>
    <row r="96" spans="1:3">
      <c r="A96" s="2"/>
      <c r="B96" s="2" t="s">
        <v>394</v>
      </c>
      <c r="C96" s="2">
        <v>110372</v>
      </c>
    </row>
    <row r="97" spans="1:3">
      <c r="A97" s="2"/>
      <c r="B97" s="2" t="s">
        <v>346</v>
      </c>
      <c r="C97" s="2">
        <v>230000</v>
      </c>
    </row>
    <row r="98" spans="1:3">
      <c r="A98" s="2"/>
      <c r="B98" s="2" t="s">
        <v>367</v>
      </c>
      <c r="C98" s="2">
        <v>258500</v>
      </c>
    </row>
    <row r="99" spans="1:3">
      <c r="A99" s="2"/>
      <c r="B99" s="2" t="s">
        <v>413</v>
      </c>
      <c r="C99" s="2">
        <v>13100</v>
      </c>
    </row>
    <row r="100" spans="1:3">
      <c r="A100" s="2" t="s">
        <v>30</v>
      </c>
      <c r="B100" s="2"/>
      <c r="C100" s="2">
        <v>463720.7</v>
      </c>
    </row>
    <row r="101" spans="1:3">
      <c r="A101" s="2"/>
      <c r="B101" s="2" t="s">
        <v>318</v>
      </c>
      <c r="C101" s="2">
        <v>41886</v>
      </c>
    </row>
    <row r="102" spans="1:3">
      <c r="A102" s="2"/>
      <c r="B102" s="2" t="s">
        <v>344</v>
      </c>
      <c r="C102" s="2">
        <v>7300</v>
      </c>
    </row>
    <row r="103" spans="1:3">
      <c r="A103" s="2"/>
      <c r="B103" s="2" t="s">
        <v>558</v>
      </c>
      <c r="C103" s="2">
        <v>20000</v>
      </c>
    </row>
    <row r="104" spans="1:3">
      <c r="A104" s="2"/>
      <c r="B104" s="2" t="s">
        <v>333</v>
      </c>
      <c r="C104" s="2">
        <v>15873</v>
      </c>
    </row>
    <row r="105" spans="1:3">
      <c r="A105" s="2"/>
      <c r="B105" s="2" t="s">
        <v>312</v>
      </c>
      <c r="C105" s="2">
        <v>30000</v>
      </c>
    </row>
    <row r="106" spans="1:3">
      <c r="A106" s="2"/>
      <c r="B106" s="2" t="s">
        <v>327</v>
      </c>
      <c r="C106" s="2">
        <v>9121</v>
      </c>
    </row>
    <row r="107" spans="1:3">
      <c r="A107" s="2"/>
      <c r="B107" s="2" t="s">
        <v>323</v>
      </c>
      <c r="C107" s="2">
        <v>114860.2</v>
      </c>
    </row>
    <row r="108" spans="1:3">
      <c r="A108" s="2"/>
      <c r="B108" s="2" t="s">
        <v>345</v>
      </c>
      <c r="C108" s="2">
        <v>9504</v>
      </c>
    </row>
    <row r="109" spans="1:3">
      <c r="A109" s="2"/>
      <c r="B109" s="2" t="s">
        <v>339</v>
      </c>
      <c r="C109" s="2">
        <v>6809</v>
      </c>
    </row>
    <row r="110" spans="1:3">
      <c r="A110" s="2"/>
      <c r="B110" s="2" t="s">
        <v>301</v>
      </c>
      <c r="C110" s="2">
        <v>10128</v>
      </c>
    </row>
    <row r="111" spans="1:3">
      <c r="A111" s="2"/>
      <c r="B111" s="2" t="s">
        <v>334</v>
      </c>
      <c r="C111" s="2">
        <v>23024</v>
      </c>
    </row>
    <row r="112" spans="1:3">
      <c r="A112" s="2"/>
      <c r="B112" s="2" t="s">
        <v>320</v>
      </c>
      <c r="C112" s="2">
        <v>30085</v>
      </c>
    </row>
    <row r="113" spans="1:3">
      <c r="A113" s="2"/>
      <c r="B113" s="2" t="s">
        <v>329</v>
      </c>
      <c r="C113" s="2">
        <v>3200</v>
      </c>
    </row>
    <row r="114" spans="1:3">
      <c r="A114" s="2"/>
      <c r="B114" s="2" t="s">
        <v>330</v>
      </c>
      <c r="C114" s="2">
        <v>35244.5</v>
      </c>
    </row>
    <row r="115" spans="1:3">
      <c r="A115" s="2"/>
      <c r="B115" s="2" t="s">
        <v>310</v>
      </c>
      <c r="C115" s="2">
        <v>9829</v>
      </c>
    </row>
    <row r="116" spans="1:3">
      <c r="A116" s="2"/>
      <c r="B116" s="2" t="s">
        <v>324</v>
      </c>
      <c r="C116" s="2">
        <v>18338</v>
      </c>
    </row>
    <row r="117" spans="1:3">
      <c r="A117" s="2"/>
      <c r="B117" s="2" t="s">
        <v>316</v>
      </c>
      <c r="C117" s="2">
        <v>78519</v>
      </c>
    </row>
    <row r="118" spans="1:3">
      <c r="A118" s="2" t="s">
        <v>414</v>
      </c>
      <c r="B118" s="2"/>
      <c r="C118" s="2">
        <v>574943.16</v>
      </c>
    </row>
    <row r="119" spans="1:3">
      <c r="A119" s="2"/>
      <c r="B119" s="2" t="s">
        <v>484</v>
      </c>
      <c r="C119" s="2">
        <v>62721</v>
      </c>
    </row>
    <row r="120" spans="1:3">
      <c r="A120" s="2"/>
      <c r="B120" s="2" t="s">
        <v>503</v>
      </c>
      <c r="C120" s="2">
        <v>24845</v>
      </c>
    </row>
    <row r="121" spans="1:3">
      <c r="A121" s="2"/>
      <c r="B121" s="2" t="s">
        <v>459</v>
      </c>
      <c r="C121" s="2">
        <v>13066</v>
      </c>
    </row>
    <row r="122" spans="1:3">
      <c r="A122" s="2"/>
      <c r="B122" s="2" t="s">
        <v>460</v>
      </c>
      <c r="C122" s="2">
        <v>32136</v>
      </c>
    </row>
    <row r="123" spans="1:3">
      <c r="A123" s="2"/>
      <c r="B123" s="2" t="s">
        <v>469</v>
      </c>
      <c r="C123" s="2">
        <v>12050</v>
      </c>
    </row>
    <row r="124" spans="1:3">
      <c r="A124" s="2"/>
      <c r="B124" s="2" t="s">
        <v>512</v>
      </c>
      <c r="C124" s="2">
        <v>11548</v>
      </c>
    </row>
    <row r="125" spans="1:3">
      <c r="A125" s="2"/>
      <c r="B125" s="2" t="s">
        <v>511</v>
      </c>
      <c r="C125" s="2">
        <v>8850</v>
      </c>
    </row>
    <row r="126" spans="1:3">
      <c r="A126" s="2"/>
      <c r="B126" s="2" t="s">
        <v>506</v>
      </c>
      <c r="C126" s="2">
        <v>162935.56</v>
      </c>
    </row>
    <row r="127" spans="1:3">
      <c r="A127" s="2"/>
      <c r="B127" s="2" t="s">
        <v>463</v>
      </c>
      <c r="C127" s="2">
        <v>18255.599999999999</v>
      </c>
    </row>
    <row r="128" spans="1:3">
      <c r="A128" s="2"/>
      <c r="B128" s="2" t="s">
        <v>449</v>
      </c>
      <c r="C128" s="2">
        <v>9777</v>
      </c>
    </row>
    <row r="129" spans="1:3">
      <c r="A129" s="2"/>
      <c r="B129" s="2" t="s">
        <v>450</v>
      </c>
      <c r="C129" s="2">
        <v>8980</v>
      </c>
    </row>
    <row r="130" spans="1:3">
      <c r="A130" s="2"/>
      <c r="B130" s="2" t="s">
        <v>446</v>
      </c>
      <c r="C130" s="2">
        <v>7936</v>
      </c>
    </row>
    <row r="131" spans="1:3">
      <c r="A131" s="2"/>
      <c r="B131" s="2" t="s">
        <v>452</v>
      </c>
      <c r="C131" s="2">
        <v>10678</v>
      </c>
    </row>
    <row r="132" spans="1:3">
      <c r="A132" s="2"/>
      <c r="B132" s="2" t="s">
        <v>467</v>
      </c>
      <c r="C132" s="2">
        <v>72851</v>
      </c>
    </row>
    <row r="133" spans="1:3">
      <c r="A133" s="2"/>
      <c r="B133" s="2" t="s">
        <v>432</v>
      </c>
      <c r="C133" s="2">
        <v>80000</v>
      </c>
    </row>
    <row r="134" spans="1:3">
      <c r="A134" s="2"/>
      <c r="B134" s="2" t="s">
        <v>499</v>
      </c>
      <c r="C134" s="2">
        <v>1838</v>
      </c>
    </row>
    <row r="135" spans="1:3">
      <c r="A135" s="2"/>
      <c r="B135" s="2" t="s">
        <v>422</v>
      </c>
      <c r="C135" s="2">
        <v>4726</v>
      </c>
    </row>
    <row r="136" spans="1:3">
      <c r="A136" s="2"/>
      <c r="B136" s="2" t="s">
        <v>426</v>
      </c>
      <c r="C136" s="2">
        <v>31750</v>
      </c>
    </row>
    <row r="137" spans="1:3">
      <c r="A137" s="2" t="s">
        <v>559</v>
      </c>
      <c r="B137" s="2"/>
      <c r="C137" s="2">
        <v>534045</v>
      </c>
    </row>
    <row r="138" spans="1:3">
      <c r="A138" s="2"/>
      <c r="B138" s="2" t="s">
        <v>545</v>
      </c>
      <c r="C138" s="2">
        <v>37958</v>
      </c>
    </row>
    <row r="139" spans="1:3">
      <c r="A139" s="2"/>
      <c r="B139" s="2" t="s">
        <v>521</v>
      </c>
      <c r="C139" s="2">
        <v>496087</v>
      </c>
    </row>
    <row r="140" spans="1:3">
      <c r="A140" s="2" t="s">
        <v>560</v>
      </c>
      <c r="B140" s="2"/>
      <c r="C140" s="2">
        <v>457589.17</v>
      </c>
    </row>
    <row r="141" spans="1:3">
      <c r="A141" s="2"/>
      <c r="B141" s="2" t="s">
        <v>561</v>
      </c>
      <c r="C141" s="2">
        <v>190529.7</v>
      </c>
    </row>
    <row r="142" spans="1:3">
      <c r="A142" s="2"/>
      <c r="B142" s="2" t="s">
        <v>87</v>
      </c>
      <c r="C142" s="2">
        <v>12560.4</v>
      </c>
    </row>
    <row r="143" spans="1:3">
      <c r="A143" s="2"/>
      <c r="B143" s="2" t="s">
        <v>562</v>
      </c>
      <c r="C143" s="2">
        <v>1365.93</v>
      </c>
    </row>
    <row r="144" spans="1:3">
      <c r="A144" s="2"/>
      <c r="B144" s="2" t="s">
        <v>563</v>
      </c>
      <c r="C144" s="2">
        <v>8575</v>
      </c>
    </row>
    <row r="145" spans="1:3">
      <c r="A145" s="2"/>
      <c r="B145" s="2" t="s">
        <v>130</v>
      </c>
      <c r="C145" s="2">
        <v>68.400000000000006</v>
      </c>
    </row>
    <row r="146" spans="1:3">
      <c r="A146" s="2"/>
      <c r="B146" s="2" t="s">
        <v>564</v>
      </c>
      <c r="C146" s="2">
        <v>-5000</v>
      </c>
    </row>
    <row r="147" spans="1:3">
      <c r="A147" s="2"/>
      <c r="B147" s="2" t="s">
        <v>565</v>
      </c>
      <c r="C147" s="2">
        <v>20719.5</v>
      </c>
    </row>
    <row r="148" spans="1:3">
      <c r="A148" s="2"/>
      <c r="B148" s="2" t="s">
        <v>566</v>
      </c>
      <c r="C148" s="2">
        <v>80475.38</v>
      </c>
    </row>
    <row r="149" spans="1:3">
      <c r="A149" s="2"/>
      <c r="B149" s="2" t="s">
        <v>567</v>
      </c>
      <c r="C149" s="2">
        <v>32985.160000000003</v>
      </c>
    </row>
    <row r="150" spans="1:3">
      <c r="A150" s="2"/>
      <c r="B150" s="2" t="s">
        <v>568</v>
      </c>
      <c r="C150" s="2">
        <v>115309.7</v>
      </c>
    </row>
    <row r="151" spans="1:3">
      <c r="A151" s="2"/>
      <c r="B151" s="2" t="s">
        <v>560</v>
      </c>
      <c r="C151" s="2"/>
    </row>
    <row r="152" spans="1:3">
      <c r="A152" s="2" t="s">
        <v>540</v>
      </c>
      <c r="B152" s="2"/>
      <c r="C152" s="2">
        <v>6201534.2199999997</v>
      </c>
    </row>
  </sheetData>
  <phoneticPr fontId="3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AE467-211A-7142-A1FF-69AEB67899E6}">
  <dimension ref="A1:BP383"/>
  <sheetViews>
    <sheetView topLeftCell="D1" zoomScale="125" workbookViewId="0">
      <selection activeCell="K1" sqref="K1"/>
    </sheetView>
  </sheetViews>
  <sheetFormatPr baseColWidth="10" defaultRowHeight="14"/>
  <cols>
    <col min="18" max="18" width="8.6640625" bestFit="1" customWidth="1"/>
  </cols>
  <sheetData>
    <row r="1" spans="1:68">
      <c r="A1" s="77" t="s">
        <v>44</v>
      </c>
      <c r="B1" s="33" t="s">
        <v>45</v>
      </c>
      <c r="C1" s="81" t="s">
        <v>579</v>
      </c>
      <c r="D1" s="33" t="s">
        <v>47</v>
      </c>
      <c r="E1" s="33" t="s">
        <v>48</v>
      </c>
      <c r="F1" s="33" t="s">
        <v>580</v>
      </c>
      <c r="G1" s="33" t="s">
        <v>50</v>
      </c>
      <c r="H1" s="35" t="s">
        <v>578</v>
      </c>
      <c r="I1" s="81"/>
      <c r="J1" s="35" t="s">
        <v>21</v>
      </c>
      <c r="K1" s="35" t="s">
        <v>581</v>
      </c>
      <c r="L1" s="81"/>
      <c r="M1" s="35" t="s">
        <v>21</v>
      </c>
      <c r="N1" s="35" t="s">
        <v>5</v>
      </c>
      <c r="O1" s="81"/>
      <c r="P1" s="35" t="s">
        <v>21</v>
      </c>
      <c r="Q1" s="35" t="s">
        <v>22</v>
      </c>
      <c r="R1" s="81"/>
      <c r="S1" s="35" t="s">
        <v>21</v>
      </c>
      <c r="T1" s="35" t="s">
        <v>6</v>
      </c>
      <c r="U1" s="81"/>
      <c r="V1" s="35" t="s">
        <v>21</v>
      </c>
      <c r="W1" s="35" t="s">
        <v>22</v>
      </c>
      <c r="X1" s="81"/>
      <c r="Y1" s="35" t="s">
        <v>21</v>
      </c>
      <c r="Z1" s="35" t="s">
        <v>8</v>
      </c>
      <c r="AA1" s="81"/>
      <c r="AB1" s="35" t="s">
        <v>21</v>
      </c>
      <c r="AC1" s="35" t="s">
        <v>22</v>
      </c>
      <c r="AD1" s="81"/>
      <c r="AE1" s="35" t="s">
        <v>21</v>
      </c>
      <c r="AF1" s="35" t="s">
        <v>10</v>
      </c>
      <c r="AG1" s="81"/>
      <c r="AH1" s="35" t="s">
        <v>21</v>
      </c>
      <c r="AI1" s="35" t="s">
        <v>22</v>
      </c>
      <c r="AJ1" s="81"/>
      <c r="AK1" s="35" t="s">
        <v>21</v>
      </c>
      <c r="AL1" s="35" t="s">
        <v>12</v>
      </c>
      <c r="AM1" s="81"/>
      <c r="AN1" s="35" t="s">
        <v>21</v>
      </c>
      <c r="AO1" s="35" t="s">
        <v>22</v>
      </c>
      <c r="AP1" s="81"/>
      <c r="AQ1" s="35" t="s">
        <v>21</v>
      </c>
      <c r="AR1" s="35" t="s">
        <v>14</v>
      </c>
      <c r="AS1" s="81"/>
      <c r="AT1" s="35" t="s">
        <v>21</v>
      </c>
      <c r="AU1" s="35" t="s">
        <v>22</v>
      </c>
      <c r="AV1" s="81"/>
      <c r="AW1" s="35" t="s">
        <v>21</v>
      </c>
      <c r="AX1" s="35" t="s">
        <v>576</v>
      </c>
      <c r="AY1" s="81"/>
      <c r="AZ1" s="35" t="s">
        <v>21</v>
      </c>
      <c r="BA1" s="35" t="s">
        <v>22</v>
      </c>
      <c r="BB1" s="81"/>
      <c r="BC1" s="35" t="s">
        <v>21</v>
      </c>
      <c r="BD1" s="35" t="s">
        <v>18</v>
      </c>
      <c r="BE1" s="81"/>
      <c r="BF1" s="35" t="s">
        <v>21</v>
      </c>
      <c r="BG1" s="35" t="s">
        <v>22</v>
      </c>
      <c r="BH1" s="81"/>
      <c r="BI1" s="35" t="s">
        <v>21</v>
      </c>
      <c r="BJ1" s="35" t="s">
        <v>21</v>
      </c>
      <c r="BK1" s="35" t="s">
        <v>21</v>
      </c>
      <c r="BL1" s="35" t="s">
        <v>21</v>
      </c>
      <c r="BM1" s="81"/>
      <c r="BN1" s="77" t="s">
        <v>52</v>
      </c>
      <c r="BO1" s="77" t="s">
        <v>53</v>
      </c>
      <c r="BP1" s="77" t="s">
        <v>54</v>
      </c>
    </row>
    <row r="2" spans="1:68">
      <c r="A2" s="77"/>
      <c r="B2" s="33"/>
      <c r="C2" s="81"/>
      <c r="D2" s="33"/>
      <c r="E2" s="33"/>
      <c r="F2" s="33"/>
      <c r="G2" s="33"/>
      <c r="H2" s="78"/>
      <c r="I2" s="193" t="s">
        <v>38</v>
      </c>
      <c r="J2" s="197" t="s">
        <v>3</v>
      </c>
      <c r="K2" s="197"/>
      <c r="L2" s="196" t="s">
        <v>4</v>
      </c>
      <c r="M2" s="197" t="s">
        <v>569</v>
      </c>
      <c r="N2" s="197"/>
      <c r="O2" s="196" t="s">
        <v>4</v>
      </c>
      <c r="P2" s="197" t="s">
        <v>39</v>
      </c>
      <c r="Q2" s="197"/>
      <c r="R2" s="196" t="s">
        <v>4</v>
      </c>
      <c r="S2" s="197" t="s">
        <v>570</v>
      </c>
      <c r="T2" s="197"/>
      <c r="U2" s="196" t="s">
        <v>4</v>
      </c>
      <c r="V2" s="197" t="s">
        <v>7</v>
      </c>
      <c r="W2" s="197"/>
      <c r="X2" s="196" t="s">
        <v>4</v>
      </c>
      <c r="Y2" s="197" t="s">
        <v>571</v>
      </c>
      <c r="Z2" s="197"/>
      <c r="AA2" s="196" t="s">
        <v>4</v>
      </c>
      <c r="AB2" s="197" t="s">
        <v>9</v>
      </c>
      <c r="AC2" s="197"/>
      <c r="AD2" s="187" t="s">
        <v>4</v>
      </c>
      <c r="AE2" s="197" t="s">
        <v>572</v>
      </c>
      <c r="AF2" s="197"/>
      <c r="AG2" s="196" t="s">
        <v>4</v>
      </c>
      <c r="AH2" s="197" t="s">
        <v>11</v>
      </c>
      <c r="AI2" s="197"/>
      <c r="AJ2" s="187" t="s">
        <v>4</v>
      </c>
      <c r="AK2" s="197" t="s">
        <v>574</v>
      </c>
      <c r="AL2" s="197"/>
      <c r="AM2" s="196" t="s">
        <v>4</v>
      </c>
      <c r="AN2" s="197" t="s">
        <v>13</v>
      </c>
      <c r="AO2" s="197"/>
      <c r="AP2" s="187" t="s">
        <v>4</v>
      </c>
      <c r="AQ2" s="197" t="s">
        <v>575</v>
      </c>
      <c r="AR2" s="197"/>
      <c r="AS2" s="196" t="s">
        <v>4</v>
      </c>
      <c r="AT2" s="197" t="s">
        <v>15</v>
      </c>
      <c r="AU2" s="197"/>
      <c r="AV2" s="187" t="s">
        <v>4</v>
      </c>
      <c r="AW2" s="197" t="s">
        <v>576</v>
      </c>
      <c r="AX2" s="197"/>
      <c r="AY2" s="196" t="s">
        <v>4</v>
      </c>
      <c r="AZ2" s="197" t="s">
        <v>17</v>
      </c>
      <c r="BA2" s="197"/>
      <c r="BB2" s="187" t="s">
        <v>4</v>
      </c>
      <c r="BC2" s="191" t="s">
        <v>577</v>
      </c>
      <c r="BD2" s="192"/>
      <c r="BE2" s="187" t="s">
        <v>4</v>
      </c>
      <c r="BF2" s="191" t="s">
        <v>19</v>
      </c>
      <c r="BG2" s="192"/>
      <c r="BH2" s="187" t="s">
        <v>4</v>
      </c>
      <c r="BI2" s="69" t="s">
        <v>40</v>
      </c>
      <c r="BJ2" s="69" t="s">
        <v>41</v>
      </c>
      <c r="BK2" s="113" t="s">
        <v>42</v>
      </c>
      <c r="BL2" s="113" t="s">
        <v>43</v>
      </c>
      <c r="BM2" s="188" t="s">
        <v>20</v>
      </c>
      <c r="BN2" s="77"/>
      <c r="BO2" s="77"/>
      <c r="BP2" s="77"/>
    </row>
    <row r="3" spans="1:68">
      <c r="A3" s="77" t="s">
        <v>44</v>
      </c>
      <c r="B3" s="33" t="s">
        <v>45</v>
      </c>
      <c r="C3" s="81" t="s">
        <v>46</v>
      </c>
      <c r="D3" s="33" t="s">
        <v>47</v>
      </c>
      <c r="E3" s="33" t="s">
        <v>48</v>
      </c>
      <c r="F3" s="33" t="s">
        <v>49</v>
      </c>
      <c r="G3" s="33" t="s">
        <v>50</v>
      </c>
      <c r="H3" s="35" t="s">
        <v>51</v>
      </c>
      <c r="I3" s="194"/>
      <c r="J3" s="35" t="s">
        <v>21</v>
      </c>
      <c r="K3" s="35" t="s">
        <v>22</v>
      </c>
      <c r="L3" s="196"/>
      <c r="M3" s="35" t="s">
        <v>21</v>
      </c>
      <c r="N3" s="35" t="s">
        <v>22</v>
      </c>
      <c r="O3" s="196"/>
      <c r="P3" s="35" t="s">
        <v>21</v>
      </c>
      <c r="Q3" s="35" t="s">
        <v>22</v>
      </c>
      <c r="R3" s="196"/>
      <c r="S3" s="35" t="s">
        <v>21</v>
      </c>
      <c r="T3" s="35" t="s">
        <v>22</v>
      </c>
      <c r="U3" s="196"/>
      <c r="V3" s="35" t="s">
        <v>21</v>
      </c>
      <c r="W3" s="35" t="s">
        <v>22</v>
      </c>
      <c r="X3" s="196"/>
      <c r="Y3" s="35" t="s">
        <v>21</v>
      </c>
      <c r="Z3" s="35" t="s">
        <v>22</v>
      </c>
      <c r="AA3" s="196"/>
      <c r="AB3" s="35" t="s">
        <v>21</v>
      </c>
      <c r="AC3" s="35" t="s">
        <v>22</v>
      </c>
      <c r="AD3" s="187"/>
      <c r="AE3" s="35" t="s">
        <v>21</v>
      </c>
      <c r="AF3" s="35" t="s">
        <v>22</v>
      </c>
      <c r="AG3" s="196"/>
      <c r="AH3" s="35" t="s">
        <v>21</v>
      </c>
      <c r="AI3" s="35" t="s">
        <v>22</v>
      </c>
      <c r="AJ3" s="187"/>
      <c r="AK3" s="35" t="s">
        <v>21</v>
      </c>
      <c r="AL3" s="35" t="s">
        <v>22</v>
      </c>
      <c r="AM3" s="196"/>
      <c r="AN3" s="35" t="s">
        <v>21</v>
      </c>
      <c r="AO3" s="35" t="s">
        <v>22</v>
      </c>
      <c r="AP3" s="187"/>
      <c r="AQ3" s="35" t="s">
        <v>21</v>
      </c>
      <c r="AR3" s="35" t="s">
        <v>22</v>
      </c>
      <c r="AS3" s="196"/>
      <c r="AT3" s="35" t="s">
        <v>21</v>
      </c>
      <c r="AU3" s="35" t="s">
        <v>22</v>
      </c>
      <c r="AV3" s="187"/>
      <c r="AW3" s="35" t="s">
        <v>21</v>
      </c>
      <c r="AX3" s="35" t="s">
        <v>22</v>
      </c>
      <c r="AY3" s="196"/>
      <c r="AZ3" s="35" t="s">
        <v>21</v>
      </c>
      <c r="BA3" s="35" t="s">
        <v>22</v>
      </c>
      <c r="BB3" s="187"/>
      <c r="BC3" s="35" t="s">
        <v>21</v>
      </c>
      <c r="BD3" s="35" t="s">
        <v>22</v>
      </c>
      <c r="BE3" s="187"/>
      <c r="BF3" s="35" t="s">
        <v>21</v>
      </c>
      <c r="BG3" s="35" t="s">
        <v>22</v>
      </c>
      <c r="BH3" s="187"/>
      <c r="BI3" s="35" t="s">
        <v>21</v>
      </c>
      <c r="BJ3" s="35" t="s">
        <v>21</v>
      </c>
      <c r="BK3" s="35" t="s">
        <v>21</v>
      </c>
      <c r="BL3" s="35" t="s">
        <v>21</v>
      </c>
      <c r="BM3" s="189"/>
      <c r="BN3" s="77" t="s">
        <v>52</v>
      </c>
      <c r="BO3" s="77" t="s">
        <v>53</v>
      </c>
      <c r="BP3" s="77" t="s">
        <v>54</v>
      </c>
    </row>
    <row r="4" spans="1:68">
      <c r="A4" s="78" t="s">
        <v>24</v>
      </c>
      <c r="B4" s="78" t="s">
        <v>24</v>
      </c>
      <c r="C4" s="132" t="s">
        <v>55</v>
      </c>
      <c r="D4" s="80" t="s">
        <v>56</v>
      </c>
      <c r="E4" s="80" t="s">
        <v>56</v>
      </c>
      <c r="F4" s="80" t="s">
        <v>57</v>
      </c>
      <c r="G4" s="80" t="s">
        <v>57</v>
      </c>
      <c r="H4" s="39" t="s">
        <v>58</v>
      </c>
      <c r="I4" s="195">
        <v>800</v>
      </c>
      <c r="J4" s="144">
        <v>100000</v>
      </c>
      <c r="K4" s="144">
        <v>180000</v>
      </c>
      <c r="L4" s="92">
        <f t="shared" ref="L4:L42" si="0">K4/J4-1</f>
        <v>0.8</v>
      </c>
      <c r="M4" s="144"/>
      <c r="N4" s="144">
        <v>90000</v>
      </c>
      <c r="O4" s="92" t="e">
        <f t="shared" ref="O4:O42" si="1">N4/M4-1</f>
        <v>#DIV/0!</v>
      </c>
      <c r="P4" s="144">
        <f t="shared" ref="P4:Q19" si="2">J4+M4</f>
        <v>100000</v>
      </c>
      <c r="Q4" s="144">
        <f t="shared" si="2"/>
        <v>270000</v>
      </c>
      <c r="R4" s="92">
        <f t="shared" ref="R4:R42" si="3">Q4/P4-1</f>
        <v>1.7000000000000002</v>
      </c>
      <c r="S4" s="22">
        <v>540000</v>
      </c>
      <c r="T4" s="22">
        <v>200000</v>
      </c>
      <c r="U4" s="92">
        <f>T4/S4-1</f>
        <v>-0.62962962962962965</v>
      </c>
      <c r="V4" s="22">
        <f>S4+P4</f>
        <v>640000</v>
      </c>
      <c r="W4" s="22">
        <f>T4+Q4</f>
        <v>470000</v>
      </c>
      <c r="X4" s="92">
        <f>W4/V4-1</f>
        <v>-0.265625</v>
      </c>
      <c r="Y4" s="38">
        <v>550000</v>
      </c>
      <c r="Z4" s="38">
        <f>620000+30000+42800</f>
        <v>692800</v>
      </c>
      <c r="AA4" s="147">
        <f>Z4/Y4-1</f>
        <v>0.25963636363636367</v>
      </c>
      <c r="AB4" s="38">
        <f>Y4+V4</f>
        <v>1190000</v>
      </c>
      <c r="AC4" s="38">
        <f>Z4+W4</f>
        <v>1162800</v>
      </c>
      <c r="AD4" s="147">
        <f>AC4/AB4-1</f>
        <v>-2.2857142857142909E-2</v>
      </c>
      <c r="AE4" s="39">
        <v>513000</v>
      </c>
      <c r="AF4" s="143">
        <v>480000</v>
      </c>
      <c r="AG4" s="147">
        <f>AF4/AE4-1</f>
        <v>-6.4327485380117011E-2</v>
      </c>
      <c r="AH4" s="143">
        <f>AE4+AB4</f>
        <v>1703000</v>
      </c>
      <c r="AI4" s="143">
        <f>AF4+AC4</f>
        <v>1642800</v>
      </c>
      <c r="AJ4" s="147">
        <f>AI4/AH4-1</f>
        <v>-3.5349383440986482E-2</v>
      </c>
      <c r="AK4" s="149">
        <v>350000</v>
      </c>
      <c r="AL4" s="149">
        <v>180000</v>
      </c>
      <c r="AM4" s="147">
        <f>AL4/AK4-1</f>
        <v>-0.48571428571428577</v>
      </c>
      <c r="AN4" s="149">
        <f>AK4+AH4</f>
        <v>2053000</v>
      </c>
      <c r="AO4" s="149">
        <f>AL4+AI4</f>
        <v>1822800</v>
      </c>
      <c r="AP4" s="147">
        <f>AO4/AN4-1</f>
        <v>-0.11212859230394545</v>
      </c>
      <c r="AQ4" s="149">
        <v>200000</v>
      </c>
      <c r="AR4" s="149">
        <v>420000</v>
      </c>
      <c r="AS4" s="147">
        <f>AR4/AQ4-1</f>
        <v>1.1000000000000001</v>
      </c>
      <c r="AT4" s="149">
        <f>AQ4+AN4</f>
        <v>2253000</v>
      </c>
      <c r="AU4" s="149">
        <f>AR4+AO4</f>
        <v>2242800</v>
      </c>
      <c r="AV4" s="147">
        <f>AU4/AT4-1</f>
        <v>-4.5272969374168248E-3</v>
      </c>
      <c r="AW4" s="43">
        <v>190000</v>
      </c>
      <c r="AX4" s="43">
        <v>310000</v>
      </c>
      <c r="AY4" s="147">
        <f>AX4/AW4-1</f>
        <v>0.63157894736842102</v>
      </c>
      <c r="AZ4" s="43">
        <f>AW4+AT4</f>
        <v>2443000</v>
      </c>
      <c r="BA4" s="43">
        <f>AX4+AU4</f>
        <v>2552800</v>
      </c>
      <c r="BB4" s="147">
        <f>BA4/AZ4-1</f>
        <v>4.494474007367999E-2</v>
      </c>
      <c r="BC4" s="43">
        <v>730000</v>
      </c>
      <c r="BD4" s="43">
        <v>250000</v>
      </c>
      <c r="BE4" s="147">
        <f>BD4/BC4-1</f>
        <v>-0.65753424657534243</v>
      </c>
      <c r="BF4" s="43">
        <f>BC4+AZ4</f>
        <v>3173000</v>
      </c>
      <c r="BG4" s="43">
        <f>BD4+BA4</f>
        <v>2802800</v>
      </c>
      <c r="BH4" s="147">
        <f>BG4/BF4-1</f>
        <v>-0.11667191931925625</v>
      </c>
      <c r="BI4" s="46">
        <v>840000</v>
      </c>
      <c r="BJ4" s="46">
        <v>180000</v>
      </c>
      <c r="BK4" s="46">
        <v>260000</v>
      </c>
      <c r="BL4" s="46">
        <v>4453000</v>
      </c>
      <c r="BM4" s="190">
        <f>(BG4+BG5)/10000/I4</f>
        <v>0.49234923749999998</v>
      </c>
      <c r="BN4" s="77">
        <v>83000</v>
      </c>
      <c r="BO4" s="77">
        <f>30000+42800</f>
        <v>72800</v>
      </c>
      <c r="BP4" s="77"/>
    </row>
    <row r="5" spans="1:68">
      <c r="A5" s="78" t="s">
        <v>24</v>
      </c>
      <c r="B5" s="78" t="s">
        <v>24</v>
      </c>
      <c r="C5" s="133" t="s">
        <v>59</v>
      </c>
      <c r="D5" s="80" t="s">
        <v>56</v>
      </c>
      <c r="E5" s="80" t="s">
        <v>56</v>
      </c>
      <c r="F5" s="80" t="s">
        <v>57</v>
      </c>
      <c r="G5" s="80" t="s">
        <v>57</v>
      </c>
      <c r="H5" s="39" t="s">
        <v>58</v>
      </c>
      <c r="I5" s="195"/>
      <c r="J5" s="144">
        <v>109082.35</v>
      </c>
      <c r="K5" s="144">
        <v>85017.95</v>
      </c>
      <c r="L5" s="92">
        <f t="shared" si="0"/>
        <v>-0.22060764184123283</v>
      </c>
      <c r="M5" s="144"/>
      <c r="N5" s="144">
        <v>124698.5</v>
      </c>
      <c r="O5" s="92" t="e">
        <f t="shared" si="1"/>
        <v>#DIV/0!</v>
      </c>
      <c r="P5" s="144">
        <f t="shared" si="2"/>
        <v>109082.35</v>
      </c>
      <c r="Q5" s="144">
        <f t="shared" si="2"/>
        <v>209716.45</v>
      </c>
      <c r="R5" s="92">
        <f t="shared" si="3"/>
        <v>0.92255163186344991</v>
      </c>
      <c r="S5" s="22">
        <v>98942.87</v>
      </c>
      <c r="T5" s="22"/>
      <c r="U5" s="92">
        <f t="shared" ref="U5:U44" si="4">T5/S5-1</f>
        <v>-1</v>
      </c>
      <c r="V5" s="22">
        <f t="shared" ref="V5:W44" si="5">S5+P5</f>
        <v>208025.22</v>
      </c>
      <c r="W5" s="22">
        <f t="shared" si="5"/>
        <v>209716.45</v>
      </c>
      <c r="X5" s="92">
        <f t="shared" ref="X5:X44" si="6">W5/V5-1</f>
        <v>8.1299277078039633E-3</v>
      </c>
      <c r="Y5" s="38">
        <v>96183.1</v>
      </c>
      <c r="Z5" s="38">
        <v>277266.5</v>
      </c>
      <c r="AA5" s="147">
        <f t="shared" ref="AA5:AA44" si="7">Z5/Y5-1</f>
        <v>1.8826945690043257</v>
      </c>
      <c r="AB5" s="38">
        <f t="shared" ref="AB5:AC45" si="8">Y5+V5</f>
        <v>304208.32</v>
      </c>
      <c r="AC5" s="38">
        <f t="shared" si="8"/>
        <v>486982.95</v>
      </c>
      <c r="AD5" s="147">
        <f t="shared" ref="AD5:AD44" si="9">AC5/AB5-1</f>
        <v>0.60082061529415109</v>
      </c>
      <c r="AE5" s="39">
        <v>108234.5</v>
      </c>
      <c r="AF5" s="143">
        <v>108269.25</v>
      </c>
      <c r="AG5" s="147">
        <f t="shared" ref="AG5:AG50" si="10">AF5/AE5-1</f>
        <v>3.2106213822769014E-4</v>
      </c>
      <c r="AH5" s="143">
        <f t="shared" ref="AH5:AI49" si="11">AE5+AB5</f>
        <v>412442.82</v>
      </c>
      <c r="AI5" s="143">
        <f t="shared" si="11"/>
        <v>595252.19999999995</v>
      </c>
      <c r="AJ5" s="147">
        <f t="shared" ref="AJ5:AJ50" si="12">AI5/AH5-1</f>
        <v>0.44323569507162208</v>
      </c>
      <c r="AK5" s="149">
        <v>329415.3</v>
      </c>
      <c r="AL5" s="149">
        <v>173565</v>
      </c>
      <c r="AM5" s="147">
        <f t="shared" ref="AM5:AM50" si="13">AL5/AK5-1</f>
        <v>-0.4731119046383091</v>
      </c>
      <c r="AN5" s="149">
        <f t="shared" ref="AN5:AO49" si="14">AK5+AH5</f>
        <v>741858.12</v>
      </c>
      <c r="AO5" s="149">
        <f t="shared" si="14"/>
        <v>768817.2</v>
      </c>
      <c r="AP5" s="147">
        <f t="shared" ref="AP5:AP50" si="15">AO5/AN5-1</f>
        <v>3.633994058055201E-2</v>
      </c>
      <c r="AQ5" s="149">
        <v>83070</v>
      </c>
      <c r="AR5" s="149">
        <v>256417.7</v>
      </c>
      <c r="AS5" s="147">
        <f t="shared" ref="AS5:AS50" si="16">AR5/AQ5-1</f>
        <v>2.0867665824003852</v>
      </c>
      <c r="AT5" s="149">
        <f t="shared" ref="AT5:AU49" si="17">AQ5+AN5</f>
        <v>824928.12</v>
      </c>
      <c r="AU5" s="149">
        <f t="shared" si="17"/>
        <v>1025234.8999999999</v>
      </c>
      <c r="AV5" s="147">
        <f t="shared" ref="AV5:AV50" si="18">AU5/AT5-1</f>
        <v>0.24281725297471968</v>
      </c>
      <c r="AW5" s="43">
        <v>170557.8</v>
      </c>
      <c r="AX5" s="43">
        <v>110759</v>
      </c>
      <c r="AY5" s="147">
        <f t="shared" ref="AY5:AY50" si="19">AX5/AW5-1</f>
        <v>-0.35060724282325406</v>
      </c>
      <c r="AZ5" s="43">
        <f t="shared" ref="AZ5:BA49" si="20">AW5+AT5</f>
        <v>995485.91999999993</v>
      </c>
      <c r="BA5" s="43">
        <f t="shared" si="20"/>
        <v>1135993.8999999999</v>
      </c>
      <c r="BB5" s="147">
        <f>BA5/AZ5-1</f>
        <v>0.14114512036493698</v>
      </c>
      <c r="BC5" s="43">
        <v>58082.8</v>
      </c>
      <c r="BD5" s="43"/>
      <c r="BE5" s="147">
        <f t="shared" ref="BE5:BE50" si="21">BD5/BC5-1</f>
        <v>-1</v>
      </c>
      <c r="BF5" s="43">
        <f t="shared" ref="BF5:BG49" si="22">BC5+AZ5</f>
        <v>1053568.72</v>
      </c>
      <c r="BG5" s="43">
        <f t="shared" si="22"/>
        <v>1135993.8999999999</v>
      </c>
      <c r="BH5" s="147">
        <f>BG5/BF5-1</f>
        <v>7.8234270280917118E-2</v>
      </c>
      <c r="BI5" s="46"/>
      <c r="BJ5" s="46">
        <v>407846.40000000002</v>
      </c>
      <c r="BK5" s="46">
        <v>134778.1</v>
      </c>
      <c r="BL5" s="46">
        <v>1596193.22</v>
      </c>
      <c r="BM5" s="190"/>
      <c r="BN5" s="77"/>
      <c r="BO5" s="77"/>
      <c r="BP5" s="77"/>
    </row>
    <row r="6" spans="1:68">
      <c r="A6" s="78" t="s">
        <v>24</v>
      </c>
      <c r="B6" s="78" t="s">
        <v>24</v>
      </c>
      <c r="C6" s="81" t="s">
        <v>60</v>
      </c>
      <c r="D6" s="80" t="s">
        <v>61</v>
      </c>
      <c r="E6" s="80" t="s">
        <v>56</v>
      </c>
      <c r="F6" s="80" t="s">
        <v>62</v>
      </c>
      <c r="G6" s="80" t="s">
        <v>62</v>
      </c>
      <c r="H6" s="39" t="s">
        <v>63</v>
      </c>
      <c r="I6" s="143">
        <v>130</v>
      </c>
      <c r="J6" s="144"/>
      <c r="K6" s="144">
        <v>100000</v>
      </c>
      <c r="L6" s="92" t="e">
        <f t="shared" si="0"/>
        <v>#DIV/0!</v>
      </c>
      <c r="M6" s="144"/>
      <c r="N6" s="144"/>
      <c r="O6" s="92" t="e">
        <f t="shared" si="1"/>
        <v>#DIV/0!</v>
      </c>
      <c r="P6" s="144">
        <f t="shared" si="2"/>
        <v>0</v>
      </c>
      <c r="Q6" s="144">
        <f t="shared" si="2"/>
        <v>100000</v>
      </c>
      <c r="R6" s="92" t="e">
        <f t="shared" si="3"/>
        <v>#DIV/0!</v>
      </c>
      <c r="S6" s="22"/>
      <c r="T6" s="22">
        <v>60000</v>
      </c>
      <c r="U6" s="92" t="e">
        <f t="shared" si="4"/>
        <v>#DIV/0!</v>
      </c>
      <c r="V6" s="22">
        <f t="shared" si="5"/>
        <v>0</v>
      </c>
      <c r="W6" s="22">
        <f t="shared" si="5"/>
        <v>160000</v>
      </c>
      <c r="X6" s="92" t="e">
        <f t="shared" si="6"/>
        <v>#DIV/0!</v>
      </c>
      <c r="Y6" s="38">
        <v>100000</v>
      </c>
      <c r="Z6" s="38">
        <v>50000</v>
      </c>
      <c r="AA6" s="147">
        <f t="shared" si="7"/>
        <v>-0.5</v>
      </c>
      <c r="AB6" s="38">
        <f t="shared" si="8"/>
        <v>100000</v>
      </c>
      <c r="AC6" s="38">
        <f t="shared" si="8"/>
        <v>210000</v>
      </c>
      <c r="AD6" s="147">
        <f t="shared" si="9"/>
        <v>1.1000000000000001</v>
      </c>
      <c r="AE6" s="39">
        <v>100000</v>
      </c>
      <c r="AF6" s="143">
        <v>60000</v>
      </c>
      <c r="AG6" s="147">
        <f t="shared" si="10"/>
        <v>-0.4</v>
      </c>
      <c r="AH6" s="143">
        <f t="shared" si="11"/>
        <v>200000</v>
      </c>
      <c r="AI6" s="143">
        <f t="shared" si="11"/>
        <v>270000</v>
      </c>
      <c r="AJ6" s="147">
        <f t="shared" si="12"/>
        <v>0.35000000000000009</v>
      </c>
      <c r="AK6" s="149">
        <v>100000</v>
      </c>
      <c r="AL6" s="149">
        <v>120000</v>
      </c>
      <c r="AM6" s="147">
        <f t="shared" si="13"/>
        <v>0.19999999999999996</v>
      </c>
      <c r="AN6" s="149">
        <f t="shared" si="14"/>
        <v>300000</v>
      </c>
      <c r="AO6" s="149">
        <f t="shared" si="14"/>
        <v>390000</v>
      </c>
      <c r="AP6" s="147">
        <f t="shared" si="15"/>
        <v>0.30000000000000004</v>
      </c>
      <c r="AQ6" s="149">
        <v>100000</v>
      </c>
      <c r="AR6" s="149">
        <v>100000</v>
      </c>
      <c r="AS6" s="147">
        <f t="shared" si="16"/>
        <v>0</v>
      </c>
      <c r="AT6" s="149">
        <f t="shared" si="17"/>
        <v>400000</v>
      </c>
      <c r="AU6" s="149">
        <f t="shared" si="17"/>
        <v>490000</v>
      </c>
      <c r="AV6" s="147">
        <f t="shared" si="18"/>
        <v>0.22500000000000009</v>
      </c>
      <c r="AW6" s="43">
        <v>100000</v>
      </c>
      <c r="AX6" s="43">
        <v>50000</v>
      </c>
      <c r="AY6" s="147">
        <f t="shared" si="19"/>
        <v>-0.5</v>
      </c>
      <c r="AZ6" s="43">
        <f t="shared" si="20"/>
        <v>500000</v>
      </c>
      <c r="BA6" s="43">
        <f t="shared" si="20"/>
        <v>540000</v>
      </c>
      <c r="BB6" s="147">
        <f t="shared" ref="BB6:BB50" si="23">BA6/AZ6-1</f>
        <v>8.0000000000000071E-2</v>
      </c>
      <c r="BC6" s="43">
        <v>100000</v>
      </c>
      <c r="BD6" s="43">
        <v>100000</v>
      </c>
      <c r="BE6" s="147">
        <f t="shared" si="21"/>
        <v>0</v>
      </c>
      <c r="BF6" s="43">
        <f t="shared" si="22"/>
        <v>600000</v>
      </c>
      <c r="BG6" s="43">
        <f t="shared" si="22"/>
        <v>640000</v>
      </c>
      <c r="BH6" s="147">
        <f t="shared" ref="BH6:BH50" si="24">BG6/BF6-1</f>
        <v>6.6666666666666652E-2</v>
      </c>
      <c r="BI6" s="46">
        <v>100000</v>
      </c>
      <c r="BJ6" s="46">
        <v>200000</v>
      </c>
      <c r="BK6" s="46">
        <v>100000</v>
      </c>
      <c r="BL6" s="46">
        <v>1000000</v>
      </c>
      <c r="BM6" s="92">
        <f>BG6/10000/I6</f>
        <v>0.49230769230769234</v>
      </c>
      <c r="BN6" s="77"/>
      <c r="BO6" s="77"/>
      <c r="BP6" s="77"/>
    </row>
    <row r="7" spans="1:68">
      <c r="A7" s="78" t="s">
        <v>24</v>
      </c>
      <c r="B7" s="78" t="s">
        <v>24</v>
      </c>
      <c r="C7" s="174" t="s">
        <v>64</v>
      </c>
      <c r="D7" s="80" t="s">
        <v>65</v>
      </c>
      <c r="E7" s="80" t="s">
        <v>65</v>
      </c>
      <c r="F7" s="80" t="s">
        <v>66</v>
      </c>
      <c r="G7" s="80" t="s">
        <v>66</v>
      </c>
      <c r="H7" s="39" t="s">
        <v>63</v>
      </c>
      <c r="I7" s="143">
        <v>190</v>
      </c>
      <c r="J7" s="144">
        <v>140000</v>
      </c>
      <c r="K7" s="144">
        <v>41700</v>
      </c>
      <c r="L7" s="92">
        <f t="shared" si="0"/>
        <v>-0.70214285714285718</v>
      </c>
      <c r="M7" s="144">
        <v>60000</v>
      </c>
      <c r="N7" s="144">
        <f>20000+7875</f>
        <v>27875</v>
      </c>
      <c r="O7" s="92">
        <f t="shared" si="1"/>
        <v>-0.53541666666666665</v>
      </c>
      <c r="P7" s="144">
        <f t="shared" si="2"/>
        <v>200000</v>
      </c>
      <c r="Q7" s="144">
        <f t="shared" si="2"/>
        <v>69575</v>
      </c>
      <c r="R7" s="92">
        <f t="shared" si="3"/>
        <v>-0.65212500000000007</v>
      </c>
      <c r="S7" s="22">
        <v>60000</v>
      </c>
      <c r="T7" s="22">
        <f>55000+39786</f>
        <v>94786</v>
      </c>
      <c r="U7" s="92">
        <f t="shared" si="4"/>
        <v>0.57976666666666676</v>
      </c>
      <c r="V7" s="22">
        <f t="shared" si="5"/>
        <v>260000</v>
      </c>
      <c r="W7" s="22">
        <f t="shared" si="5"/>
        <v>164361</v>
      </c>
      <c r="X7" s="92">
        <f t="shared" si="6"/>
        <v>-0.36784230769230775</v>
      </c>
      <c r="Y7" s="38">
        <v>270219</v>
      </c>
      <c r="Z7" s="38">
        <v>67000</v>
      </c>
      <c r="AA7" s="147">
        <f t="shared" si="7"/>
        <v>-0.7520529644473557</v>
      </c>
      <c r="AB7" s="38">
        <f t="shared" si="8"/>
        <v>530219</v>
      </c>
      <c r="AC7" s="38">
        <f t="shared" si="8"/>
        <v>231361</v>
      </c>
      <c r="AD7" s="147">
        <f t="shared" si="9"/>
        <v>-0.56365011438669677</v>
      </c>
      <c r="AE7" s="39">
        <v>61019</v>
      </c>
      <c r="AF7" s="143"/>
      <c r="AG7" s="147">
        <f t="shared" si="10"/>
        <v>-1</v>
      </c>
      <c r="AH7" s="143">
        <f t="shared" si="11"/>
        <v>591238</v>
      </c>
      <c r="AI7" s="143">
        <f t="shared" si="11"/>
        <v>231361</v>
      </c>
      <c r="AJ7" s="147">
        <f t="shared" si="12"/>
        <v>-0.60868381261015025</v>
      </c>
      <c r="AK7" s="149">
        <v>501898</v>
      </c>
      <c r="AL7" s="149">
        <v>30253.74</v>
      </c>
      <c r="AM7" s="147">
        <f t="shared" si="13"/>
        <v>-0.93972133780170475</v>
      </c>
      <c r="AN7" s="149">
        <f t="shared" si="14"/>
        <v>1093136</v>
      </c>
      <c r="AO7" s="149">
        <f t="shared" si="14"/>
        <v>261614.74</v>
      </c>
      <c r="AP7" s="147">
        <f t="shared" si="15"/>
        <v>-0.76067503037133533</v>
      </c>
      <c r="AQ7" s="149"/>
      <c r="AR7" s="149">
        <v>40000</v>
      </c>
      <c r="AS7" s="147" t="e">
        <f t="shared" si="16"/>
        <v>#DIV/0!</v>
      </c>
      <c r="AT7" s="149">
        <f t="shared" si="17"/>
        <v>1093136</v>
      </c>
      <c r="AU7" s="149">
        <f t="shared" si="17"/>
        <v>301614.74</v>
      </c>
      <c r="AV7" s="147">
        <f t="shared" si="18"/>
        <v>-0.72408306011328882</v>
      </c>
      <c r="AW7" s="43"/>
      <c r="AX7" s="43">
        <v>70000</v>
      </c>
      <c r="AY7" s="147" t="e">
        <f t="shared" si="19"/>
        <v>#DIV/0!</v>
      </c>
      <c r="AZ7" s="43">
        <f t="shared" si="20"/>
        <v>1093136</v>
      </c>
      <c r="BA7" s="43">
        <f t="shared" si="20"/>
        <v>371614.74</v>
      </c>
      <c r="BB7" s="147">
        <f t="shared" si="23"/>
        <v>-0.66004711216170731</v>
      </c>
      <c r="BC7" s="43">
        <v>43506</v>
      </c>
      <c r="BD7" s="43">
        <v>30000</v>
      </c>
      <c r="BE7" s="147">
        <f t="shared" si="21"/>
        <v>-0.31043993931871461</v>
      </c>
      <c r="BF7" s="43">
        <f t="shared" si="22"/>
        <v>1136642</v>
      </c>
      <c r="BG7" s="43">
        <f t="shared" si="22"/>
        <v>401614.74</v>
      </c>
      <c r="BH7" s="147">
        <f t="shared" si="24"/>
        <v>-0.64666558159913157</v>
      </c>
      <c r="BI7" s="46">
        <v>89609</v>
      </c>
      <c r="BJ7" s="46">
        <v>10000</v>
      </c>
      <c r="BK7" s="46">
        <v>175000</v>
      </c>
      <c r="BL7" s="46">
        <v>1411251</v>
      </c>
      <c r="BM7" s="92">
        <f t="shared" ref="BM7:BM50" si="25">BG7/10000/I7</f>
        <v>0.2113761789473684</v>
      </c>
      <c r="BN7" s="77">
        <v>61019</v>
      </c>
      <c r="BO7" s="77"/>
      <c r="BP7" s="77"/>
    </row>
    <row r="8" spans="1:68">
      <c r="A8" s="78" t="s">
        <v>24</v>
      </c>
      <c r="B8" s="78" t="s">
        <v>24</v>
      </c>
      <c r="C8" s="81" t="s">
        <v>67</v>
      </c>
      <c r="D8" s="80" t="s">
        <v>65</v>
      </c>
      <c r="E8" s="80" t="s">
        <v>65</v>
      </c>
      <c r="F8" s="80" t="s">
        <v>68</v>
      </c>
      <c r="G8" s="80" t="s">
        <v>68</v>
      </c>
      <c r="H8" s="39" t="s">
        <v>63</v>
      </c>
      <c r="I8" s="143">
        <v>270</v>
      </c>
      <c r="J8" s="144">
        <v>215180.88</v>
      </c>
      <c r="K8" s="144">
        <v>10000</v>
      </c>
      <c r="L8" s="92">
        <f t="shared" si="0"/>
        <v>-0.95352746954097412</v>
      </c>
      <c r="M8" s="144">
        <v>146500</v>
      </c>
      <c r="N8" s="144">
        <v>83000</v>
      </c>
      <c r="O8" s="92">
        <f t="shared" si="1"/>
        <v>-0.43344709897610922</v>
      </c>
      <c r="P8" s="144">
        <f t="shared" si="2"/>
        <v>361680.88</v>
      </c>
      <c r="Q8" s="144">
        <f t="shared" si="2"/>
        <v>93000</v>
      </c>
      <c r="R8" s="92">
        <f t="shared" si="3"/>
        <v>-0.74286724805579984</v>
      </c>
      <c r="S8" s="22">
        <v>280836</v>
      </c>
      <c r="T8" s="22">
        <v>71000</v>
      </c>
      <c r="U8" s="92">
        <f t="shared" si="4"/>
        <v>-0.74718340953439011</v>
      </c>
      <c r="V8" s="22">
        <f t="shared" si="5"/>
        <v>642516.88</v>
      </c>
      <c r="W8" s="22">
        <f t="shared" si="5"/>
        <v>164000</v>
      </c>
      <c r="X8" s="92">
        <f t="shared" si="6"/>
        <v>-0.74475378763589839</v>
      </c>
      <c r="Y8" s="38">
        <v>201000</v>
      </c>
      <c r="Z8" s="38">
        <v>140000</v>
      </c>
      <c r="AA8" s="147">
        <f t="shared" si="7"/>
        <v>-0.30348258706467657</v>
      </c>
      <c r="AB8" s="38">
        <f t="shared" si="8"/>
        <v>843516.88</v>
      </c>
      <c r="AC8" s="38">
        <f t="shared" si="8"/>
        <v>304000</v>
      </c>
      <c r="AD8" s="147">
        <f t="shared" si="9"/>
        <v>-0.63960412979524484</v>
      </c>
      <c r="AE8" s="39">
        <v>182933</v>
      </c>
      <c r="AF8" s="143">
        <v>70000</v>
      </c>
      <c r="AG8" s="147">
        <f t="shared" si="10"/>
        <v>-0.61734624152011941</v>
      </c>
      <c r="AH8" s="143">
        <f t="shared" si="11"/>
        <v>1026449.88</v>
      </c>
      <c r="AI8" s="143">
        <f t="shared" si="11"/>
        <v>374000</v>
      </c>
      <c r="AJ8" s="147">
        <f t="shared" si="12"/>
        <v>-0.63563734841101061</v>
      </c>
      <c r="AK8" s="149">
        <v>205000</v>
      </c>
      <c r="AL8" s="149">
        <v>65840</v>
      </c>
      <c r="AM8" s="147">
        <f t="shared" si="13"/>
        <v>-0.67882926829268286</v>
      </c>
      <c r="AN8" s="149">
        <f t="shared" si="14"/>
        <v>1231449.8799999999</v>
      </c>
      <c r="AO8" s="149">
        <f t="shared" si="14"/>
        <v>439840</v>
      </c>
      <c r="AP8" s="147">
        <f t="shared" si="15"/>
        <v>-0.6428275262002543</v>
      </c>
      <c r="AQ8" s="149">
        <v>157000</v>
      </c>
      <c r="AR8" s="149">
        <v>39000</v>
      </c>
      <c r="AS8" s="147">
        <f t="shared" si="16"/>
        <v>-0.75159235668789814</v>
      </c>
      <c r="AT8" s="149">
        <f t="shared" si="17"/>
        <v>1388449.88</v>
      </c>
      <c r="AU8" s="149">
        <f t="shared" si="17"/>
        <v>478840</v>
      </c>
      <c r="AV8" s="147">
        <f t="shared" si="18"/>
        <v>-0.65512619007896777</v>
      </c>
      <c r="AW8" s="43">
        <v>106000</v>
      </c>
      <c r="AX8" s="43">
        <v>95500</v>
      </c>
      <c r="AY8" s="147">
        <f t="shared" si="19"/>
        <v>-9.9056603773584939E-2</v>
      </c>
      <c r="AZ8" s="43">
        <f t="shared" si="20"/>
        <v>1494449.88</v>
      </c>
      <c r="BA8" s="43">
        <f t="shared" si="20"/>
        <v>574340</v>
      </c>
      <c r="BB8" s="147">
        <f t="shared" si="23"/>
        <v>-0.61568466919747089</v>
      </c>
      <c r="BC8" s="43">
        <v>142000</v>
      </c>
      <c r="BD8" s="43">
        <v>19000</v>
      </c>
      <c r="BE8" s="147">
        <f t="shared" si="21"/>
        <v>-0.86619718309859151</v>
      </c>
      <c r="BF8" s="43">
        <f t="shared" si="22"/>
        <v>1636449.88</v>
      </c>
      <c r="BG8" s="43">
        <f t="shared" si="22"/>
        <v>593340</v>
      </c>
      <c r="BH8" s="147">
        <f t="shared" si="24"/>
        <v>-0.63742244278205451</v>
      </c>
      <c r="BI8" s="46">
        <v>219169</v>
      </c>
      <c r="BJ8" s="46">
        <v>239000</v>
      </c>
      <c r="BK8" s="46">
        <v>343500</v>
      </c>
      <c r="BL8" s="46">
        <v>2438118.88</v>
      </c>
      <c r="BM8" s="92">
        <f t="shared" si="25"/>
        <v>0.21975555555555557</v>
      </c>
      <c r="BN8" s="77">
        <v>106933</v>
      </c>
      <c r="BO8" s="77"/>
      <c r="BP8" s="77"/>
    </row>
    <row r="9" spans="1:68">
      <c r="A9" s="78" t="s">
        <v>24</v>
      </c>
      <c r="B9" s="78" t="s">
        <v>24</v>
      </c>
      <c r="C9" s="134" t="s">
        <v>69</v>
      </c>
      <c r="D9" s="80" t="s">
        <v>65</v>
      </c>
      <c r="E9" s="80" t="s">
        <v>65</v>
      </c>
      <c r="F9" s="80" t="s">
        <v>70</v>
      </c>
      <c r="G9" s="80" t="s">
        <v>70</v>
      </c>
      <c r="H9" s="39" t="s">
        <v>63</v>
      </c>
      <c r="I9" s="143">
        <v>190</v>
      </c>
      <c r="J9" s="144">
        <v>100000</v>
      </c>
      <c r="K9" s="144">
        <v>149040</v>
      </c>
      <c r="L9" s="92">
        <f t="shared" si="0"/>
        <v>0.49039999999999995</v>
      </c>
      <c r="M9" s="144">
        <v>30000</v>
      </c>
      <c r="N9" s="144">
        <v>72140</v>
      </c>
      <c r="O9" s="92">
        <f t="shared" si="1"/>
        <v>1.4046666666666665</v>
      </c>
      <c r="P9" s="144">
        <f t="shared" si="2"/>
        <v>130000</v>
      </c>
      <c r="Q9" s="144">
        <f t="shared" si="2"/>
        <v>221180</v>
      </c>
      <c r="R9" s="92">
        <f t="shared" si="3"/>
        <v>0.7013846153846155</v>
      </c>
      <c r="S9" s="22">
        <v>70000</v>
      </c>
      <c r="T9" s="22">
        <v>160000</v>
      </c>
      <c r="U9" s="92">
        <f t="shared" si="4"/>
        <v>1.2857142857142856</v>
      </c>
      <c r="V9" s="22">
        <f t="shared" si="5"/>
        <v>200000</v>
      </c>
      <c r="W9" s="22">
        <f t="shared" si="5"/>
        <v>381180</v>
      </c>
      <c r="X9" s="92">
        <f t="shared" si="6"/>
        <v>0.90589999999999993</v>
      </c>
      <c r="Y9" s="38">
        <v>90000</v>
      </c>
      <c r="Z9" s="38">
        <v>100000</v>
      </c>
      <c r="AA9" s="147">
        <f t="shared" si="7"/>
        <v>0.11111111111111116</v>
      </c>
      <c r="AB9" s="38">
        <f t="shared" si="8"/>
        <v>290000</v>
      </c>
      <c r="AC9" s="38">
        <f t="shared" si="8"/>
        <v>481180</v>
      </c>
      <c r="AD9" s="147">
        <f t="shared" si="9"/>
        <v>0.65924137931034488</v>
      </c>
      <c r="AE9" s="39">
        <v>65253</v>
      </c>
      <c r="AF9" s="143">
        <v>90000</v>
      </c>
      <c r="AG9" s="147">
        <f t="shared" si="10"/>
        <v>0.37924693117557817</v>
      </c>
      <c r="AH9" s="143">
        <f t="shared" si="11"/>
        <v>355253</v>
      </c>
      <c r="AI9" s="143">
        <f t="shared" si="11"/>
        <v>571180</v>
      </c>
      <c r="AJ9" s="147">
        <f t="shared" si="12"/>
        <v>0.60781189743647479</v>
      </c>
      <c r="AK9" s="149">
        <v>555000</v>
      </c>
      <c r="AL9" s="149">
        <v>275000</v>
      </c>
      <c r="AM9" s="147">
        <f t="shared" si="13"/>
        <v>-0.50450450450450446</v>
      </c>
      <c r="AN9" s="149">
        <f t="shared" si="14"/>
        <v>910253</v>
      </c>
      <c r="AO9" s="149">
        <f t="shared" si="14"/>
        <v>846180</v>
      </c>
      <c r="AP9" s="147">
        <f t="shared" si="15"/>
        <v>-7.0390320053875133E-2</v>
      </c>
      <c r="AQ9" s="149"/>
      <c r="AR9" s="149"/>
      <c r="AS9" s="147" t="e">
        <f t="shared" si="16"/>
        <v>#DIV/0!</v>
      </c>
      <c r="AT9" s="149">
        <f t="shared" si="17"/>
        <v>910253</v>
      </c>
      <c r="AU9" s="149">
        <f t="shared" si="17"/>
        <v>846180</v>
      </c>
      <c r="AV9" s="147">
        <f t="shared" si="18"/>
        <v>-7.0390320053875133E-2</v>
      </c>
      <c r="AW9" s="43"/>
      <c r="AX9" s="43">
        <v>30000</v>
      </c>
      <c r="AY9" s="147" t="e">
        <f t="shared" si="19"/>
        <v>#DIV/0!</v>
      </c>
      <c r="AZ9" s="43">
        <f t="shared" si="20"/>
        <v>910253</v>
      </c>
      <c r="BA9" s="43">
        <f t="shared" si="20"/>
        <v>876180</v>
      </c>
      <c r="BB9" s="147">
        <f t="shared" si="23"/>
        <v>-3.7432450099038395E-2</v>
      </c>
      <c r="BC9" s="43">
        <v>6799</v>
      </c>
      <c r="BD9" s="43">
        <v>10000</v>
      </c>
      <c r="BE9" s="147">
        <f t="shared" si="21"/>
        <v>0.47080453007795264</v>
      </c>
      <c r="BF9" s="43">
        <f t="shared" si="22"/>
        <v>917052</v>
      </c>
      <c r="BG9" s="43">
        <f t="shared" si="22"/>
        <v>886180</v>
      </c>
      <c r="BH9" s="147">
        <f t="shared" si="24"/>
        <v>-3.3664394167397305E-2</v>
      </c>
      <c r="BI9" s="46">
        <v>137020</v>
      </c>
      <c r="BJ9" s="46">
        <v>182000</v>
      </c>
      <c r="BK9" s="46">
        <v>220000</v>
      </c>
      <c r="BL9" s="46">
        <v>1456072</v>
      </c>
      <c r="BM9" s="92">
        <f t="shared" si="25"/>
        <v>0.46641052631578944</v>
      </c>
      <c r="BN9" s="77">
        <v>50253</v>
      </c>
      <c r="BO9" s="77"/>
      <c r="BP9" s="77"/>
    </row>
    <row r="10" spans="1:68">
      <c r="A10" s="78" t="s">
        <v>24</v>
      </c>
      <c r="B10" s="78" t="s">
        <v>24</v>
      </c>
      <c r="C10" s="174" t="s">
        <v>71</v>
      </c>
      <c r="D10" s="80" t="s">
        <v>61</v>
      </c>
      <c r="E10" s="80" t="s">
        <v>61</v>
      </c>
      <c r="F10" s="80" t="s">
        <v>72</v>
      </c>
      <c r="G10" s="80" t="s">
        <v>72</v>
      </c>
      <c r="H10" s="39" t="s">
        <v>63</v>
      </c>
      <c r="I10" s="143"/>
      <c r="J10" s="144">
        <v>10000</v>
      </c>
      <c r="K10" s="144"/>
      <c r="L10" s="92">
        <f t="shared" si="0"/>
        <v>-1</v>
      </c>
      <c r="M10" s="144"/>
      <c r="N10" s="144"/>
      <c r="O10" s="92" t="e">
        <f t="shared" si="1"/>
        <v>#DIV/0!</v>
      </c>
      <c r="P10" s="144">
        <f t="shared" si="2"/>
        <v>10000</v>
      </c>
      <c r="Q10" s="144">
        <f t="shared" si="2"/>
        <v>0</v>
      </c>
      <c r="R10" s="92">
        <f t="shared" si="3"/>
        <v>-1</v>
      </c>
      <c r="S10" s="22">
        <v>10000</v>
      </c>
      <c r="T10" s="22"/>
      <c r="U10" s="92">
        <f t="shared" si="4"/>
        <v>-1</v>
      </c>
      <c r="V10" s="22">
        <f t="shared" si="5"/>
        <v>20000</v>
      </c>
      <c r="W10" s="22">
        <f t="shared" si="5"/>
        <v>0</v>
      </c>
      <c r="X10" s="92">
        <f t="shared" si="6"/>
        <v>-1</v>
      </c>
      <c r="Y10" s="38">
        <v>10000</v>
      </c>
      <c r="Z10" s="38"/>
      <c r="AA10" s="147">
        <f t="shared" si="7"/>
        <v>-1</v>
      </c>
      <c r="AB10" s="38">
        <f t="shared" si="8"/>
        <v>30000</v>
      </c>
      <c r="AC10" s="38">
        <f t="shared" si="8"/>
        <v>0</v>
      </c>
      <c r="AD10" s="147">
        <f t="shared" si="9"/>
        <v>-1</v>
      </c>
      <c r="AE10" s="39"/>
      <c r="AF10" s="143"/>
      <c r="AG10" s="147" t="e">
        <f t="shared" si="10"/>
        <v>#DIV/0!</v>
      </c>
      <c r="AH10" s="143">
        <f t="shared" si="11"/>
        <v>30000</v>
      </c>
      <c r="AI10" s="143">
        <f t="shared" si="11"/>
        <v>0</v>
      </c>
      <c r="AJ10" s="147">
        <f t="shared" si="12"/>
        <v>-1</v>
      </c>
      <c r="AK10" s="149"/>
      <c r="AL10" s="149"/>
      <c r="AM10" s="147" t="e">
        <f t="shared" si="13"/>
        <v>#DIV/0!</v>
      </c>
      <c r="AN10" s="149">
        <f t="shared" si="14"/>
        <v>30000</v>
      </c>
      <c r="AO10" s="149">
        <f t="shared" si="14"/>
        <v>0</v>
      </c>
      <c r="AP10" s="147">
        <f t="shared" si="15"/>
        <v>-1</v>
      </c>
      <c r="AQ10" s="149"/>
      <c r="AR10" s="149"/>
      <c r="AS10" s="147" t="e">
        <f t="shared" si="16"/>
        <v>#DIV/0!</v>
      </c>
      <c r="AT10" s="149">
        <f t="shared" si="17"/>
        <v>30000</v>
      </c>
      <c r="AU10" s="149">
        <f t="shared" si="17"/>
        <v>0</v>
      </c>
      <c r="AV10" s="147">
        <f t="shared" si="18"/>
        <v>-1</v>
      </c>
      <c r="AW10" s="43"/>
      <c r="AX10" s="43"/>
      <c r="AY10" s="147" t="e">
        <f t="shared" si="19"/>
        <v>#DIV/0!</v>
      </c>
      <c r="AZ10" s="43">
        <f t="shared" si="20"/>
        <v>30000</v>
      </c>
      <c r="BA10" s="43">
        <f t="shared" si="20"/>
        <v>0</v>
      </c>
      <c r="BB10" s="147">
        <f t="shared" si="23"/>
        <v>-1</v>
      </c>
      <c r="BC10" s="43"/>
      <c r="BD10" s="43"/>
      <c r="BE10" s="147" t="e">
        <f t="shared" si="21"/>
        <v>#DIV/0!</v>
      </c>
      <c r="BF10" s="43">
        <f t="shared" si="22"/>
        <v>30000</v>
      </c>
      <c r="BG10" s="43">
        <f t="shared" si="22"/>
        <v>0</v>
      </c>
      <c r="BH10" s="147">
        <f t="shared" si="24"/>
        <v>-1</v>
      </c>
      <c r="BI10" s="46"/>
      <c r="BJ10" s="46"/>
      <c r="BK10" s="46"/>
      <c r="BL10" s="46">
        <v>30000</v>
      </c>
      <c r="BM10" s="92" t="e">
        <f t="shared" si="25"/>
        <v>#DIV/0!</v>
      </c>
      <c r="BN10" s="77"/>
      <c r="BO10" s="77"/>
      <c r="BP10" s="77"/>
    </row>
    <row r="11" spans="1:68">
      <c r="A11" s="78" t="s">
        <v>24</v>
      </c>
      <c r="B11" s="78" t="s">
        <v>24</v>
      </c>
      <c r="C11" s="81" t="s">
        <v>73</v>
      </c>
      <c r="D11" s="80" t="s">
        <v>61</v>
      </c>
      <c r="E11" s="80" t="s">
        <v>61</v>
      </c>
      <c r="F11" s="80" t="s">
        <v>74</v>
      </c>
      <c r="G11" s="80" t="s">
        <v>74</v>
      </c>
      <c r="H11" s="39" t="s">
        <v>63</v>
      </c>
      <c r="I11" s="143">
        <v>60</v>
      </c>
      <c r="J11" s="144">
        <v>10980</v>
      </c>
      <c r="K11" s="144">
        <v>1887</v>
      </c>
      <c r="L11" s="92">
        <f t="shared" si="0"/>
        <v>-0.8281420765027323</v>
      </c>
      <c r="M11" s="144">
        <v>10390</v>
      </c>
      <c r="N11" s="144"/>
      <c r="O11" s="92">
        <f t="shared" si="1"/>
        <v>-1</v>
      </c>
      <c r="P11" s="144">
        <f t="shared" si="2"/>
        <v>21370</v>
      </c>
      <c r="Q11" s="144">
        <f t="shared" si="2"/>
        <v>1887</v>
      </c>
      <c r="R11" s="92">
        <f t="shared" si="3"/>
        <v>-0.91169864295741698</v>
      </c>
      <c r="S11" s="22">
        <v>20613</v>
      </c>
      <c r="T11" s="22">
        <v>21472</v>
      </c>
      <c r="U11" s="92">
        <f t="shared" si="4"/>
        <v>4.1672730800950797E-2</v>
      </c>
      <c r="V11" s="22">
        <f t="shared" si="5"/>
        <v>41983</v>
      </c>
      <c r="W11" s="22">
        <f t="shared" si="5"/>
        <v>23359</v>
      </c>
      <c r="X11" s="92">
        <f t="shared" si="6"/>
        <v>-0.44360812709906394</v>
      </c>
      <c r="Y11" s="38">
        <v>14343</v>
      </c>
      <c r="Z11" s="38">
        <v>24592</v>
      </c>
      <c r="AA11" s="147">
        <f t="shared" si="7"/>
        <v>0.71456459597015964</v>
      </c>
      <c r="AB11" s="38">
        <f t="shared" si="8"/>
        <v>56326</v>
      </c>
      <c r="AC11" s="38">
        <f t="shared" si="8"/>
        <v>47951</v>
      </c>
      <c r="AD11" s="147">
        <f t="shared" si="9"/>
        <v>-0.14868799488690831</v>
      </c>
      <c r="AE11" s="39">
        <v>10168</v>
      </c>
      <c r="AF11" s="143">
        <v>35823</v>
      </c>
      <c r="AG11" s="147">
        <f t="shared" si="10"/>
        <v>2.5231117230527143</v>
      </c>
      <c r="AH11" s="143">
        <f t="shared" si="11"/>
        <v>66494</v>
      </c>
      <c r="AI11" s="143">
        <f t="shared" si="11"/>
        <v>83774</v>
      </c>
      <c r="AJ11" s="147">
        <f t="shared" si="12"/>
        <v>0.25987307125454939</v>
      </c>
      <c r="AK11" s="149">
        <v>6124</v>
      </c>
      <c r="AL11" s="149">
        <v>40090</v>
      </c>
      <c r="AM11" s="147">
        <f t="shared" si="13"/>
        <v>5.546374918354017</v>
      </c>
      <c r="AN11" s="149">
        <f t="shared" si="14"/>
        <v>72618</v>
      </c>
      <c r="AO11" s="149">
        <f t="shared" si="14"/>
        <v>123864</v>
      </c>
      <c r="AP11" s="147">
        <f t="shared" si="15"/>
        <v>0.70569280343716434</v>
      </c>
      <c r="AQ11" s="149"/>
      <c r="AR11" s="149">
        <v>5841</v>
      </c>
      <c r="AS11" s="147" t="e">
        <f t="shared" si="16"/>
        <v>#DIV/0!</v>
      </c>
      <c r="AT11" s="149">
        <f t="shared" si="17"/>
        <v>72618</v>
      </c>
      <c r="AU11" s="149">
        <f t="shared" si="17"/>
        <v>129705</v>
      </c>
      <c r="AV11" s="147">
        <f t="shared" si="18"/>
        <v>0.78612740642815826</v>
      </c>
      <c r="AW11" s="43">
        <v>9927</v>
      </c>
      <c r="AX11" s="43">
        <v>19585</v>
      </c>
      <c r="AY11" s="147">
        <f t="shared" si="19"/>
        <v>0.97290218595748978</v>
      </c>
      <c r="AZ11" s="43">
        <f t="shared" si="20"/>
        <v>82545</v>
      </c>
      <c r="BA11" s="43">
        <f t="shared" si="20"/>
        <v>149290</v>
      </c>
      <c r="BB11" s="147">
        <f t="shared" si="23"/>
        <v>0.80858925434611417</v>
      </c>
      <c r="BC11" s="43">
        <v>97064</v>
      </c>
      <c r="BD11" s="43">
        <v>24536</v>
      </c>
      <c r="BE11" s="147">
        <f t="shared" si="21"/>
        <v>-0.74721833017390593</v>
      </c>
      <c r="BF11" s="43">
        <f>BC11+AZ11</f>
        <v>179609</v>
      </c>
      <c r="BG11" s="43">
        <f t="shared" si="22"/>
        <v>173826</v>
      </c>
      <c r="BH11" s="147">
        <f t="shared" si="24"/>
        <v>-3.2197718377141471E-2</v>
      </c>
      <c r="BI11" s="46">
        <v>75532</v>
      </c>
      <c r="BJ11" s="46"/>
      <c r="BK11" s="46">
        <v>119846</v>
      </c>
      <c r="BL11" s="46">
        <v>374987</v>
      </c>
      <c r="BM11" s="92">
        <f t="shared" si="25"/>
        <v>0.28971000000000002</v>
      </c>
      <c r="BN11" s="77"/>
      <c r="BO11" s="77"/>
      <c r="BP11" s="77"/>
    </row>
    <row r="12" spans="1:68">
      <c r="A12" s="78" t="s">
        <v>24</v>
      </c>
      <c r="B12" s="78" t="s">
        <v>24</v>
      </c>
      <c r="C12" s="81" t="s">
        <v>75</v>
      </c>
      <c r="D12" s="80" t="s">
        <v>61</v>
      </c>
      <c r="E12" s="80" t="s">
        <v>61</v>
      </c>
      <c r="F12" s="80" t="s">
        <v>76</v>
      </c>
      <c r="G12" s="80" t="s">
        <v>77</v>
      </c>
      <c r="H12" s="39" t="s">
        <v>58</v>
      </c>
      <c r="I12" s="143">
        <v>10</v>
      </c>
      <c r="J12" s="144">
        <v>11748</v>
      </c>
      <c r="K12" s="144"/>
      <c r="L12" s="92">
        <f t="shared" si="0"/>
        <v>-1</v>
      </c>
      <c r="M12" s="144">
        <v>16445</v>
      </c>
      <c r="N12" s="144">
        <v>2274</v>
      </c>
      <c r="O12" s="92">
        <f t="shared" si="1"/>
        <v>-0.86172088780784439</v>
      </c>
      <c r="P12" s="144">
        <f t="shared" si="2"/>
        <v>28193</v>
      </c>
      <c r="Q12" s="144">
        <f t="shared" si="2"/>
        <v>2274</v>
      </c>
      <c r="R12" s="92">
        <f t="shared" si="3"/>
        <v>-0.919341680559004</v>
      </c>
      <c r="S12" s="22">
        <v>800</v>
      </c>
      <c r="T12" s="22"/>
      <c r="U12" s="92">
        <f t="shared" si="4"/>
        <v>-1</v>
      </c>
      <c r="V12" s="22">
        <f t="shared" si="5"/>
        <v>28993</v>
      </c>
      <c r="W12" s="22">
        <f t="shared" si="5"/>
        <v>2274</v>
      </c>
      <c r="X12" s="92">
        <f t="shared" si="6"/>
        <v>-0.92156727485944878</v>
      </c>
      <c r="Y12" s="38"/>
      <c r="Z12" s="38">
        <v>2217</v>
      </c>
      <c r="AA12" s="147" t="e">
        <f t="shared" si="7"/>
        <v>#DIV/0!</v>
      </c>
      <c r="AB12" s="38">
        <f t="shared" si="8"/>
        <v>28993</v>
      </c>
      <c r="AC12" s="38">
        <f t="shared" si="8"/>
        <v>4491</v>
      </c>
      <c r="AD12" s="147">
        <f t="shared" si="9"/>
        <v>-0.84510054151001968</v>
      </c>
      <c r="AE12" s="39">
        <v>19214</v>
      </c>
      <c r="AF12" s="143">
        <v>13140</v>
      </c>
      <c r="AG12" s="147">
        <f t="shared" si="10"/>
        <v>-0.31612365983137292</v>
      </c>
      <c r="AH12" s="143">
        <f t="shared" si="11"/>
        <v>48207</v>
      </c>
      <c r="AI12" s="143">
        <f t="shared" si="11"/>
        <v>17631</v>
      </c>
      <c r="AJ12" s="147">
        <f t="shared" si="12"/>
        <v>-0.63426473333748212</v>
      </c>
      <c r="AK12" s="149"/>
      <c r="AL12" s="149"/>
      <c r="AM12" s="147" t="e">
        <f t="shared" si="13"/>
        <v>#DIV/0!</v>
      </c>
      <c r="AN12" s="149">
        <f t="shared" si="14"/>
        <v>48207</v>
      </c>
      <c r="AO12" s="149">
        <f t="shared" si="14"/>
        <v>17631</v>
      </c>
      <c r="AP12" s="147">
        <f t="shared" si="15"/>
        <v>-0.63426473333748212</v>
      </c>
      <c r="AQ12" s="149">
        <v>4009</v>
      </c>
      <c r="AR12" s="149">
        <v>3043</v>
      </c>
      <c r="AS12" s="147">
        <f t="shared" si="16"/>
        <v>-0.24095784484908955</v>
      </c>
      <c r="AT12" s="149">
        <f t="shared" si="17"/>
        <v>52216</v>
      </c>
      <c r="AU12" s="149">
        <f t="shared" si="17"/>
        <v>20674</v>
      </c>
      <c r="AV12" s="147">
        <f t="shared" si="18"/>
        <v>-0.60406771870690978</v>
      </c>
      <c r="AW12" s="43">
        <v>10575</v>
      </c>
      <c r="AX12" s="43"/>
      <c r="AY12" s="147">
        <f t="shared" si="19"/>
        <v>-1</v>
      </c>
      <c r="AZ12" s="43">
        <f t="shared" si="20"/>
        <v>62791</v>
      </c>
      <c r="BA12" s="43">
        <f t="shared" si="20"/>
        <v>20674</v>
      </c>
      <c r="BB12" s="147">
        <f t="shared" si="23"/>
        <v>-0.67074899269003518</v>
      </c>
      <c r="BC12" s="43">
        <v>800</v>
      </c>
      <c r="BD12" s="43"/>
      <c r="BE12" s="147">
        <f t="shared" si="21"/>
        <v>-1</v>
      </c>
      <c r="BF12" s="43">
        <f t="shared" si="22"/>
        <v>63591</v>
      </c>
      <c r="BG12" s="43">
        <f t="shared" si="22"/>
        <v>20674</v>
      </c>
      <c r="BH12" s="147">
        <f t="shared" si="24"/>
        <v>-0.67489110094195714</v>
      </c>
      <c r="BI12" s="46">
        <v>3078</v>
      </c>
      <c r="BJ12" s="46"/>
      <c r="BK12" s="46">
        <v>3200</v>
      </c>
      <c r="BL12" s="46">
        <v>69869</v>
      </c>
      <c r="BM12" s="92">
        <f t="shared" si="25"/>
        <v>0.20674000000000001</v>
      </c>
      <c r="BN12" s="77"/>
      <c r="BO12" s="77"/>
      <c r="BP12" s="77"/>
    </row>
    <row r="13" spans="1:68">
      <c r="A13" s="78" t="s">
        <v>24</v>
      </c>
      <c r="B13" s="78" t="s">
        <v>24</v>
      </c>
      <c r="C13" s="135" t="s">
        <v>78</v>
      </c>
      <c r="D13" s="80" t="s">
        <v>79</v>
      </c>
      <c r="E13" s="80" t="s">
        <v>79</v>
      </c>
      <c r="F13" s="80" t="s">
        <v>76</v>
      </c>
      <c r="G13" s="80" t="s">
        <v>80</v>
      </c>
      <c r="H13" s="39" t="s">
        <v>81</v>
      </c>
      <c r="I13" s="143">
        <v>560</v>
      </c>
      <c r="J13" s="144">
        <v>-55370.32</v>
      </c>
      <c r="K13" s="144">
        <v>513987.69</v>
      </c>
      <c r="L13" s="92">
        <f t="shared" si="0"/>
        <v>-10.282729267231975</v>
      </c>
      <c r="M13" s="144"/>
      <c r="N13" s="145">
        <v>456944.83</v>
      </c>
      <c r="O13" s="92" t="e">
        <f t="shared" si="1"/>
        <v>#DIV/0!</v>
      </c>
      <c r="P13" s="144">
        <f t="shared" si="2"/>
        <v>-55370.32</v>
      </c>
      <c r="Q13" s="144">
        <f t="shared" si="2"/>
        <v>970932.52</v>
      </c>
      <c r="R13" s="92">
        <f t="shared" si="3"/>
        <v>-18.535252098958431</v>
      </c>
      <c r="S13" s="22"/>
      <c r="T13" s="22">
        <f>591327.2+48000</f>
        <v>639327.19999999995</v>
      </c>
      <c r="U13" s="92" t="e">
        <f t="shared" si="4"/>
        <v>#DIV/0!</v>
      </c>
      <c r="V13" s="22">
        <f t="shared" si="5"/>
        <v>-55370.32</v>
      </c>
      <c r="W13" s="22">
        <f t="shared" si="5"/>
        <v>1610259.72</v>
      </c>
      <c r="X13" s="92">
        <f t="shared" si="6"/>
        <v>-30.081640127779647</v>
      </c>
      <c r="Y13" s="38">
        <v>442229.3</v>
      </c>
      <c r="Z13" s="38">
        <f>279375.22+41000+60000</f>
        <v>380375.22</v>
      </c>
      <c r="AA13" s="147">
        <f t="shared" si="7"/>
        <v>-0.13986879657227602</v>
      </c>
      <c r="AB13" s="38">
        <f t="shared" si="8"/>
        <v>386858.98</v>
      </c>
      <c r="AC13" s="38">
        <f t="shared" si="8"/>
        <v>1990634.94</v>
      </c>
      <c r="AD13" s="147">
        <f t="shared" si="9"/>
        <v>4.1456345668904984</v>
      </c>
      <c r="AE13" s="39">
        <v>309190.52</v>
      </c>
      <c r="AF13" s="143">
        <v>403454.03</v>
      </c>
      <c r="AG13" s="147">
        <f t="shared" si="10"/>
        <v>0.30487192815614139</v>
      </c>
      <c r="AH13" s="143">
        <f t="shared" si="11"/>
        <v>696049.5</v>
      </c>
      <c r="AI13" s="143">
        <f t="shared" si="11"/>
        <v>2394088.9699999997</v>
      </c>
      <c r="AJ13" s="147">
        <f t="shared" si="12"/>
        <v>2.439538380531844</v>
      </c>
      <c r="AK13" s="149">
        <v>319675.55</v>
      </c>
      <c r="AL13" s="149">
        <v>521128.98</v>
      </c>
      <c r="AM13" s="147">
        <f t="shared" si="13"/>
        <v>0.63018091311643953</v>
      </c>
      <c r="AN13" s="149">
        <f t="shared" si="14"/>
        <v>1015725.05</v>
      </c>
      <c r="AO13" s="149">
        <f t="shared" si="14"/>
        <v>2915217.9499999997</v>
      </c>
      <c r="AP13" s="147">
        <f t="shared" si="15"/>
        <v>1.8700857087259979</v>
      </c>
      <c r="AQ13" s="149">
        <v>528891.84</v>
      </c>
      <c r="AR13" s="149">
        <v>152639.85999999999</v>
      </c>
      <c r="AS13" s="147">
        <f t="shared" si="16"/>
        <v>-0.71139683304624257</v>
      </c>
      <c r="AT13" s="149">
        <f t="shared" si="17"/>
        <v>1544616.8900000001</v>
      </c>
      <c r="AU13" s="149">
        <f t="shared" si="17"/>
        <v>3067857.8099999996</v>
      </c>
      <c r="AV13" s="147">
        <f t="shared" si="18"/>
        <v>0.98616098908513128</v>
      </c>
      <c r="AW13" s="43">
        <v>226314.07</v>
      </c>
      <c r="AX13" s="43"/>
      <c r="AY13" s="147">
        <f t="shared" si="19"/>
        <v>-1</v>
      </c>
      <c r="AZ13" s="43">
        <f t="shared" si="20"/>
        <v>1770930.9600000002</v>
      </c>
      <c r="BA13" s="43">
        <f t="shared" si="20"/>
        <v>3067857.8099999996</v>
      </c>
      <c r="BB13" s="147">
        <f t="shared" si="23"/>
        <v>0.73234184691197624</v>
      </c>
      <c r="BC13" s="43">
        <v>174190.5</v>
      </c>
      <c r="BD13" s="43"/>
      <c r="BE13" s="147">
        <f t="shared" si="21"/>
        <v>-1</v>
      </c>
      <c r="BF13" s="43">
        <f t="shared" si="22"/>
        <v>1945121.4600000002</v>
      </c>
      <c r="BG13" s="43">
        <f t="shared" si="22"/>
        <v>3067857.8099999996</v>
      </c>
      <c r="BH13" s="147">
        <f t="shared" si="24"/>
        <v>0.57720629435654836</v>
      </c>
      <c r="BI13" s="46">
        <v>471478.84</v>
      </c>
      <c r="BJ13" s="46">
        <v>897862.49</v>
      </c>
      <c r="BK13" s="46">
        <v>233096.17</v>
      </c>
      <c r="BL13" s="46">
        <v>3547558.96</v>
      </c>
      <c r="BM13" s="92">
        <f t="shared" si="25"/>
        <v>0.5478317517857143</v>
      </c>
      <c r="BN13" s="77">
        <v>94000</v>
      </c>
      <c r="BO13" s="77">
        <f>48000+41000</f>
        <v>89000</v>
      </c>
      <c r="BP13" s="77" t="s">
        <v>82</v>
      </c>
    </row>
    <row r="14" spans="1:68">
      <c r="A14" s="78" t="s">
        <v>24</v>
      </c>
      <c r="B14" s="78" t="s">
        <v>24</v>
      </c>
      <c r="C14" s="79" t="s">
        <v>83</v>
      </c>
      <c r="D14" s="80" t="s">
        <v>84</v>
      </c>
      <c r="E14" s="80" t="s">
        <v>84</v>
      </c>
      <c r="F14" s="80" t="s">
        <v>62</v>
      </c>
      <c r="G14" s="80" t="s">
        <v>62</v>
      </c>
      <c r="H14" s="39" t="s">
        <v>85</v>
      </c>
      <c r="I14" s="143">
        <v>180</v>
      </c>
      <c r="J14" s="144">
        <v>103977</v>
      </c>
      <c r="K14" s="144">
        <v>22066</v>
      </c>
      <c r="L14" s="92">
        <f t="shared" si="0"/>
        <v>-0.78777998980543773</v>
      </c>
      <c r="M14" s="144">
        <v>19500</v>
      </c>
      <c r="N14" s="144">
        <v>49149</v>
      </c>
      <c r="O14" s="92">
        <f t="shared" si="1"/>
        <v>1.5204615384615385</v>
      </c>
      <c r="P14" s="144">
        <f t="shared" si="2"/>
        <v>123477</v>
      </c>
      <c r="Q14" s="144">
        <f t="shared" si="2"/>
        <v>71215</v>
      </c>
      <c r="R14" s="92">
        <f t="shared" si="3"/>
        <v>-0.42325291349806038</v>
      </c>
      <c r="S14" s="22">
        <v>113494</v>
      </c>
      <c r="T14" s="22">
        <v>91366</v>
      </c>
      <c r="U14" s="92">
        <f t="shared" si="4"/>
        <v>-0.19497065924189827</v>
      </c>
      <c r="V14" s="22">
        <f t="shared" si="5"/>
        <v>236971</v>
      </c>
      <c r="W14" s="22">
        <f t="shared" si="5"/>
        <v>162581</v>
      </c>
      <c r="X14" s="92">
        <f t="shared" si="6"/>
        <v>-0.31392026872486511</v>
      </c>
      <c r="Y14" s="38">
        <v>109059</v>
      </c>
      <c r="Z14" s="38">
        <v>67817</v>
      </c>
      <c r="AA14" s="147">
        <f t="shared" si="7"/>
        <v>-0.37816227913331313</v>
      </c>
      <c r="AB14" s="38">
        <f t="shared" si="8"/>
        <v>346030</v>
      </c>
      <c r="AC14" s="38">
        <f t="shared" si="8"/>
        <v>230398</v>
      </c>
      <c r="AD14" s="147">
        <f t="shared" si="9"/>
        <v>-0.33416755772620876</v>
      </c>
      <c r="AE14" s="39">
        <v>111723</v>
      </c>
      <c r="AF14" s="143">
        <v>71689</v>
      </c>
      <c r="AG14" s="147">
        <f t="shared" si="10"/>
        <v>-0.35833266203019964</v>
      </c>
      <c r="AH14" s="143">
        <f t="shared" si="11"/>
        <v>457753</v>
      </c>
      <c r="AI14" s="143">
        <f t="shared" si="11"/>
        <v>302087</v>
      </c>
      <c r="AJ14" s="147">
        <f t="shared" si="12"/>
        <v>-0.34006549383619555</v>
      </c>
      <c r="AK14" s="149">
        <v>173284</v>
      </c>
      <c r="AL14" s="149">
        <v>123804</v>
      </c>
      <c r="AM14" s="147">
        <f t="shared" si="13"/>
        <v>-0.28554280833775769</v>
      </c>
      <c r="AN14" s="149">
        <f t="shared" si="14"/>
        <v>631037</v>
      </c>
      <c r="AO14" s="149">
        <f t="shared" si="14"/>
        <v>425891</v>
      </c>
      <c r="AP14" s="147">
        <f t="shared" si="15"/>
        <v>-0.32509345727746553</v>
      </c>
      <c r="AQ14" s="149">
        <v>72134</v>
      </c>
      <c r="AR14" s="149">
        <v>47933</v>
      </c>
      <c r="AS14" s="147">
        <f t="shared" si="16"/>
        <v>-0.33550059611279004</v>
      </c>
      <c r="AT14" s="149">
        <f t="shared" si="17"/>
        <v>703171</v>
      </c>
      <c r="AU14" s="149">
        <f t="shared" si="17"/>
        <v>473824</v>
      </c>
      <c r="AV14" s="147">
        <f t="shared" si="18"/>
        <v>-0.32616106181853344</v>
      </c>
      <c r="AW14" s="43">
        <v>94856</v>
      </c>
      <c r="AX14" s="43">
        <v>51793</v>
      </c>
      <c r="AY14" s="147">
        <f t="shared" si="19"/>
        <v>-0.45398287931179893</v>
      </c>
      <c r="AZ14" s="43">
        <f t="shared" si="20"/>
        <v>798027</v>
      </c>
      <c r="BA14" s="43">
        <f t="shared" si="20"/>
        <v>525617</v>
      </c>
      <c r="BB14" s="147">
        <f t="shared" si="23"/>
        <v>-0.3413543652031823</v>
      </c>
      <c r="BC14" s="43">
        <v>159320</v>
      </c>
      <c r="BD14" s="43">
        <v>24824</v>
      </c>
      <c r="BE14" s="147">
        <f t="shared" si="21"/>
        <v>-0.84418779814210398</v>
      </c>
      <c r="BF14" s="43">
        <f t="shared" si="22"/>
        <v>957347</v>
      </c>
      <c r="BG14" s="43">
        <f t="shared" si="22"/>
        <v>550441</v>
      </c>
      <c r="BH14" s="147">
        <f t="shared" si="24"/>
        <v>-0.42503501865049975</v>
      </c>
      <c r="BI14" s="46">
        <v>185198.4</v>
      </c>
      <c r="BJ14" s="46">
        <v>81513</v>
      </c>
      <c r="BK14" s="46">
        <v>177473</v>
      </c>
      <c r="BL14" s="46">
        <v>1401531.4</v>
      </c>
      <c r="BM14" s="92">
        <f t="shared" si="25"/>
        <v>0.30580055555555558</v>
      </c>
      <c r="BN14" s="77"/>
      <c r="BO14" s="77"/>
      <c r="BP14" s="77"/>
    </row>
    <row r="15" spans="1:68">
      <c r="A15" s="78" t="s">
        <v>24</v>
      </c>
      <c r="B15" s="78" t="s">
        <v>24</v>
      </c>
      <c r="C15" s="81" t="s">
        <v>86</v>
      </c>
      <c r="D15" s="80" t="s">
        <v>61</v>
      </c>
      <c r="E15" s="80" t="s">
        <v>61</v>
      </c>
      <c r="F15" s="80" t="s">
        <v>57</v>
      </c>
      <c r="G15" s="80" t="s">
        <v>57</v>
      </c>
      <c r="H15" s="39" t="s">
        <v>58</v>
      </c>
      <c r="I15" s="143"/>
      <c r="J15" s="144">
        <v>800</v>
      </c>
      <c r="K15" s="144"/>
      <c r="L15" s="92">
        <f t="shared" si="0"/>
        <v>-1</v>
      </c>
      <c r="M15" s="144"/>
      <c r="N15" s="144"/>
      <c r="O15" s="92" t="e">
        <f t="shared" si="1"/>
        <v>#DIV/0!</v>
      </c>
      <c r="P15" s="144">
        <f t="shared" si="2"/>
        <v>800</v>
      </c>
      <c r="Q15" s="144">
        <f t="shared" si="2"/>
        <v>0</v>
      </c>
      <c r="R15" s="92">
        <f t="shared" si="3"/>
        <v>-1</v>
      </c>
      <c r="S15" s="22"/>
      <c r="T15" s="22"/>
      <c r="U15" s="92" t="e">
        <f t="shared" si="4"/>
        <v>#DIV/0!</v>
      </c>
      <c r="V15" s="22">
        <f t="shared" si="5"/>
        <v>800</v>
      </c>
      <c r="W15" s="22">
        <f t="shared" si="5"/>
        <v>0</v>
      </c>
      <c r="X15" s="92">
        <f t="shared" si="6"/>
        <v>-1</v>
      </c>
      <c r="Y15" s="38"/>
      <c r="Z15" s="38"/>
      <c r="AA15" s="147" t="e">
        <f t="shared" si="7"/>
        <v>#DIV/0!</v>
      </c>
      <c r="AB15" s="38">
        <f t="shared" si="8"/>
        <v>800</v>
      </c>
      <c r="AC15" s="38">
        <f t="shared" si="8"/>
        <v>0</v>
      </c>
      <c r="AD15" s="147">
        <f t="shared" si="9"/>
        <v>-1</v>
      </c>
      <c r="AE15" s="39"/>
      <c r="AF15" s="143"/>
      <c r="AG15" s="147" t="e">
        <f t="shared" si="10"/>
        <v>#DIV/0!</v>
      </c>
      <c r="AH15" s="143">
        <f t="shared" si="11"/>
        <v>800</v>
      </c>
      <c r="AI15" s="143">
        <f t="shared" si="11"/>
        <v>0</v>
      </c>
      <c r="AJ15" s="147">
        <f t="shared" si="12"/>
        <v>-1</v>
      </c>
      <c r="AK15" s="149">
        <v>6071</v>
      </c>
      <c r="AL15" s="149"/>
      <c r="AM15" s="147">
        <f t="shared" si="13"/>
        <v>-1</v>
      </c>
      <c r="AN15" s="149">
        <f t="shared" si="14"/>
        <v>6871</v>
      </c>
      <c r="AO15" s="149">
        <f t="shared" si="14"/>
        <v>0</v>
      </c>
      <c r="AP15" s="147">
        <f t="shared" si="15"/>
        <v>-1</v>
      </c>
      <c r="AQ15" s="149"/>
      <c r="AR15" s="149">
        <v>4498</v>
      </c>
      <c r="AS15" s="147" t="e">
        <f t="shared" si="16"/>
        <v>#DIV/0!</v>
      </c>
      <c r="AT15" s="149">
        <f t="shared" si="17"/>
        <v>6871</v>
      </c>
      <c r="AU15" s="149">
        <f t="shared" si="17"/>
        <v>4498</v>
      </c>
      <c r="AV15" s="147">
        <f t="shared" si="18"/>
        <v>-0.34536457575316548</v>
      </c>
      <c r="AW15" s="43">
        <v>6599</v>
      </c>
      <c r="AX15" s="43">
        <v>13050</v>
      </c>
      <c r="AY15" s="147">
        <f t="shared" si="19"/>
        <v>0.97757235944840137</v>
      </c>
      <c r="AZ15" s="43">
        <f t="shared" si="20"/>
        <v>13470</v>
      </c>
      <c r="BA15" s="43">
        <f t="shared" si="20"/>
        <v>17548</v>
      </c>
      <c r="BB15" s="147">
        <f t="shared" si="23"/>
        <v>0.30274684484038605</v>
      </c>
      <c r="BC15" s="43">
        <v>16646</v>
      </c>
      <c r="BD15" s="43"/>
      <c r="BE15" s="147">
        <f t="shared" si="21"/>
        <v>-1</v>
      </c>
      <c r="BF15" s="43">
        <f t="shared" si="22"/>
        <v>30116</v>
      </c>
      <c r="BG15" s="43">
        <f t="shared" si="22"/>
        <v>17548</v>
      </c>
      <c r="BH15" s="147">
        <f t="shared" si="24"/>
        <v>-0.41731969717093909</v>
      </c>
      <c r="BI15" s="46">
        <v>8396</v>
      </c>
      <c r="BJ15" s="46"/>
      <c r="BK15" s="46"/>
      <c r="BL15" s="46">
        <v>38512</v>
      </c>
      <c r="BM15" s="92" t="e">
        <f t="shared" si="25"/>
        <v>#DIV/0!</v>
      </c>
      <c r="BN15" s="77"/>
      <c r="BO15" s="77"/>
      <c r="BP15" s="77"/>
    </row>
    <row r="16" spans="1:68">
      <c r="A16" s="78" t="s">
        <v>24</v>
      </c>
      <c r="B16" s="78" t="s">
        <v>24</v>
      </c>
      <c r="C16" s="136" t="s">
        <v>87</v>
      </c>
      <c r="D16" s="80" t="s">
        <v>88</v>
      </c>
      <c r="E16" s="80" t="s">
        <v>88</v>
      </c>
      <c r="F16" s="80" t="s">
        <v>76</v>
      </c>
      <c r="G16" s="80" t="s">
        <v>80</v>
      </c>
      <c r="H16" s="39" t="s">
        <v>89</v>
      </c>
      <c r="I16" s="143"/>
      <c r="J16" s="144">
        <v>111956.28</v>
      </c>
      <c r="K16" s="144">
        <v>76873.34</v>
      </c>
      <c r="L16" s="92">
        <f t="shared" si="0"/>
        <v>-0.313362859144659</v>
      </c>
      <c r="M16" s="144">
        <v>43919</v>
      </c>
      <c r="N16" s="144">
        <v>43284.9</v>
      </c>
      <c r="O16" s="92">
        <f t="shared" si="1"/>
        <v>-1.4437942576105978E-2</v>
      </c>
      <c r="P16" s="144">
        <f t="shared" si="2"/>
        <v>155875.28</v>
      </c>
      <c r="Q16" s="144">
        <f t="shared" si="2"/>
        <v>120158.23999999999</v>
      </c>
      <c r="R16" s="92">
        <f t="shared" si="3"/>
        <v>-0.22913857797079829</v>
      </c>
      <c r="S16" s="22">
        <v>80405.08</v>
      </c>
      <c r="T16" s="22">
        <v>119148.66</v>
      </c>
      <c r="U16" s="92">
        <f t="shared" si="4"/>
        <v>0.48185487782612735</v>
      </c>
      <c r="V16" s="22">
        <f t="shared" si="5"/>
        <v>236280.36</v>
      </c>
      <c r="W16" s="22">
        <f t="shared" si="5"/>
        <v>239306.9</v>
      </c>
      <c r="X16" s="92">
        <f t="shared" si="6"/>
        <v>1.2809105251067043E-2</v>
      </c>
      <c r="Y16" s="38">
        <v>82108.639999999999</v>
      </c>
      <c r="Z16" s="38">
        <v>310195.38</v>
      </c>
      <c r="AA16" s="147">
        <f t="shared" si="7"/>
        <v>2.7778652770280936</v>
      </c>
      <c r="AB16" s="38">
        <f t="shared" si="8"/>
        <v>318389</v>
      </c>
      <c r="AC16" s="38">
        <f t="shared" si="8"/>
        <v>549502.28</v>
      </c>
      <c r="AD16" s="147">
        <f t="shared" si="9"/>
        <v>0.72588336908624362</v>
      </c>
      <c r="AE16" s="39">
        <v>209042.8</v>
      </c>
      <c r="AF16" s="143">
        <v>36281.120000000003</v>
      </c>
      <c r="AG16" s="147">
        <f t="shared" si="10"/>
        <v>-0.82644166649126394</v>
      </c>
      <c r="AH16" s="143">
        <f t="shared" si="11"/>
        <v>527431.80000000005</v>
      </c>
      <c r="AI16" s="143">
        <f t="shared" si="11"/>
        <v>585783.4</v>
      </c>
      <c r="AJ16" s="147">
        <f t="shared" si="12"/>
        <v>0.11063345061863927</v>
      </c>
      <c r="AK16" s="149">
        <v>78620.759999999995</v>
      </c>
      <c r="AL16" s="149">
        <v>30684.400000000001</v>
      </c>
      <c r="AM16" s="147">
        <f t="shared" si="13"/>
        <v>-0.60971631411347327</v>
      </c>
      <c r="AN16" s="149">
        <f t="shared" si="14"/>
        <v>606052.56000000006</v>
      </c>
      <c r="AO16" s="149">
        <f t="shared" si="14"/>
        <v>616467.80000000005</v>
      </c>
      <c r="AP16" s="147">
        <f t="shared" si="15"/>
        <v>1.7185374153027233E-2</v>
      </c>
      <c r="AQ16" s="149">
        <v>153937.20000000001</v>
      </c>
      <c r="AR16" s="149">
        <v>271358.5</v>
      </c>
      <c r="AS16" s="147">
        <f t="shared" si="16"/>
        <v>0.76278703263408709</v>
      </c>
      <c r="AT16" s="149">
        <f t="shared" si="17"/>
        <v>759989.76000000001</v>
      </c>
      <c r="AU16" s="149">
        <f t="shared" si="17"/>
        <v>887826.3</v>
      </c>
      <c r="AV16" s="147">
        <f t="shared" si="18"/>
        <v>0.16820824006891888</v>
      </c>
      <c r="AW16" s="43">
        <v>172756.46</v>
      </c>
      <c r="AX16" s="43">
        <v>91767.56</v>
      </c>
      <c r="AY16" s="147">
        <f t="shared" si="19"/>
        <v>-0.46880388727576383</v>
      </c>
      <c r="AZ16" s="43">
        <f t="shared" si="20"/>
        <v>932746.22</v>
      </c>
      <c r="BA16" s="43">
        <f t="shared" si="20"/>
        <v>979593.8600000001</v>
      </c>
      <c r="BB16" s="147">
        <f t="shared" si="23"/>
        <v>5.0225494347219346E-2</v>
      </c>
      <c r="BC16" s="43">
        <v>226467.5</v>
      </c>
      <c r="BD16" s="43">
        <v>93879.44</v>
      </c>
      <c r="BE16" s="147">
        <f t="shared" si="21"/>
        <v>-0.58546175499795772</v>
      </c>
      <c r="BF16" s="43">
        <f t="shared" si="22"/>
        <v>1159213.72</v>
      </c>
      <c r="BG16" s="43">
        <f t="shared" si="22"/>
        <v>1073473.3</v>
      </c>
      <c r="BH16" s="147">
        <f t="shared" si="24"/>
        <v>-7.3964290208711425E-2</v>
      </c>
      <c r="BI16" s="46">
        <v>216712.16</v>
      </c>
      <c r="BJ16" s="46">
        <v>164087.41</v>
      </c>
      <c r="BK16" s="46">
        <v>375150.88</v>
      </c>
      <c r="BL16" s="46">
        <v>1915164.17</v>
      </c>
      <c r="BM16" s="92" t="e">
        <f t="shared" si="25"/>
        <v>#DIV/0!</v>
      </c>
      <c r="BN16" s="77"/>
      <c r="BO16" s="77"/>
      <c r="BP16" s="77"/>
    </row>
    <row r="17" spans="1:68">
      <c r="A17" s="78" t="s">
        <v>24</v>
      </c>
      <c r="B17" s="78" t="s">
        <v>24</v>
      </c>
      <c r="C17" s="136" t="s">
        <v>90</v>
      </c>
      <c r="D17" s="80" t="s">
        <v>88</v>
      </c>
      <c r="E17" s="80" t="s">
        <v>88</v>
      </c>
      <c r="F17" s="80" t="s">
        <v>76</v>
      </c>
      <c r="G17" s="80" t="s">
        <v>80</v>
      </c>
      <c r="H17" s="39" t="s">
        <v>81</v>
      </c>
      <c r="I17" s="143"/>
      <c r="J17" s="144"/>
      <c r="K17" s="144"/>
      <c r="L17" s="92" t="e">
        <f t="shared" si="0"/>
        <v>#DIV/0!</v>
      </c>
      <c r="M17" s="144"/>
      <c r="N17" s="144">
        <v>6125</v>
      </c>
      <c r="O17" s="92" t="e">
        <f t="shared" si="1"/>
        <v>#DIV/0!</v>
      </c>
      <c r="P17" s="144">
        <f t="shared" si="2"/>
        <v>0</v>
      </c>
      <c r="Q17" s="144">
        <f t="shared" si="2"/>
        <v>6125</v>
      </c>
      <c r="R17" s="92" t="e">
        <f t="shared" si="3"/>
        <v>#DIV/0!</v>
      </c>
      <c r="S17" s="22"/>
      <c r="T17" s="22"/>
      <c r="U17" s="92" t="e">
        <f t="shared" si="4"/>
        <v>#DIV/0!</v>
      </c>
      <c r="V17" s="22">
        <f t="shared" si="5"/>
        <v>0</v>
      </c>
      <c r="W17" s="22">
        <f t="shared" si="5"/>
        <v>6125</v>
      </c>
      <c r="X17" s="92" t="e">
        <f t="shared" si="6"/>
        <v>#DIV/0!</v>
      </c>
      <c r="Y17" s="38"/>
      <c r="Z17" s="38"/>
      <c r="AA17" s="147" t="e">
        <f t="shared" si="7"/>
        <v>#DIV/0!</v>
      </c>
      <c r="AB17" s="38">
        <f t="shared" si="8"/>
        <v>0</v>
      </c>
      <c r="AC17" s="38">
        <f t="shared" si="8"/>
        <v>6125</v>
      </c>
      <c r="AD17" s="147" t="e">
        <f t="shared" si="9"/>
        <v>#DIV/0!</v>
      </c>
      <c r="AE17" s="39">
        <v>3636</v>
      </c>
      <c r="AF17" s="143"/>
      <c r="AG17" s="147">
        <f t="shared" si="10"/>
        <v>-1</v>
      </c>
      <c r="AH17" s="143">
        <f t="shared" si="11"/>
        <v>3636</v>
      </c>
      <c r="AI17" s="143">
        <f t="shared" si="11"/>
        <v>6125</v>
      </c>
      <c r="AJ17" s="147">
        <f t="shared" si="12"/>
        <v>0.68454345434543451</v>
      </c>
      <c r="AK17" s="149">
        <v>25759</v>
      </c>
      <c r="AL17" s="149"/>
      <c r="AM17" s="147">
        <f t="shared" si="13"/>
        <v>-1</v>
      </c>
      <c r="AN17" s="149">
        <f t="shared" si="14"/>
        <v>29395</v>
      </c>
      <c r="AO17" s="149">
        <f t="shared" si="14"/>
        <v>6125</v>
      </c>
      <c r="AP17" s="147">
        <f t="shared" si="15"/>
        <v>-0.79163122980098655</v>
      </c>
      <c r="AQ17" s="149"/>
      <c r="AR17" s="149"/>
      <c r="AS17" s="147" t="e">
        <f t="shared" si="16"/>
        <v>#DIV/0!</v>
      </c>
      <c r="AT17" s="149">
        <f t="shared" si="17"/>
        <v>29395</v>
      </c>
      <c r="AU17" s="149">
        <f t="shared" si="17"/>
        <v>6125</v>
      </c>
      <c r="AV17" s="147">
        <f t="shared" si="18"/>
        <v>-0.79163122980098655</v>
      </c>
      <c r="AW17" s="43">
        <v>2400</v>
      </c>
      <c r="AX17" s="43"/>
      <c r="AY17" s="147">
        <f t="shared" si="19"/>
        <v>-1</v>
      </c>
      <c r="AZ17" s="43">
        <f t="shared" si="20"/>
        <v>31795</v>
      </c>
      <c r="BA17" s="43">
        <f t="shared" si="20"/>
        <v>6125</v>
      </c>
      <c r="BB17" s="147">
        <f t="shared" si="23"/>
        <v>-0.80735964774335589</v>
      </c>
      <c r="BC17" s="43">
        <v>29589</v>
      </c>
      <c r="BD17" s="43"/>
      <c r="BE17" s="147">
        <f t="shared" si="21"/>
        <v>-1</v>
      </c>
      <c r="BF17" s="43">
        <f t="shared" si="22"/>
        <v>61384</v>
      </c>
      <c r="BG17" s="43">
        <f t="shared" si="22"/>
        <v>6125</v>
      </c>
      <c r="BH17" s="147">
        <f t="shared" si="24"/>
        <v>-0.90021829792779873</v>
      </c>
      <c r="BI17" s="46"/>
      <c r="BJ17" s="46"/>
      <c r="BK17" s="46"/>
      <c r="BL17" s="46">
        <v>61384</v>
      </c>
      <c r="BM17" s="92" t="e">
        <f t="shared" si="25"/>
        <v>#DIV/0!</v>
      </c>
      <c r="BN17" s="77"/>
      <c r="BO17" s="77"/>
      <c r="BP17" s="77"/>
    </row>
    <row r="18" spans="1:68">
      <c r="A18" s="78" t="s">
        <v>24</v>
      </c>
      <c r="B18" s="78" t="s">
        <v>24</v>
      </c>
      <c r="C18" s="81" t="s">
        <v>91</v>
      </c>
      <c r="D18" s="80" t="s">
        <v>84</v>
      </c>
      <c r="E18" s="80" t="s">
        <v>84</v>
      </c>
      <c r="F18" s="80" t="s">
        <v>57</v>
      </c>
      <c r="G18" s="80" t="s">
        <v>57</v>
      </c>
      <c r="H18" s="39" t="s">
        <v>85</v>
      </c>
      <c r="I18" s="143"/>
      <c r="J18" s="144">
        <v>52801</v>
      </c>
      <c r="K18" s="144"/>
      <c r="L18" s="92">
        <f t="shared" si="0"/>
        <v>-1</v>
      </c>
      <c r="M18" s="144"/>
      <c r="N18" s="144"/>
      <c r="O18" s="92" t="e">
        <f t="shared" si="1"/>
        <v>#DIV/0!</v>
      </c>
      <c r="P18" s="144">
        <f t="shared" si="2"/>
        <v>52801</v>
      </c>
      <c r="Q18" s="144">
        <f t="shared" si="2"/>
        <v>0</v>
      </c>
      <c r="R18" s="92">
        <f t="shared" si="3"/>
        <v>-1</v>
      </c>
      <c r="S18" s="22"/>
      <c r="T18" s="22"/>
      <c r="U18" s="92" t="e">
        <f t="shared" si="4"/>
        <v>#DIV/0!</v>
      </c>
      <c r="V18" s="22">
        <f t="shared" si="5"/>
        <v>52801</v>
      </c>
      <c r="W18" s="22">
        <f t="shared" si="5"/>
        <v>0</v>
      </c>
      <c r="X18" s="92">
        <f t="shared" si="6"/>
        <v>-1</v>
      </c>
      <c r="Y18" s="38"/>
      <c r="Z18" s="38"/>
      <c r="AA18" s="147" t="e">
        <f t="shared" si="7"/>
        <v>#DIV/0!</v>
      </c>
      <c r="AB18" s="38">
        <f t="shared" si="8"/>
        <v>52801</v>
      </c>
      <c r="AC18" s="38">
        <f t="shared" si="8"/>
        <v>0</v>
      </c>
      <c r="AD18" s="147">
        <f t="shared" si="9"/>
        <v>-1</v>
      </c>
      <c r="AE18" s="39"/>
      <c r="AF18" s="143"/>
      <c r="AG18" s="147" t="e">
        <f t="shared" si="10"/>
        <v>#DIV/0!</v>
      </c>
      <c r="AH18" s="143">
        <f t="shared" si="11"/>
        <v>52801</v>
      </c>
      <c r="AI18" s="143">
        <f t="shared" si="11"/>
        <v>0</v>
      </c>
      <c r="AJ18" s="147">
        <f t="shared" si="12"/>
        <v>-1</v>
      </c>
      <c r="AK18" s="149"/>
      <c r="AL18" s="149"/>
      <c r="AM18" s="147" t="e">
        <f t="shared" si="13"/>
        <v>#DIV/0!</v>
      </c>
      <c r="AN18" s="149">
        <f t="shared" si="14"/>
        <v>52801</v>
      </c>
      <c r="AO18" s="149">
        <f t="shared" si="14"/>
        <v>0</v>
      </c>
      <c r="AP18" s="147">
        <f t="shared" si="15"/>
        <v>-1</v>
      </c>
      <c r="AQ18" s="149"/>
      <c r="AR18" s="149"/>
      <c r="AS18" s="147" t="e">
        <f t="shared" si="16"/>
        <v>#DIV/0!</v>
      </c>
      <c r="AT18" s="149">
        <f t="shared" si="17"/>
        <v>52801</v>
      </c>
      <c r="AU18" s="149">
        <f t="shared" si="17"/>
        <v>0</v>
      </c>
      <c r="AV18" s="147">
        <f t="shared" si="18"/>
        <v>-1</v>
      </c>
      <c r="AW18" s="43"/>
      <c r="AX18" s="43"/>
      <c r="AY18" s="147" t="e">
        <f t="shared" si="19"/>
        <v>#DIV/0!</v>
      </c>
      <c r="AZ18" s="43">
        <f t="shared" si="20"/>
        <v>52801</v>
      </c>
      <c r="BA18" s="43">
        <f t="shared" si="20"/>
        <v>0</v>
      </c>
      <c r="BB18" s="147">
        <f t="shared" si="23"/>
        <v>-1</v>
      </c>
      <c r="BC18" s="43"/>
      <c r="BD18" s="43"/>
      <c r="BE18" s="147" t="e">
        <f t="shared" si="21"/>
        <v>#DIV/0!</v>
      </c>
      <c r="BF18" s="43">
        <f t="shared" si="22"/>
        <v>52801</v>
      </c>
      <c r="BG18" s="43">
        <f t="shared" si="22"/>
        <v>0</v>
      </c>
      <c r="BH18" s="147">
        <f t="shared" si="24"/>
        <v>-1</v>
      </c>
      <c r="BI18" s="46"/>
      <c r="BJ18" s="46"/>
      <c r="BK18" s="46"/>
      <c r="BL18" s="46">
        <v>52801</v>
      </c>
      <c r="BM18" s="92" t="e">
        <f t="shared" si="25"/>
        <v>#DIV/0!</v>
      </c>
      <c r="BN18" s="77"/>
      <c r="BO18" s="77"/>
      <c r="BP18" s="77"/>
    </row>
    <row r="19" spans="1:68">
      <c r="A19" s="78" t="s">
        <v>24</v>
      </c>
      <c r="B19" s="78" t="s">
        <v>24</v>
      </c>
      <c r="C19" s="136" t="s">
        <v>92</v>
      </c>
      <c r="D19" s="80" t="s">
        <v>84</v>
      </c>
      <c r="E19" s="80" t="s">
        <v>84</v>
      </c>
      <c r="F19" s="80" t="s">
        <v>76</v>
      </c>
      <c r="G19" s="80" t="s">
        <v>93</v>
      </c>
      <c r="H19" s="39" t="s">
        <v>85</v>
      </c>
      <c r="I19" s="143"/>
      <c r="J19" s="144">
        <v>-16596</v>
      </c>
      <c r="K19" s="144"/>
      <c r="L19" s="92">
        <f t="shared" si="0"/>
        <v>-1</v>
      </c>
      <c r="M19" s="144"/>
      <c r="N19" s="144"/>
      <c r="O19" s="92" t="e">
        <f t="shared" si="1"/>
        <v>#DIV/0!</v>
      </c>
      <c r="P19" s="144">
        <f t="shared" si="2"/>
        <v>-16596</v>
      </c>
      <c r="Q19" s="144">
        <f t="shared" si="2"/>
        <v>0</v>
      </c>
      <c r="R19" s="92">
        <f t="shared" si="3"/>
        <v>-1</v>
      </c>
      <c r="S19" s="22"/>
      <c r="T19" s="22"/>
      <c r="U19" s="92" t="e">
        <f t="shared" si="4"/>
        <v>#DIV/0!</v>
      </c>
      <c r="V19" s="22">
        <f t="shared" si="5"/>
        <v>-16596</v>
      </c>
      <c r="W19" s="22">
        <f t="shared" si="5"/>
        <v>0</v>
      </c>
      <c r="X19" s="92">
        <f t="shared" si="6"/>
        <v>-1</v>
      </c>
      <c r="Y19" s="38"/>
      <c r="Z19" s="38"/>
      <c r="AA19" s="147" t="e">
        <f t="shared" si="7"/>
        <v>#DIV/0!</v>
      </c>
      <c r="AB19" s="38">
        <f t="shared" si="8"/>
        <v>-16596</v>
      </c>
      <c r="AC19" s="38">
        <f t="shared" si="8"/>
        <v>0</v>
      </c>
      <c r="AD19" s="147">
        <f t="shared" si="9"/>
        <v>-1</v>
      </c>
      <c r="AE19" s="39"/>
      <c r="AF19" s="143"/>
      <c r="AG19" s="147" t="e">
        <f t="shared" si="10"/>
        <v>#DIV/0!</v>
      </c>
      <c r="AH19" s="143">
        <f t="shared" si="11"/>
        <v>-16596</v>
      </c>
      <c r="AI19" s="143">
        <f t="shared" si="11"/>
        <v>0</v>
      </c>
      <c r="AJ19" s="147">
        <f t="shared" si="12"/>
        <v>-1</v>
      </c>
      <c r="AK19" s="149"/>
      <c r="AL19" s="149"/>
      <c r="AM19" s="147" t="e">
        <f t="shared" si="13"/>
        <v>#DIV/0!</v>
      </c>
      <c r="AN19" s="149">
        <f t="shared" si="14"/>
        <v>-16596</v>
      </c>
      <c r="AO19" s="149">
        <f t="shared" si="14"/>
        <v>0</v>
      </c>
      <c r="AP19" s="147">
        <f t="shared" si="15"/>
        <v>-1</v>
      </c>
      <c r="AQ19" s="149">
        <v>500</v>
      </c>
      <c r="AR19" s="149"/>
      <c r="AS19" s="147">
        <f t="shared" si="16"/>
        <v>-1</v>
      </c>
      <c r="AT19" s="149">
        <f t="shared" si="17"/>
        <v>-16096</v>
      </c>
      <c r="AU19" s="149">
        <f t="shared" si="17"/>
        <v>0</v>
      </c>
      <c r="AV19" s="147">
        <f t="shared" si="18"/>
        <v>-1</v>
      </c>
      <c r="AW19" s="43"/>
      <c r="AX19" s="43"/>
      <c r="AY19" s="147" t="e">
        <f t="shared" si="19"/>
        <v>#DIV/0!</v>
      </c>
      <c r="AZ19" s="43">
        <f t="shared" si="20"/>
        <v>-16096</v>
      </c>
      <c r="BA19" s="43">
        <f t="shared" si="20"/>
        <v>0</v>
      </c>
      <c r="BB19" s="147">
        <f t="shared" si="23"/>
        <v>-1</v>
      </c>
      <c r="BC19" s="43"/>
      <c r="BD19" s="43"/>
      <c r="BE19" s="147" t="e">
        <f t="shared" si="21"/>
        <v>#DIV/0!</v>
      </c>
      <c r="BF19" s="43">
        <f t="shared" si="22"/>
        <v>-16096</v>
      </c>
      <c r="BG19" s="43">
        <f t="shared" si="22"/>
        <v>0</v>
      </c>
      <c r="BH19" s="147">
        <f t="shared" si="24"/>
        <v>-1</v>
      </c>
      <c r="BI19" s="46"/>
      <c r="BJ19" s="46">
        <v>-4600</v>
      </c>
      <c r="BK19" s="46"/>
      <c r="BL19" s="46">
        <v>-20696</v>
      </c>
      <c r="BM19" s="92" t="e">
        <f t="shared" si="25"/>
        <v>#DIV/0!</v>
      </c>
      <c r="BN19" s="77"/>
      <c r="BO19" s="77"/>
      <c r="BP19" s="77"/>
    </row>
    <row r="20" spans="1:68">
      <c r="A20" s="78" t="s">
        <v>24</v>
      </c>
      <c r="B20" s="78" t="s">
        <v>24</v>
      </c>
      <c r="C20" s="136" t="s">
        <v>94</v>
      </c>
      <c r="D20" s="80" t="s">
        <v>84</v>
      </c>
      <c r="E20" s="80" t="s">
        <v>84</v>
      </c>
      <c r="F20" s="80" t="s">
        <v>76</v>
      </c>
      <c r="G20" s="80" t="s">
        <v>80</v>
      </c>
      <c r="H20" s="39" t="s">
        <v>85</v>
      </c>
      <c r="I20" s="143"/>
      <c r="J20" s="144"/>
      <c r="K20" s="144"/>
      <c r="L20" s="92" t="e">
        <f t="shared" si="0"/>
        <v>#DIV/0!</v>
      </c>
      <c r="M20" s="144">
        <v>-3358</v>
      </c>
      <c r="N20" s="144"/>
      <c r="O20" s="92">
        <f t="shared" si="1"/>
        <v>-1</v>
      </c>
      <c r="P20" s="144">
        <f t="shared" ref="P20:Q42" si="26">J20+M20</f>
        <v>-3358</v>
      </c>
      <c r="Q20" s="144">
        <f t="shared" si="26"/>
        <v>0</v>
      </c>
      <c r="R20" s="92">
        <f t="shared" si="3"/>
        <v>-1</v>
      </c>
      <c r="S20" s="22"/>
      <c r="T20" s="22"/>
      <c r="U20" s="92" t="e">
        <f t="shared" si="4"/>
        <v>#DIV/0!</v>
      </c>
      <c r="V20" s="22">
        <f t="shared" si="5"/>
        <v>-3358</v>
      </c>
      <c r="W20" s="22">
        <f t="shared" si="5"/>
        <v>0</v>
      </c>
      <c r="X20" s="92">
        <f t="shared" si="6"/>
        <v>-1</v>
      </c>
      <c r="Y20" s="38"/>
      <c r="Z20" s="38"/>
      <c r="AA20" s="147" t="e">
        <f t="shared" si="7"/>
        <v>#DIV/0!</v>
      </c>
      <c r="AB20" s="38">
        <f t="shared" si="8"/>
        <v>-3358</v>
      </c>
      <c r="AC20" s="38">
        <f t="shared" si="8"/>
        <v>0</v>
      </c>
      <c r="AD20" s="147">
        <f t="shared" si="9"/>
        <v>-1</v>
      </c>
      <c r="AE20" s="39"/>
      <c r="AF20" s="143"/>
      <c r="AG20" s="147" t="e">
        <f t="shared" si="10"/>
        <v>#DIV/0!</v>
      </c>
      <c r="AH20" s="143">
        <f t="shared" si="11"/>
        <v>-3358</v>
      </c>
      <c r="AI20" s="143">
        <f t="shared" si="11"/>
        <v>0</v>
      </c>
      <c r="AJ20" s="147">
        <f t="shared" si="12"/>
        <v>-1</v>
      </c>
      <c r="AK20" s="149"/>
      <c r="AL20" s="149"/>
      <c r="AM20" s="147" t="e">
        <f t="shared" si="13"/>
        <v>#DIV/0!</v>
      </c>
      <c r="AN20" s="149">
        <f t="shared" si="14"/>
        <v>-3358</v>
      </c>
      <c r="AO20" s="149">
        <f t="shared" si="14"/>
        <v>0</v>
      </c>
      <c r="AP20" s="147">
        <f t="shared" si="15"/>
        <v>-1</v>
      </c>
      <c r="AQ20" s="149"/>
      <c r="AR20" s="149"/>
      <c r="AS20" s="147" t="e">
        <f t="shared" si="16"/>
        <v>#DIV/0!</v>
      </c>
      <c r="AT20" s="149">
        <f t="shared" si="17"/>
        <v>-3358</v>
      </c>
      <c r="AU20" s="149">
        <f t="shared" si="17"/>
        <v>0</v>
      </c>
      <c r="AV20" s="147">
        <f t="shared" si="18"/>
        <v>-1</v>
      </c>
      <c r="AW20" s="43"/>
      <c r="AX20" s="43"/>
      <c r="AY20" s="147" t="e">
        <f t="shared" si="19"/>
        <v>#DIV/0!</v>
      </c>
      <c r="AZ20" s="43">
        <f t="shared" si="20"/>
        <v>-3358</v>
      </c>
      <c r="BA20" s="43">
        <f t="shared" si="20"/>
        <v>0</v>
      </c>
      <c r="BB20" s="147">
        <f t="shared" si="23"/>
        <v>-1</v>
      </c>
      <c r="BC20" s="43"/>
      <c r="BD20" s="43"/>
      <c r="BE20" s="147" t="e">
        <f t="shared" si="21"/>
        <v>#DIV/0!</v>
      </c>
      <c r="BF20" s="43">
        <f t="shared" si="22"/>
        <v>-3358</v>
      </c>
      <c r="BG20" s="43">
        <f t="shared" si="22"/>
        <v>0</v>
      </c>
      <c r="BH20" s="147">
        <f t="shared" si="24"/>
        <v>-1</v>
      </c>
      <c r="BI20" s="46"/>
      <c r="BJ20" s="46"/>
      <c r="BK20" s="46"/>
      <c r="BL20" s="46">
        <v>-3358</v>
      </c>
      <c r="BM20" s="92" t="e">
        <f t="shared" si="25"/>
        <v>#DIV/0!</v>
      </c>
      <c r="BN20" s="77"/>
      <c r="BO20" s="77"/>
      <c r="BP20" s="77"/>
    </row>
    <row r="21" spans="1:68">
      <c r="A21" s="78" t="s">
        <v>24</v>
      </c>
      <c r="B21" s="78" t="s">
        <v>24</v>
      </c>
      <c r="C21" s="136" t="s">
        <v>95</v>
      </c>
      <c r="D21" s="80" t="s">
        <v>84</v>
      </c>
      <c r="E21" s="80" t="s">
        <v>84</v>
      </c>
      <c r="F21" s="80" t="s">
        <v>76</v>
      </c>
      <c r="G21" s="137" t="s">
        <v>96</v>
      </c>
      <c r="H21" s="39" t="s">
        <v>85</v>
      </c>
      <c r="I21" s="143"/>
      <c r="J21" s="144"/>
      <c r="K21" s="144"/>
      <c r="L21" s="92" t="e">
        <f t="shared" si="0"/>
        <v>#DIV/0!</v>
      </c>
      <c r="M21" s="144"/>
      <c r="N21" s="144"/>
      <c r="O21" s="92" t="e">
        <f t="shared" si="1"/>
        <v>#DIV/0!</v>
      </c>
      <c r="P21" s="144">
        <f t="shared" si="26"/>
        <v>0</v>
      </c>
      <c r="Q21" s="144">
        <f t="shared" si="26"/>
        <v>0</v>
      </c>
      <c r="R21" s="92" t="e">
        <f t="shared" si="3"/>
        <v>#DIV/0!</v>
      </c>
      <c r="S21" s="22"/>
      <c r="T21" s="22"/>
      <c r="U21" s="92" t="e">
        <f t="shared" si="4"/>
        <v>#DIV/0!</v>
      </c>
      <c r="V21" s="22">
        <f t="shared" si="5"/>
        <v>0</v>
      </c>
      <c r="W21" s="22">
        <f t="shared" si="5"/>
        <v>0</v>
      </c>
      <c r="X21" s="92" t="e">
        <f t="shared" si="6"/>
        <v>#DIV/0!</v>
      </c>
      <c r="Y21" s="38"/>
      <c r="Z21" s="38"/>
      <c r="AA21" s="147" t="e">
        <f t="shared" si="7"/>
        <v>#DIV/0!</v>
      </c>
      <c r="AB21" s="38">
        <f t="shared" si="8"/>
        <v>0</v>
      </c>
      <c r="AC21" s="38">
        <f t="shared" si="8"/>
        <v>0</v>
      </c>
      <c r="AD21" s="147" t="e">
        <f t="shared" si="9"/>
        <v>#DIV/0!</v>
      </c>
      <c r="AE21" s="39"/>
      <c r="AF21" s="143"/>
      <c r="AG21" s="147" t="e">
        <f t="shared" si="10"/>
        <v>#DIV/0!</v>
      </c>
      <c r="AH21" s="143">
        <f t="shared" si="11"/>
        <v>0</v>
      </c>
      <c r="AI21" s="143">
        <f t="shared" si="11"/>
        <v>0</v>
      </c>
      <c r="AJ21" s="147" t="e">
        <f t="shared" si="12"/>
        <v>#DIV/0!</v>
      </c>
      <c r="AK21" s="149"/>
      <c r="AL21" s="149"/>
      <c r="AM21" s="147" t="e">
        <f t="shared" si="13"/>
        <v>#DIV/0!</v>
      </c>
      <c r="AN21" s="149">
        <f t="shared" si="14"/>
        <v>0</v>
      </c>
      <c r="AO21" s="149">
        <f t="shared" si="14"/>
        <v>0</v>
      </c>
      <c r="AP21" s="147" t="e">
        <f t="shared" si="15"/>
        <v>#DIV/0!</v>
      </c>
      <c r="AQ21" s="149"/>
      <c r="AR21" s="149"/>
      <c r="AS21" s="147" t="e">
        <f t="shared" si="16"/>
        <v>#DIV/0!</v>
      </c>
      <c r="AT21" s="149">
        <f t="shared" si="17"/>
        <v>0</v>
      </c>
      <c r="AU21" s="149">
        <f t="shared" si="17"/>
        <v>0</v>
      </c>
      <c r="AV21" s="147" t="e">
        <f t="shared" si="18"/>
        <v>#DIV/0!</v>
      </c>
      <c r="AW21" s="43"/>
      <c r="AX21" s="43"/>
      <c r="AY21" s="147" t="e">
        <f t="shared" si="19"/>
        <v>#DIV/0!</v>
      </c>
      <c r="AZ21" s="43">
        <f t="shared" si="20"/>
        <v>0</v>
      </c>
      <c r="BA21" s="43">
        <f t="shared" si="20"/>
        <v>0</v>
      </c>
      <c r="BB21" s="147" t="e">
        <f t="shared" si="23"/>
        <v>#DIV/0!</v>
      </c>
      <c r="BC21" s="43"/>
      <c r="BD21" s="43"/>
      <c r="BE21" s="147" t="e">
        <f t="shared" si="21"/>
        <v>#DIV/0!</v>
      </c>
      <c r="BF21" s="43">
        <f t="shared" si="22"/>
        <v>0</v>
      </c>
      <c r="BG21" s="43">
        <f t="shared" si="22"/>
        <v>0</v>
      </c>
      <c r="BH21" s="147" t="e">
        <f t="shared" si="24"/>
        <v>#DIV/0!</v>
      </c>
      <c r="BI21" s="46"/>
      <c r="BJ21" s="46"/>
      <c r="BK21" s="46"/>
      <c r="BL21" s="46">
        <v>0</v>
      </c>
      <c r="BM21" s="92" t="e">
        <f t="shared" si="25"/>
        <v>#DIV/0!</v>
      </c>
      <c r="BN21" s="77"/>
      <c r="BO21" s="77"/>
      <c r="BP21" s="77"/>
    </row>
    <row r="22" spans="1:68">
      <c r="A22" s="78" t="s">
        <v>24</v>
      </c>
      <c r="B22" s="78" t="s">
        <v>24</v>
      </c>
      <c r="C22" s="136" t="s">
        <v>97</v>
      </c>
      <c r="D22" s="80" t="s">
        <v>84</v>
      </c>
      <c r="E22" s="80" t="s">
        <v>84</v>
      </c>
      <c r="F22" s="80" t="s">
        <v>76</v>
      </c>
      <c r="G22" s="80" t="s">
        <v>77</v>
      </c>
      <c r="H22" s="39" t="s">
        <v>85</v>
      </c>
      <c r="I22" s="143">
        <v>230</v>
      </c>
      <c r="J22" s="144">
        <v>164507</v>
      </c>
      <c r="K22" s="144">
        <v>108230.5</v>
      </c>
      <c r="L22" s="92">
        <f t="shared" si="0"/>
        <v>-0.34209182587974984</v>
      </c>
      <c r="M22" s="144">
        <v>107411</v>
      </c>
      <c r="N22" s="144">
        <v>59256.4</v>
      </c>
      <c r="O22" s="92">
        <f t="shared" si="1"/>
        <v>-0.44832093547215834</v>
      </c>
      <c r="P22" s="144">
        <f t="shared" si="26"/>
        <v>271918</v>
      </c>
      <c r="Q22" s="144">
        <f t="shared" si="26"/>
        <v>167486.9</v>
      </c>
      <c r="R22" s="92">
        <f t="shared" si="3"/>
        <v>-0.38405364852639401</v>
      </c>
      <c r="S22" s="22">
        <v>318901</v>
      </c>
      <c r="T22" s="22">
        <v>109309.1</v>
      </c>
      <c r="U22" s="92">
        <f t="shared" si="4"/>
        <v>-0.65723186819734014</v>
      </c>
      <c r="V22" s="22">
        <f t="shared" si="5"/>
        <v>590819</v>
      </c>
      <c r="W22" s="22">
        <f t="shared" si="5"/>
        <v>276796</v>
      </c>
      <c r="X22" s="92">
        <f t="shared" si="6"/>
        <v>-0.53150457246635607</v>
      </c>
      <c r="Y22" s="38">
        <v>286782</v>
      </c>
      <c r="Z22" s="38">
        <v>130231</v>
      </c>
      <c r="AA22" s="147">
        <f t="shared" si="7"/>
        <v>-0.54588851462086185</v>
      </c>
      <c r="AB22" s="38">
        <f t="shared" si="8"/>
        <v>877601</v>
      </c>
      <c r="AC22" s="38">
        <f t="shared" si="8"/>
        <v>407027</v>
      </c>
      <c r="AD22" s="147">
        <f t="shared" si="9"/>
        <v>-0.5362049496297292</v>
      </c>
      <c r="AE22" s="39">
        <v>277032</v>
      </c>
      <c r="AF22" s="143">
        <v>123067.1</v>
      </c>
      <c r="AG22" s="147">
        <f t="shared" si="10"/>
        <v>-0.55576575991221233</v>
      </c>
      <c r="AH22" s="143">
        <f t="shared" si="11"/>
        <v>1154633</v>
      </c>
      <c r="AI22" s="143">
        <f t="shared" si="11"/>
        <v>530094.1</v>
      </c>
      <c r="AJ22" s="147">
        <f t="shared" si="12"/>
        <v>-0.54089819016085627</v>
      </c>
      <c r="AK22" s="149">
        <v>219679</v>
      </c>
      <c r="AL22" s="149">
        <v>158341.79999999999</v>
      </c>
      <c r="AM22" s="147">
        <f t="shared" si="13"/>
        <v>-0.27921285147874864</v>
      </c>
      <c r="AN22" s="149">
        <f t="shared" si="14"/>
        <v>1374312</v>
      </c>
      <c r="AO22" s="149">
        <f t="shared" si="14"/>
        <v>688435.89999999991</v>
      </c>
      <c r="AP22" s="147">
        <f t="shared" si="15"/>
        <v>-0.49906869764653161</v>
      </c>
      <c r="AQ22" s="149">
        <v>159081</v>
      </c>
      <c r="AR22" s="149">
        <v>49102</v>
      </c>
      <c r="AS22" s="147">
        <f t="shared" si="16"/>
        <v>-0.69133963201136528</v>
      </c>
      <c r="AT22" s="149">
        <f t="shared" si="17"/>
        <v>1533393</v>
      </c>
      <c r="AU22" s="149">
        <f t="shared" si="17"/>
        <v>737537.89999999991</v>
      </c>
      <c r="AV22" s="147">
        <f t="shared" si="18"/>
        <v>-0.51901573830061842</v>
      </c>
      <c r="AW22" s="43">
        <v>201109</v>
      </c>
      <c r="AX22" s="43">
        <f>31899-3470</f>
        <v>28429</v>
      </c>
      <c r="AY22" s="147">
        <f t="shared" si="19"/>
        <v>-0.85863884759011277</v>
      </c>
      <c r="AZ22" s="43">
        <f t="shared" si="20"/>
        <v>1734502</v>
      </c>
      <c r="BA22" s="43">
        <f t="shared" si="20"/>
        <v>765966.89999999991</v>
      </c>
      <c r="BB22" s="147">
        <f t="shared" si="23"/>
        <v>-0.55839376374313787</v>
      </c>
      <c r="BC22" s="43">
        <v>242762.6</v>
      </c>
      <c r="BD22" s="43">
        <v>54601</v>
      </c>
      <c r="BE22" s="147">
        <f t="shared" si="21"/>
        <v>-0.77508479477481296</v>
      </c>
      <c r="BF22" s="43">
        <f t="shared" si="22"/>
        <v>1977264.6</v>
      </c>
      <c r="BG22" s="43">
        <f t="shared" si="22"/>
        <v>820567.89999999991</v>
      </c>
      <c r="BH22" s="147">
        <f t="shared" si="24"/>
        <v>-0.58499843672920671</v>
      </c>
      <c r="BI22" s="46">
        <v>349831.4</v>
      </c>
      <c r="BJ22" s="46">
        <v>127945.5</v>
      </c>
      <c r="BK22" s="46">
        <v>212464</v>
      </c>
      <c r="BL22" s="46">
        <v>2667505.5</v>
      </c>
      <c r="BM22" s="92">
        <f t="shared" si="25"/>
        <v>0.35676865217391301</v>
      </c>
      <c r="BN22" s="77"/>
      <c r="BO22" s="77"/>
      <c r="BP22" s="77"/>
    </row>
    <row r="23" spans="1:68">
      <c r="A23" s="78" t="s">
        <v>24</v>
      </c>
      <c r="B23" s="78" t="s">
        <v>24</v>
      </c>
      <c r="C23" s="136" t="s">
        <v>98</v>
      </c>
      <c r="D23" s="80" t="s">
        <v>65</v>
      </c>
      <c r="E23" s="80" t="s">
        <v>65</v>
      </c>
      <c r="F23" s="80" t="s">
        <v>76</v>
      </c>
      <c r="G23" s="80" t="s">
        <v>96</v>
      </c>
      <c r="H23" s="39" t="s">
        <v>85</v>
      </c>
      <c r="I23" s="143"/>
      <c r="J23" s="144">
        <v>78855</v>
      </c>
      <c r="K23" s="144">
        <v>24931</v>
      </c>
      <c r="L23" s="92">
        <f t="shared" si="0"/>
        <v>-0.68383742311838192</v>
      </c>
      <c r="M23" s="144">
        <v>39609</v>
      </c>
      <c r="N23" s="144">
        <f>16033+14550</f>
        <v>30583</v>
      </c>
      <c r="O23" s="92">
        <f t="shared" si="1"/>
        <v>-0.22787750258779571</v>
      </c>
      <c r="P23" s="144">
        <f t="shared" si="26"/>
        <v>118464</v>
      </c>
      <c r="Q23" s="144">
        <f t="shared" si="26"/>
        <v>55514</v>
      </c>
      <c r="R23" s="92">
        <f t="shared" si="3"/>
        <v>-0.53138506212857917</v>
      </c>
      <c r="S23" s="22">
        <v>40486</v>
      </c>
      <c r="T23" s="22">
        <v>10700</v>
      </c>
      <c r="U23" s="92">
        <f t="shared" si="4"/>
        <v>-0.735711110013338</v>
      </c>
      <c r="V23" s="22">
        <f t="shared" si="5"/>
        <v>158950</v>
      </c>
      <c r="W23" s="22">
        <f t="shared" si="5"/>
        <v>66214</v>
      </c>
      <c r="X23" s="92">
        <f t="shared" si="6"/>
        <v>-0.58342875117961623</v>
      </c>
      <c r="Y23" s="38">
        <v>45990</v>
      </c>
      <c r="Z23" s="38"/>
      <c r="AA23" s="147">
        <f t="shared" si="7"/>
        <v>-1</v>
      </c>
      <c r="AB23" s="38">
        <f t="shared" si="8"/>
        <v>204940</v>
      </c>
      <c r="AC23" s="38">
        <f t="shared" si="8"/>
        <v>66214</v>
      </c>
      <c r="AD23" s="147">
        <f t="shared" si="9"/>
        <v>-0.67691031521420908</v>
      </c>
      <c r="AE23" s="39">
        <v>26265</v>
      </c>
      <c r="AF23" s="143">
        <v>-3281.96</v>
      </c>
      <c r="AG23" s="147">
        <f t="shared" si="10"/>
        <v>-1.1249556443936799</v>
      </c>
      <c r="AH23" s="143">
        <f t="shared" si="11"/>
        <v>231205</v>
      </c>
      <c r="AI23" s="143">
        <f t="shared" si="11"/>
        <v>62932.04</v>
      </c>
      <c r="AJ23" s="147">
        <f t="shared" si="12"/>
        <v>-0.72780848165048329</v>
      </c>
      <c r="AK23" s="149">
        <v>67133</v>
      </c>
      <c r="AL23" s="149"/>
      <c r="AM23" s="147">
        <f t="shared" si="13"/>
        <v>-1</v>
      </c>
      <c r="AN23" s="149">
        <f t="shared" si="14"/>
        <v>298338</v>
      </c>
      <c r="AO23" s="149">
        <f t="shared" si="14"/>
        <v>62932.04</v>
      </c>
      <c r="AP23" s="147">
        <f t="shared" si="15"/>
        <v>-0.78905791417787874</v>
      </c>
      <c r="AQ23" s="149">
        <v>58226</v>
      </c>
      <c r="AR23" s="149"/>
      <c r="AS23" s="147">
        <f t="shared" si="16"/>
        <v>-1</v>
      </c>
      <c r="AT23" s="149">
        <f t="shared" si="17"/>
        <v>356564</v>
      </c>
      <c r="AU23" s="149">
        <f t="shared" si="17"/>
        <v>62932.04</v>
      </c>
      <c r="AV23" s="147">
        <f t="shared" si="18"/>
        <v>-0.82350422364568487</v>
      </c>
      <c r="AW23" s="43">
        <v>24848</v>
      </c>
      <c r="AX23" s="43"/>
      <c r="AY23" s="147">
        <f t="shared" si="19"/>
        <v>-1</v>
      </c>
      <c r="AZ23" s="43">
        <f t="shared" si="20"/>
        <v>381412</v>
      </c>
      <c r="BA23" s="43">
        <f t="shared" si="20"/>
        <v>62932.04</v>
      </c>
      <c r="BB23" s="147">
        <f t="shared" si="23"/>
        <v>-0.83500246452654869</v>
      </c>
      <c r="BC23" s="43">
        <v>34493</v>
      </c>
      <c r="BD23" s="43"/>
      <c r="BE23" s="147">
        <f t="shared" si="21"/>
        <v>-1</v>
      </c>
      <c r="BF23" s="43">
        <f t="shared" si="22"/>
        <v>415905</v>
      </c>
      <c r="BG23" s="43">
        <f t="shared" si="22"/>
        <v>62932.04</v>
      </c>
      <c r="BH23" s="147">
        <f t="shared" si="24"/>
        <v>-0.84868650292735115</v>
      </c>
      <c r="BI23" s="46">
        <v>20231</v>
      </c>
      <c r="BJ23" s="46">
        <v>24237</v>
      </c>
      <c r="BK23" s="46">
        <v>103577</v>
      </c>
      <c r="BL23" s="46">
        <v>563950</v>
      </c>
      <c r="BM23" s="92" t="e">
        <f t="shared" si="25"/>
        <v>#DIV/0!</v>
      </c>
      <c r="BN23" s="77"/>
      <c r="BO23" s="77"/>
      <c r="BP23" s="77"/>
    </row>
    <row r="24" spans="1:68">
      <c r="A24" s="78" t="s">
        <v>24</v>
      </c>
      <c r="B24" s="78" t="s">
        <v>24</v>
      </c>
      <c r="C24" s="136" t="s">
        <v>99</v>
      </c>
      <c r="D24" s="80" t="s">
        <v>84</v>
      </c>
      <c r="E24" s="80" t="s">
        <v>84</v>
      </c>
      <c r="F24" s="80" t="s">
        <v>76</v>
      </c>
      <c r="G24" s="80" t="s">
        <v>100</v>
      </c>
      <c r="H24" s="38" t="s">
        <v>85</v>
      </c>
      <c r="I24" s="143">
        <v>280</v>
      </c>
      <c r="J24" s="146">
        <v>155330</v>
      </c>
      <c r="K24" s="144">
        <v>156262</v>
      </c>
      <c r="L24" s="92">
        <f t="shared" si="0"/>
        <v>6.0001287581279428E-3</v>
      </c>
      <c r="M24" s="146">
        <v>84728</v>
      </c>
      <c r="N24" s="144">
        <v>143497</v>
      </c>
      <c r="O24" s="92">
        <f t="shared" si="1"/>
        <v>0.69361958266452639</v>
      </c>
      <c r="P24" s="144">
        <f t="shared" si="26"/>
        <v>240058</v>
      </c>
      <c r="Q24" s="144">
        <f t="shared" si="26"/>
        <v>299759</v>
      </c>
      <c r="R24" s="92">
        <f t="shared" si="3"/>
        <v>0.2486940656008132</v>
      </c>
      <c r="S24" s="22">
        <v>296842</v>
      </c>
      <c r="T24" s="22">
        <v>199854.6</v>
      </c>
      <c r="U24" s="92">
        <f t="shared" si="4"/>
        <v>-0.32673071869883641</v>
      </c>
      <c r="V24" s="22">
        <f t="shared" si="5"/>
        <v>536900</v>
      </c>
      <c r="W24" s="22">
        <f t="shared" si="5"/>
        <v>499613.6</v>
      </c>
      <c r="X24" s="92">
        <f t="shared" si="6"/>
        <v>-6.9447569379772811E-2</v>
      </c>
      <c r="Y24" s="38">
        <v>180500</v>
      </c>
      <c r="Z24" s="38">
        <v>131199.70000000001</v>
      </c>
      <c r="AA24" s="147">
        <f t="shared" si="7"/>
        <v>-0.27313185595567857</v>
      </c>
      <c r="AB24" s="38">
        <f t="shared" si="8"/>
        <v>717400</v>
      </c>
      <c r="AC24" s="38">
        <f t="shared" si="8"/>
        <v>630813.30000000005</v>
      </c>
      <c r="AD24" s="147">
        <f t="shared" si="9"/>
        <v>-0.12069514914970725</v>
      </c>
      <c r="AE24" s="38">
        <v>190972</v>
      </c>
      <c r="AF24" s="143">
        <v>160705</v>
      </c>
      <c r="AG24" s="147">
        <f t="shared" si="10"/>
        <v>-0.15848920260561761</v>
      </c>
      <c r="AH24" s="143">
        <f t="shared" si="11"/>
        <v>908372</v>
      </c>
      <c r="AI24" s="143">
        <f t="shared" si="11"/>
        <v>791518.3</v>
      </c>
      <c r="AJ24" s="147">
        <f t="shared" si="12"/>
        <v>-0.12864079914396298</v>
      </c>
      <c r="AK24" s="149">
        <v>207825</v>
      </c>
      <c r="AL24" s="149">
        <v>164883</v>
      </c>
      <c r="AM24" s="147">
        <f t="shared" si="13"/>
        <v>-0.20662576687116563</v>
      </c>
      <c r="AN24" s="149">
        <f t="shared" si="14"/>
        <v>1116197</v>
      </c>
      <c r="AO24" s="149">
        <f t="shared" si="14"/>
        <v>956401.3</v>
      </c>
      <c r="AP24" s="147">
        <f t="shared" si="15"/>
        <v>-0.14316083988758255</v>
      </c>
      <c r="AQ24" s="149">
        <v>114990</v>
      </c>
      <c r="AR24" s="149">
        <v>50432</v>
      </c>
      <c r="AS24" s="147">
        <f t="shared" si="16"/>
        <v>-0.56142273241151397</v>
      </c>
      <c r="AT24" s="149">
        <f t="shared" si="17"/>
        <v>1231187</v>
      </c>
      <c r="AU24" s="149">
        <f t="shared" si="17"/>
        <v>1006833.3</v>
      </c>
      <c r="AV24" s="147">
        <f t="shared" si="18"/>
        <v>-0.18222552707265427</v>
      </c>
      <c r="AW24" s="43">
        <v>62417</v>
      </c>
      <c r="AX24" s="43">
        <v>52672</v>
      </c>
      <c r="AY24" s="147">
        <f t="shared" si="19"/>
        <v>-0.15612733710367366</v>
      </c>
      <c r="AZ24" s="43">
        <f t="shared" si="20"/>
        <v>1293604</v>
      </c>
      <c r="BA24" s="43">
        <f t="shared" si="20"/>
        <v>1059505.3</v>
      </c>
      <c r="BB24" s="147">
        <f t="shared" si="23"/>
        <v>-0.18096627716055291</v>
      </c>
      <c r="BC24" s="150">
        <v>213083</v>
      </c>
      <c r="BD24" s="43">
        <v>98642</v>
      </c>
      <c r="BE24" s="147">
        <f t="shared" si="21"/>
        <v>-0.53707240840423687</v>
      </c>
      <c r="BF24" s="43">
        <f t="shared" si="22"/>
        <v>1506687</v>
      </c>
      <c r="BG24" s="43">
        <f t="shared" si="22"/>
        <v>1158147.3</v>
      </c>
      <c r="BH24" s="147">
        <f t="shared" si="24"/>
        <v>-0.2313285373803583</v>
      </c>
      <c r="BI24" s="151">
        <v>304051.40000000002</v>
      </c>
      <c r="BJ24" s="151">
        <v>330136</v>
      </c>
      <c r="BK24" s="46">
        <v>394635</v>
      </c>
      <c r="BL24" s="46">
        <v>2535509.4</v>
      </c>
      <c r="BM24" s="92">
        <f t="shared" si="25"/>
        <v>0.41362403571428574</v>
      </c>
      <c r="BN24" s="77"/>
      <c r="BO24" s="77"/>
      <c r="BP24" s="77"/>
    </row>
    <row r="25" spans="1:68">
      <c r="A25" s="78" t="s">
        <v>24</v>
      </c>
      <c r="B25" s="78" t="s">
        <v>24</v>
      </c>
      <c r="C25" s="138" t="s">
        <v>101</v>
      </c>
      <c r="D25" s="80" t="s">
        <v>102</v>
      </c>
      <c r="E25" s="80" t="s">
        <v>102</v>
      </c>
      <c r="F25" s="80" t="s">
        <v>76</v>
      </c>
      <c r="G25" s="80" t="s">
        <v>93</v>
      </c>
      <c r="H25" s="22" t="s">
        <v>103</v>
      </c>
      <c r="I25" s="143"/>
      <c r="J25" s="144"/>
      <c r="K25" s="144"/>
      <c r="L25" s="92" t="e">
        <f t="shared" si="0"/>
        <v>#DIV/0!</v>
      </c>
      <c r="M25" s="144"/>
      <c r="N25" s="144"/>
      <c r="O25" s="92" t="e">
        <f t="shared" si="1"/>
        <v>#DIV/0!</v>
      </c>
      <c r="P25" s="144">
        <f t="shared" si="26"/>
        <v>0</v>
      </c>
      <c r="Q25" s="144">
        <f t="shared" si="26"/>
        <v>0</v>
      </c>
      <c r="R25" s="92" t="e">
        <f t="shared" si="3"/>
        <v>#DIV/0!</v>
      </c>
      <c r="S25" s="22">
        <v>790</v>
      </c>
      <c r="T25" s="22"/>
      <c r="U25" s="92">
        <f t="shared" si="4"/>
        <v>-1</v>
      </c>
      <c r="V25" s="22">
        <f t="shared" si="5"/>
        <v>790</v>
      </c>
      <c r="W25" s="22">
        <f t="shared" si="5"/>
        <v>0</v>
      </c>
      <c r="X25" s="92">
        <f t="shared" si="6"/>
        <v>-1</v>
      </c>
      <c r="Y25" s="38"/>
      <c r="Z25" s="38"/>
      <c r="AA25" s="147" t="e">
        <f t="shared" si="7"/>
        <v>#DIV/0!</v>
      </c>
      <c r="AB25" s="38">
        <f t="shared" si="8"/>
        <v>790</v>
      </c>
      <c r="AC25" s="38">
        <f t="shared" si="8"/>
        <v>0</v>
      </c>
      <c r="AD25" s="147">
        <f t="shared" si="9"/>
        <v>-1</v>
      </c>
      <c r="AE25" s="39"/>
      <c r="AF25" s="143"/>
      <c r="AG25" s="147" t="e">
        <f t="shared" si="10"/>
        <v>#DIV/0!</v>
      </c>
      <c r="AH25" s="143">
        <f t="shared" si="11"/>
        <v>790</v>
      </c>
      <c r="AI25" s="143">
        <f t="shared" si="11"/>
        <v>0</v>
      </c>
      <c r="AJ25" s="147">
        <f t="shared" si="12"/>
        <v>-1</v>
      </c>
      <c r="AK25" s="149"/>
      <c r="AL25" s="149"/>
      <c r="AM25" s="147" t="e">
        <f t="shared" si="13"/>
        <v>#DIV/0!</v>
      </c>
      <c r="AN25" s="149">
        <f t="shared" si="14"/>
        <v>790</v>
      </c>
      <c r="AO25" s="149">
        <f t="shared" si="14"/>
        <v>0</v>
      </c>
      <c r="AP25" s="147">
        <f t="shared" si="15"/>
        <v>-1</v>
      </c>
      <c r="AQ25" s="149"/>
      <c r="AR25" s="149"/>
      <c r="AS25" s="147" t="e">
        <f t="shared" si="16"/>
        <v>#DIV/0!</v>
      </c>
      <c r="AT25" s="149">
        <f t="shared" si="17"/>
        <v>790</v>
      </c>
      <c r="AU25" s="149">
        <f t="shared" si="17"/>
        <v>0</v>
      </c>
      <c r="AV25" s="147">
        <f t="shared" si="18"/>
        <v>-1</v>
      </c>
      <c r="AW25" s="43"/>
      <c r="AX25" s="43"/>
      <c r="AY25" s="147" t="e">
        <f t="shared" si="19"/>
        <v>#DIV/0!</v>
      </c>
      <c r="AZ25" s="43">
        <f t="shared" si="20"/>
        <v>790</v>
      </c>
      <c r="BA25" s="43">
        <f t="shared" si="20"/>
        <v>0</v>
      </c>
      <c r="BB25" s="147">
        <f t="shared" si="23"/>
        <v>-1</v>
      </c>
      <c r="BC25" s="43"/>
      <c r="BD25" s="43"/>
      <c r="BE25" s="147" t="e">
        <f t="shared" si="21"/>
        <v>#DIV/0!</v>
      </c>
      <c r="BF25" s="43">
        <f t="shared" si="22"/>
        <v>790</v>
      </c>
      <c r="BG25" s="43">
        <f t="shared" si="22"/>
        <v>0</v>
      </c>
      <c r="BH25" s="147">
        <f t="shared" si="24"/>
        <v>-1</v>
      </c>
      <c r="BI25" s="46"/>
      <c r="BJ25" s="46"/>
      <c r="BK25" s="46"/>
      <c r="BL25" s="46">
        <v>790</v>
      </c>
      <c r="BM25" s="92" t="e">
        <f t="shared" si="25"/>
        <v>#DIV/0!</v>
      </c>
      <c r="BN25" s="77"/>
      <c r="BO25" s="77"/>
      <c r="BP25" s="77"/>
    </row>
    <row r="26" spans="1:68">
      <c r="A26" s="78" t="s">
        <v>24</v>
      </c>
      <c r="B26" s="78" t="s">
        <v>24</v>
      </c>
      <c r="C26" s="139" t="s">
        <v>104</v>
      </c>
      <c r="D26" s="80" t="s">
        <v>102</v>
      </c>
      <c r="E26" s="80" t="s">
        <v>102</v>
      </c>
      <c r="F26" s="80" t="s">
        <v>76</v>
      </c>
      <c r="G26" s="80" t="s">
        <v>96</v>
      </c>
      <c r="H26" s="22" t="s">
        <v>103</v>
      </c>
      <c r="I26" s="143"/>
      <c r="J26" s="144"/>
      <c r="K26" s="144"/>
      <c r="L26" s="92" t="e">
        <f t="shared" si="0"/>
        <v>#DIV/0!</v>
      </c>
      <c r="M26" s="144"/>
      <c r="N26" s="144"/>
      <c r="O26" s="92" t="e">
        <f t="shared" si="1"/>
        <v>#DIV/0!</v>
      </c>
      <c r="P26" s="144">
        <f t="shared" si="26"/>
        <v>0</v>
      </c>
      <c r="Q26" s="144">
        <f t="shared" si="26"/>
        <v>0</v>
      </c>
      <c r="R26" s="92" t="e">
        <f t="shared" si="3"/>
        <v>#DIV/0!</v>
      </c>
      <c r="S26" s="22"/>
      <c r="T26" s="22"/>
      <c r="U26" s="92" t="e">
        <f t="shared" si="4"/>
        <v>#DIV/0!</v>
      </c>
      <c r="V26" s="22">
        <f t="shared" si="5"/>
        <v>0</v>
      </c>
      <c r="W26" s="22">
        <f t="shared" si="5"/>
        <v>0</v>
      </c>
      <c r="X26" s="92" t="e">
        <f t="shared" si="6"/>
        <v>#DIV/0!</v>
      </c>
      <c r="Y26" s="38"/>
      <c r="Z26" s="38"/>
      <c r="AA26" s="147" t="e">
        <f t="shared" si="7"/>
        <v>#DIV/0!</v>
      </c>
      <c r="AB26" s="38">
        <f t="shared" si="8"/>
        <v>0</v>
      </c>
      <c r="AC26" s="38">
        <f t="shared" si="8"/>
        <v>0</v>
      </c>
      <c r="AD26" s="147" t="e">
        <f t="shared" si="9"/>
        <v>#DIV/0!</v>
      </c>
      <c r="AE26" s="39"/>
      <c r="AF26" s="143"/>
      <c r="AG26" s="147" t="e">
        <f t="shared" si="10"/>
        <v>#DIV/0!</v>
      </c>
      <c r="AH26" s="143">
        <f t="shared" si="11"/>
        <v>0</v>
      </c>
      <c r="AI26" s="143">
        <f t="shared" si="11"/>
        <v>0</v>
      </c>
      <c r="AJ26" s="147" t="e">
        <f t="shared" si="12"/>
        <v>#DIV/0!</v>
      </c>
      <c r="AK26" s="149"/>
      <c r="AL26" s="149"/>
      <c r="AM26" s="147" t="e">
        <f t="shared" si="13"/>
        <v>#DIV/0!</v>
      </c>
      <c r="AN26" s="149">
        <f t="shared" si="14"/>
        <v>0</v>
      </c>
      <c r="AO26" s="149">
        <f t="shared" si="14"/>
        <v>0</v>
      </c>
      <c r="AP26" s="147" t="e">
        <f t="shared" si="15"/>
        <v>#DIV/0!</v>
      </c>
      <c r="AQ26" s="149"/>
      <c r="AR26" s="149"/>
      <c r="AS26" s="147" t="e">
        <f t="shared" si="16"/>
        <v>#DIV/0!</v>
      </c>
      <c r="AT26" s="149">
        <f t="shared" si="17"/>
        <v>0</v>
      </c>
      <c r="AU26" s="149">
        <f t="shared" si="17"/>
        <v>0</v>
      </c>
      <c r="AV26" s="147" t="e">
        <f t="shared" si="18"/>
        <v>#DIV/0!</v>
      </c>
      <c r="AW26" s="43"/>
      <c r="AX26" s="43"/>
      <c r="AY26" s="147" t="e">
        <f t="shared" si="19"/>
        <v>#DIV/0!</v>
      </c>
      <c r="AZ26" s="43">
        <f t="shared" si="20"/>
        <v>0</v>
      </c>
      <c r="BA26" s="43">
        <f t="shared" si="20"/>
        <v>0</v>
      </c>
      <c r="BB26" s="147" t="e">
        <f t="shared" si="23"/>
        <v>#DIV/0!</v>
      </c>
      <c r="BC26" s="43"/>
      <c r="BD26" s="43"/>
      <c r="BE26" s="147" t="e">
        <f t="shared" si="21"/>
        <v>#DIV/0!</v>
      </c>
      <c r="BF26" s="43">
        <f t="shared" si="22"/>
        <v>0</v>
      </c>
      <c r="BG26" s="43">
        <f t="shared" si="22"/>
        <v>0</v>
      </c>
      <c r="BH26" s="147" t="e">
        <f t="shared" si="24"/>
        <v>#DIV/0!</v>
      </c>
      <c r="BI26" s="46">
        <v>12039</v>
      </c>
      <c r="BJ26" s="46"/>
      <c r="BK26" s="46"/>
      <c r="BL26" s="46">
        <v>12039</v>
      </c>
      <c r="BM26" s="92" t="e">
        <f t="shared" si="25"/>
        <v>#DIV/0!</v>
      </c>
      <c r="BN26" s="77"/>
      <c r="BO26" s="77"/>
      <c r="BP26" s="77"/>
    </row>
    <row r="27" spans="1:68">
      <c r="A27" s="78" t="s">
        <v>24</v>
      </c>
      <c r="B27" s="78" t="s">
        <v>24</v>
      </c>
      <c r="C27" s="139" t="s">
        <v>105</v>
      </c>
      <c r="D27" s="80" t="s">
        <v>61</v>
      </c>
      <c r="E27" s="80" t="s">
        <v>61</v>
      </c>
      <c r="F27" s="80" t="s">
        <v>76</v>
      </c>
      <c r="G27" s="80" t="s">
        <v>106</v>
      </c>
      <c r="H27" s="39" t="s">
        <v>58</v>
      </c>
      <c r="I27" s="143">
        <v>24</v>
      </c>
      <c r="J27" s="144">
        <v>20000</v>
      </c>
      <c r="K27" s="144">
        <v>10000</v>
      </c>
      <c r="L27" s="92">
        <f t="shared" si="0"/>
        <v>-0.5</v>
      </c>
      <c r="M27" s="144"/>
      <c r="N27" s="144"/>
      <c r="O27" s="92" t="e">
        <f t="shared" si="1"/>
        <v>#DIV/0!</v>
      </c>
      <c r="P27" s="144">
        <f t="shared" si="26"/>
        <v>20000</v>
      </c>
      <c r="Q27" s="144">
        <f t="shared" si="26"/>
        <v>10000</v>
      </c>
      <c r="R27" s="92">
        <f t="shared" si="3"/>
        <v>-0.5</v>
      </c>
      <c r="S27" s="22">
        <v>40000</v>
      </c>
      <c r="T27" s="22">
        <v>24752.5</v>
      </c>
      <c r="U27" s="92">
        <f t="shared" si="4"/>
        <v>-0.38118750000000001</v>
      </c>
      <c r="V27" s="22">
        <f t="shared" si="5"/>
        <v>60000</v>
      </c>
      <c r="W27" s="22">
        <f t="shared" si="5"/>
        <v>34752.5</v>
      </c>
      <c r="X27" s="92">
        <f t="shared" si="6"/>
        <v>-0.42079166666666667</v>
      </c>
      <c r="Y27" s="38">
        <v>30000</v>
      </c>
      <c r="Z27" s="38"/>
      <c r="AA27" s="147">
        <f t="shared" si="7"/>
        <v>-1</v>
      </c>
      <c r="AB27" s="38">
        <f t="shared" si="8"/>
        <v>90000</v>
      </c>
      <c r="AC27" s="38">
        <f t="shared" si="8"/>
        <v>34752.5</v>
      </c>
      <c r="AD27" s="147">
        <f t="shared" si="9"/>
        <v>-0.61386111111111119</v>
      </c>
      <c r="AE27" s="39">
        <v>40100</v>
      </c>
      <c r="AF27" s="143"/>
      <c r="AG27" s="147">
        <f t="shared" si="10"/>
        <v>-1</v>
      </c>
      <c r="AH27" s="143">
        <f t="shared" si="11"/>
        <v>130100</v>
      </c>
      <c r="AI27" s="143">
        <f t="shared" si="11"/>
        <v>34752.5</v>
      </c>
      <c r="AJ27" s="147">
        <f t="shared" si="12"/>
        <v>-0.7328785549577248</v>
      </c>
      <c r="AK27" s="149"/>
      <c r="AL27" s="149"/>
      <c r="AM27" s="147" t="e">
        <f t="shared" si="13"/>
        <v>#DIV/0!</v>
      </c>
      <c r="AN27" s="149">
        <f t="shared" si="14"/>
        <v>130100</v>
      </c>
      <c r="AO27" s="149">
        <f t="shared" si="14"/>
        <v>34752.5</v>
      </c>
      <c r="AP27" s="147">
        <f t="shared" si="15"/>
        <v>-0.7328785549577248</v>
      </c>
      <c r="AQ27" s="149">
        <v>20000</v>
      </c>
      <c r="AR27" s="149"/>
      <c r="AS27" s="147">
        <f t="shared" si="16"/>
        <v>-1</v>
      </c>
      <c r="AT27" s="149">
        <f t="shared" si="17"/>
        <v>150100</v>
      </c>
      <c r="AU27" s="149">
        <f t="shared" si="17"/>
        <v>34752.5</v>
      </c>
      <c r="AV27" s="147">
        <f t="shared" si="18"/>
        <v>-0.76847101932045303</v>
      </c>
      <c r="AW27" s="43">
        <v>20000</v>
      </c>
      <c r="AX27" s="43"/>
      <c r="AY27" s="147">
        <f t="shared" si="19"/>
        <v>-1</v>
      </c>
      <c r="AZ27" s="43">
        <f t="shared" si="20"/>
        <v>170100</v>
      </c>
      <c r="BA27" s="43">
        <f t="shared" si="20"/>
        <v>34752.5</v>
      </c>
      <c r="BB27" s="147">
        <f t="shared" si="23"/>
        <v>-0.79569370958259844</v>
      </c>
      <c r="BC27" s="43"/>
      <c r="BD27" s="43">
        <v>20000</v>
      </c>
      <c r="BE27" s="147" t="e">
        <f t="shared" si="21"/>
        <v>#DIV/0!</v>
      </c>
      <c r="BF27" s="43">
        <f t="shared" si="22"/>
        <v>170100</v>
      </c>
      <c r="BG27" s="43">
        <f t="shared" si="22"/>
        <v>54752.5</v>
      </c>
      <c r="BH27" s="147">
        <f t="shared" si="24"/>
        <v>-0.67811581422692535</v>
      </c>
      <c r="BI27" s="46">
        <v>11428</v>
      </c>
      <c r="BJ27" s="46">
        <v>20000</v>
      </c>
      <c r="BK27" s="46">
        <v>20000</v>
      </c>
      <c r="BL27" s="46">
        <v>221528</v>
      </c>
      <c r="BM27" s="92">
        <f t="shared" si="25"/>
        <v>0.22813541666666667</v>
      </c>
      <c r="BN27" s="77"/>
      <c r="BO27" s="77"/>
      <c r="BP27" s="77"/>
    </row>
    <row r="28" spans="1:68">
      <c r="A28" s="78" t="s">
        <v>24</v>
      </c>
      <c r="B28" s="78" t="s">
        <v>24</v>
      </c>
      <c r="C28" s="139" t="s">
        <v>107</v>
      </c>
      <c r="D28" s="80" t="s">
        <v>84</v>
      </c>
      <c r="E28" s="80" t="s">
        <v>84</v>
      </c>
      <c r="F28" s="80" t="s">
        <v>76</v>
      </c>
      <c r="G28" s="80" t="s">
        <v>93</v>
      </c>
      <c r="H28" s="38" t="s">
        <v>85</v>
      </c>
      <c r="I28" s="143">
        <v>400</v>
      </c>
      <c r="J28" s="146">
        <v>304654</v>
      </c>
      <c r="K28" s="144">
        <v>248878.5</v>
      </c>
      <c r="L28" s="92">
        <f t="shared" si="0"/>
        <v>-0.18307818049328095</v>
      </c>
      <c r="M28" s="146">
        <v>67549</v>
      </c>
      <c r="N28" s="144">
        <v>359062</v>
      </c>
      <c r="O28" s="92">
        <f t="shared" si="1"/>
        <v>4.3155783209225893</v>
      </c>
      <c r="P28" s="144">
        <f t="shared" si="26"/>
        <v>372203</v>
      </c>
      <c r="Q28" s="144">
        <f t="shared" si="26"/>
        <v>607940.5</v>
      </c>
      <c r="R28" s="92">
        <f t="shared" si="3"/>
        <v>0.6333573345728003</v>
      </c>
      <c r="S28" s="22">
        <v>191851</v>
      </c>
      <c r="T28" s="22">
        <v>586860</v>
      </c>
      <c r="U28" s="92">
        <f t="shared" si="4"/>
        <v>2.0589363620726502</v>
      </c>
      <c r="V28" s="22">
        <f t="shared" si="5"/>
        <v>564054</v>
      </c>
      <c r="W28" s="22">
        <f t="shared" si="5"/>
        <v>1194800.5</v>
      </c>
      <c r="X28" s="92">
        <f t="shared" si="6"/>
        <v>1.1182377928354379</v>
      </c>
      <c r="Y28" s="38">
        <v>73138</v>
      </c>
      <c r="Z28" s="38">
        <v>381502</v>
      </c>
      <c r="AA28" s="147">
        <f t="shared" si="7"/>
        <v>4.2161940441357437</v>
      </c>
      <c r="AB28" s="38">
        <f t="shared" si="8"/>
        <v>637192</v>
      </c>
      <c r="AC28" s="38">
        <f t="shared" si="8"/>
        <v>1576302.5</v>
      </c>
      <c r="AD28" s="147">
        <f t="shared" si="9"/>
        <v>1.473826570327311</v>
      </c>
      <c r="AE28" s="38">
        <v>208668</v>
      </c>
      <c r="AF28" s="143">
        <v>418566</v>
      </c>
      <c r="AG28" s="147">
        <f t="shared" si="10"/>
        <v>1.0058945310253606</v>
      </c>
      <c r="AH28" s="143">
        <f t="shared" si="11"/>
        <v>845860</v>
      </c>
      <c r="AI28" s="143">
        <f t="shared" si="11"/>
        <v>1994868.5</v>
      </c>
      <c r="AJ28" s="147">
        <f t="shared" si="12"/>
        <v>1.3583908684652308</v>
      </c>
      <c r="AK28" s="149">
        <v>296204</v>
      </c>
      <c r="AL28" s="149">
        <v>579201</v>
      </c>
      <c r="AM28" s="147">
        <f t="shared" si="13"/>
        <v>0.95541248598938577</v>
      </c>
      <c r="AN28" s="149">
        <f t="shared" si="14"/>
        <v>1142064</v>
      </c>
      <c r="AO28" s="149">
        <f t="shared" si="14"/>
        <v>2574069.5</v>
      </c>
      <c r="AP28" s="147">
        <f t="shared" si="15"/>
        <v>1.2538750017512155</v>
      </c>
      <c r="AQ28" s="149">
        <v>217892</v>
      </c>
      <c r="AR28" s="149">
        <v>250281</v>
      </c>
      <c r="AS28" s="147">
        <f t="shared" si="16"/>
        <v>0.14864703614634767</v>
      </c>
      <c r="AT28" s="149">
        <f t="shared" si="17"/>
        <v>1359956</v>
      </c>
      <c r="AU28" s="149">
        <f t="shared" si="17"/>
        <v>2824350.5</v>
      </c>
      <c r="AV28" s="147">
        <f t="shared" si="18"/>
        <v>1.0767954992661526</v>
      </c>
      <c r="AW28" s="43">
        <v>307848</v>
      </c>
      <c r="AX28" s="43">
        <v>403353</v>
      </c>
      <c r="AY28" s="147">
        <f t="shared" si="19"/>
        <v>0.31023427145864191</v>
      </c>
      <c r="AZ28" s="43">
        <f t="shared" si="20"/>
        <v>1667804</v>
      </c>
      <c r="BA28" s="43">
        <f t="shared" si="20"/>
        <v>3227703.5</v>
      </c>
      <c r="BB28" s="147">
        <f t="shared" si="23"/>
        <v>0.93530145029032186</v>
      </c>
      <c r="BC28" s="43">
        <v>427373</v>
      </c>
      <c r="BD28" s="43">
        <v>322595</v>
      </c>
      <c r="BE28" s="147">
        <f t="shared" si="21"/>
        <v>-0.24516757024893943</v>
      </c>
      <c r="BF28" s="43">
        <f t="shared" si="22"/>
        <v>2095177</v>
      </c>
      <c r="BG28" s="43">
        <f t="shared" si="22"/>
        <v>3550298.5</v>
      </c>
      <c r="BH28" s="147">
        <f t="shared" si="24"/>
        <v>0.69451005810010313</v>
      </c>
      <c r="BI28" s="151">
        <v>677990.8</v>
      </c>
      <c r="BJ28" s="151">
        <v>260034.45</v>
      </c>
      <c r="BK28" s="46">
        <v>408726.6</v>
      </c>
      <c r="BL28" s="46">
        <v>3441928.85</v>
      </c>
      <c r="BM28" s="92">
        <f t="shared" si="25"/>
        <v>0.88757462500000006</v>
      </c>
      <c r="BN28" s="77"/>
      <c r="BO28" s="77"/>
      <c r="BP28" s="77"/>
    </row>
    <row r="29" spans="1:68">
      <c r="A29" s="78" t="s">
        <v>24</v>
      </c>
      <c r="B29" s="78" t="s">
        <v>24</v>
      </c>
      <c r="C29" s="139" t="s">
        <v>108</v>
      </c>
      <c r="D29" s="80" t="s">
        <v>61</v>
      </c>
      <c r="E29" s="80" t="s">
        <v>61</v>
      </c>
      <c r="F29" s="80" t="s">
        <v>76</v>
      </c>
      <c r="G29" s="80" t="s">
        <v>106</v>
      </c>
      <c r="H29" s="39" t="s">
        <v>63</v>
      </c>
      <c r="I29" s="143">
        <v>0</v>
      </c>
      <c r="J29" s="144">
        <v>4124</v>
      </c>
      <c r="K29" s="144"/>
      <c r="L29" s="92">
        <f t="shared" si="0"/>
        <v>-1</v>
      </c>
      <c r="M29" s="144"/>
      <c r="N29" s="144"/>
      <c r="O29" s="92" t="e">
        <f t="shared" si="1"/>
        <v>#DIV/0!</v>
      </c>
      <c r="P29" s="144">
        <f t="shared" si="26"/>
        <v>4124</v>
      </c>
      <c r="Q29" s="144">
        <f t="shared" si="26"/>
        <v>0</v>
      </c>
      <c r="R29" s="92">
        <f t="shared" si="3"/>
        <v>-1</v>
      </c>
      <c r="S29" s="22">
        <v>4124</v>
      </c>
      <c r="T29" s="22"/>
      <c r="U29" s="92">
        <f t="shared" si="4"/>
        <v>-1</v>
      </c>
      <c r="V29" s="22">
        <f t="shared" si="5"/>
        <v>8248</v>
      </c>
      <c r="W29" s="22">
        <f t="shared" si="5"/>
        <v>0</v>
      </c>
      <c r="X29" s="92">
        <f t="shared" si="6"/>
        <v>-1</v>
      </c>
      <c r="Y29" s="38"/>
      <c r="Z29" s="38"/>
      <c r="AA29" s="147" t="e">
        <f t="shared" si="7"/>
        <v>#DIV/0!</v>
      </c>
      <c r="AB29" s="38">
        <f t="shared" si="8"/>
        <v>8248</v>
      </c>
      <c r="AC29" s="38">
        <f t="shared" si="8"/>
        <v>0</v>
      </c>
      <c r="AD29" s="147">
        <f t="shared" si="9"/>
        <v>-1</v>
      </c>
      <c r="AE29" s="39"/>
      <c r="AF29" s="143"/>
      <c r="AG29" s="147" t="e">
        <f t="shared" si="10"/>
        <v>#DIV/0!</v>
      </c>
      <c r="AH29" s="143">
        <f t="shared" si="11"/>
        <v>8248</v>
      </c>
      <c r="AI29" s="143">
        <f t="shared" si="11"/>
        <v>0</v>
      </c>
      <c r="AJ29" s="147">
        <f t="shared" si="12"/>
        <v>-1</v>
      </c>
      <c r="AK29" s="149"/>
      <c r="AL29" s="149"/>
      <c r="AM29" s="147" t="e">
        <f t="shared" si="13"/>
        <v>#DIV/0!</v>
      </c>
      <c r="AN29" s="149">
        <f t="shared" si="14"/>
        <v>8248</v>
      </c>
      <c r="AO29" s="149">
        <f t="shared" si="14"/>
        <v>0</v>
      </c>
      <c r="AP29" s="147">
        <f t="shared" si="15"/>
        <v>-1</v>
      </c>
      <c r="AQ29" s="149"/>
      <c r="AR29" s="149"/>
      <c r="AS29" s="147" t="e">
        <f t="shared" si="16"/>
        <v>#DIV/0!</v>
      </c>
      <c r="AT29" s="149">
        <f t="shared" si="17"/>
        <v>8248</v>
      </c>
      <c r="AU29" s="149">
        <f t="shared" si="17"/>
        <v>0</v>
      </c>
      <c r="AV29" s="147">
        <f t="shared" si="18"/>
        <v>-1</v>
      </c>
      <c r="AW29" s="43"/>
      <c r="AX29" s="43"/>
      <c r="AY29" s="147" t="e">
        <f t="shared" si="19"/>
        <v>#DIV/0!</v>
      </c>
      <c r="AZ29" s="43">
        <f t="shared" si="20"/>
        <v>8248</v>
      </c>
      <c r="BA29" s="43">
        <f t="shared" si="20"/>
        <v>0</v>
      </c>
      <c r="BB29" s="147">
        <f t="shared" si="23"/>
        <v>-1</v>
      </c>
      <c r="BC29" s="43"/>
      <c r="BD29" s="43"/>
      <c r="BE29" s="147" t="e">
        <f t="shared" si="21"/>
        <v>#DIV/0!</v>
      </c>
      <c r="BF29" s="43">
        <f t="shared" si="22"/>
        <v>8248</v>
      </c>
      <c r="BG29" s="43">
        <f t="shared" si="22"/>
        <v>0</v>
      </c>
      <c r="BH29" s="147">
        <f t="shared" si="24"/>
        <v>-1</v>
      </c>
      <c r="BI29" s="46"/>
      <c r="BJ29" s="46"/>
      <c r="BK29" s="46"/>
      <c r="BL29" s="46">
        <v>8248</v>
      </c>
      <c r="BM29" s="92" t="e">
        <f t="shared" si="25"/>
        <v>#DIV/0!</v>
      </c>
      <c r="BN29" s="77"/>
      <c r="BO29" s="77"/>
      <c r="BP29" s="77"/>
    </row>
    <row r="30" spans="1:68">
      <c r="A30" s="78" t="s">
        <v>24</v>
      </c>
      <c r="B30" s="78" t="s">
        <v>24</v>
      </c>
      <c r="C30" s="139" t="s">
        <v>109</v>
      </c>
      <c r="D30" s="80" t="s">
        <v>61</v>
      </c>
      <c r="E30" s="80" t="s">
        <v>61</v>
      </c>
      <c r="F30" s="80" t="s">
        <v>62</v>
      </c>
      <c r="G30" s="80" t="s">
        <v>62</v>
      </c>
      <c r="H30" s="39" t="s">
        <v>63</v>
      </c>
      <c r="I30" s="143"/>
      <c r="J30" s="144">
        <v>10000</v>
      </c>
      <c r="K30" s="144"/>
      <c r="L30" s="92">
        <f t="shared" si="0"/>
        <v>-1</v>
      </c>
      <c r="M30" s="144"/>
      <c r="N30" s="144"/>
      <c r="O30" s="92" t="e">
        <f t="shared" si="1"/>
        <v>#DIV/0!</v>
      </c>
      <c r="P30" s="144">
        <f t="shared" si="26"/>
        <v>10000</v>
      </c>
      <c r="Q30" s="144">
        <f t="shared" si="26"/>
        <v>0</v>
      </c>
      <c r="R30" s="92">
        <f t="shared" si="3"/>
        <v>-1</v>
      </c>
      <c r="S30" s="22"/>
      <c r="T30" s="22"/>
      <c r="U30" s="92" t="e">
        <f t="shared" si="4"/>
        <v>#DIV/0!</v>
      </c>
      <c r="V30" s="22">
        <f t="shared" si="5"/>
        <v>10000</v>
      </c>
      <c r="W30" s="22">
        <f t="shared" si="5"/>
        <v>0</v>
      </c>
      <c r="X30" s="92">
        <f t="shared" si="6"/>
        <v>-1</v>
      </c>
      <c r="Y30" s="38"/>
      <c r="Z30" s="38"/>
      <c r="AA30" s="147" t="e">
        <f t="shared" si="7"/>
        <v>#DIV/0!</v>
      </c>
      <c r="AB30" s="38">
        <f t="shared" si="8"/>
        <v>10000</v>
      </c>
      <c r="AC30" s="38">
        <f t="shared" si="8"/>
        <v>0</v>
      </c>
      <c r="AD30" s="147">
        <f t="shared" si="9"/>
        <v>-1</v>
      </c>
      <c r="AE30" s="39"/>
      <c r="AF30" s="143"/>
      <c r="AG30" s="147" t="e">
        <f t="shared" si="10"/>
        <v>#DIV/0!</v>
      </c>
      <c r="AH30" s="143">
        <f t="shared" si="11"/>
        <v>10000</v>
      </c>
      <c r="AI30" s="143">
        <f t="shared" si="11"/>
        <v>0</v>
      </c>
      <c r="AJ30" s="147">
        <f t="shared" si="12"/>
        <v>-1</v>
      </c>
      <c r="AK30" s="149"/>
      <c r="AL30" s="149"/>
      <c r="AM30" s="147" t="e">
        <f t="shared" si="13"/>
        <v>#DIV/0!</v>
      </c>
      <c r="AN30" s="149">
        <f t="shared" si="14"/>
        <v>10000</v>
      </c>
      <c r="AO30" s="149">
        <f t="shared" si="14"/>
        <v>0</v>
      </c>
      <c r="AP30" s="147">
        <f t="shared" si="15"/>
        <v>-1</v>
      </c>
      <c r="AQ30" s="149"/>
      <c r="AR30" s="149"/>
      <c r="AS30" s="147" t="e">
        <f t="shared" si="16"/>
        <v>#DIV/0!</v>
      </c>
      <c r="AT30" s="149">
        <f t="shared" si="17"/>
        <v>10000</v>
      </c>
      <c r="AU30" s="149">
        <f t="shared" si="17"/>
        <v>0</v>
      </c>
      <c r="AV30" s="147">
        <f t="shared" si="18"/>
        <v>-1</v>
      </c>
      <c r="AW30" s="43">
        <v>491</v>
      </c>
      <c r="AX30" s="43"/>
      <c r="AY30" s="147">
        <f t="shared" si="19"/>
        <v>-1</v>
      </c>
      <c r="AZ30" s="43">
        <f t="shared" si="20"/>
        <v>10491</v>
      </c>
      <c r="BA30" s="43">
        <f t="shared" si="20"/>
        <v>0</v>
      </c>
      <c r="BB30" s="147">
        <f t="shared" si="23"/>
        <v>-1</v>
      </c>
      <c r="BC30" s="43"/>
      <c r="BD30" s="43"/>
      <c r="BE30" s="147" t="e">
        <f t="shared" si="21"/>
        <v>#DIV/0!</v>
      </c>
      <c r="BF30" s="43">
        <f t="shared" si="22"/>
        <v>10491</v>
      </c>
      <c r="BG30" s="43">
        <f t="shared" si="22"/>
        <v>0</v>
      </c>
      <c r="BH30" s="147">
        <f t="shared" si="24"/>
        <v>-1</v>
      </c>
      <c r="BI30" s="46"/>
      <c r="BJ30" s="46"/>
      <c r="BK30" s="46"/>
      <c r="BL30" s="46">
        <v>10491</v>
      </c>
      <c r="BM30" s="92" t="e">
        <f t="shared" si="25"/>
        <v>#DIV/0!</v>
      </c>
      <c r="BN30" s="77"/>
      <c r="BO30" s="77"/>
      <c r="BP30" s="77"/>
    </row>
    <row r="31" spans="1:68">
      <c r="A31" s="78" t="s">
        <v>24</v>
      </c>
      <c r="B31" s="78" t="s">
        <v>24</v>
      </c>
      <c r="C31" s="139" t="s">
        <v>110</v>
      </c>
      <c r="D31" s="80" t="s">
        <v>102</v>
      </c>
      <c r="E31" s="80" t="s">
        <v>102</v>
      </c>
      <c r="F31" s="80" t="s">
        <v>76</v>
      </c>
      <c r="G31" s="80" t="s">
        <v>77</v>
      </c>
      <c r="H31" s="22" t="s">
        <v>103</v>
      </c>
      <c r="I31" s="143"/>
      <c r="J31" s="144">
        <v>2591</v>
      </c>
      <c r="K31" s="144"/>
      <c r="L31" s="92">
        <f t="shared" si="0"/>
        <v>-1</v>
      </c>
      <c r="M31" s="144"/>
      <c r="N31" s="144"/>
      <c r="O31" s="92" t="e">
        <f t="shared" si="1"/>
        <v>#DIV/0!</v>
      </c>
      <c r="P31" s="144">
        <f t="shared" si="26"/>
        <v>2591</v>
      </c>
      <c r="Q31" s="144">
        <f t="shared" si="26"/>
        <v>0</v>
      </c>
      <c r="R31" s="92">
        <f t="shared" si="3"/>
        <v>-1</v>
      </c>
      <c r="S31" s="22"/>
      <c r="T31" s="22"/>
      <c r="U31" s="92" t="e">
        <f t="shared" si="4"/>
        <v>#DIV/0!</v>
      </c>
      <c r="V31" s="22">
        <f t="shared" si="5"/>
        <v>2591</v>
      </c>
      <c r="W31" s="22">
        <f t="shared" si="5"/>
        <v>0</v>
      </c>
      <c r="X31" s="92">
        <f t="shared" si="6"/>
        <v>-1</v>
      </c>
      <c r="Y31" s="38"/>
      <c r="Z31" s="38"/>
      <c r="AA31" s="147" t="e">
        <f t="shared" si="7"/>
        <v>#DIV/0!</v>
      </c>
      <c r="AB31" s="38">
        <f t="shared" si="8"/>
        <v>2591</v>
      </c>
      <c r="AC31" s="38">
        <f t="shared" si="8"/>
        <v>0</v>
      </c>
      <c r="AD31" s="147">
        <f t="shared" si="9"/>
        <v>-1</v>
      </c>
      <c r="AE31" s="39"/>
      <c r="AF31" s="143"/>
      <c r="AG31" s="147" t="e">
        <f t="shared" si="10"/>
        <v>#DIV/0!</v>
      </c>
      <c r="AH31" s="143">
        <f t="shared" si="11"/>
        <v>2591</v>
      </c>
      <c r="AI31" s="143">
        <f t="shared" si="11"/>
        <v>0</v>
      </c>
      <c r="AJ31" s="147">
        <f t="shared" si="12"/>
        <v>-1</v>
      </c>
      <c r="AK31" s="149"/>
      <c r="AL31" s="149"/>
      <c r="AM31" s="147" t="e">
        <f t="shared" si="13"/>
        <v>#DIV/0!</v>
      </c>
      <c r="AN31" s="149">
        <f t="shared" si="14"/>
        <v>2591</v>
      </c>
      <c r="AO31" s="149">
        <f t="shared" si="14"/>
        <v>0</v>
      </c>
      <c r="AP31" s="147">
        <f t="shared" si="15"/>
        <v>-1</v>
      </c>
      <c r="AQ31" s="149"/>
      <c r="AR31" s="149"/>
      <c r="AS31" s="147" t="e">
        <f t="shared" si="16"/>
        <v>#DIV/0!</v>
      </c>
      <c r="AT31" s="149">
        <f t="shared" si="17"/>
        <v>2591</v>
      </c>
      <c r="AU31" s="149">
        <f t="shared" si="17"/>
        <v>0</v>
      </c>
      <c r="AV31" s="147">
        <f t="shared" si="18"/>
        <v>-1</v>
      </c>
      <c r="AW31" s="43"/>
      <c r="AX31" s="43"/>
      <c r="AY31" s="147" t="e">
        <f t="shared" si="19"/>
        <v>#DIV/0!</v>
      </c>
      <c r="AZ31" s="43">
        <f t="shared" si="20"/>
        <v>2591</v>
      </c>
      <c r="BA31" s="43">
        <f t="shared" si="20"/>
        <v>0</v>
      </c>
      <c r="BB31" s="147">
        <f t="shared" si="23"/>
        <v>-1</v>
      </c>
      <c r="BC31" s="43"/>
      <c r="BD31" s="43"/>
      <c r="BE31" s="147" t="e">
        <f t="shared" si="21"/>
        <v>#DIV/0!</v>
      </c>
      <c r="BF31" s="43">
        <f t="shared" si="22"/>
        <v>2591</v>
      </c>
      <c r="BG31" s="43">
        <f t="shared" si="22"/>
        <v>0</v>
      </c>
      <c r="BH31" s="147">
        <f t="shared" si="24"/>
        <v>-1</v>
      </c>
      <c r="BI31" s="46"/>
      <c r="BJ31" s="46"/>
      <c r="BK31" s="46"/>
      <c r="BL31" s="46">
        <v>2591</v>
      </c>
      <c r="BM31" s="92" t="e">
        <f t="shared" si="25"/>
        <v>#DIV/0!</v>
      </c>
      <c r="BN31" s="77"/>
      <c r="BO31" s="77"/>
      <c r="BP31" s="77"/>
    </row>
    <row r="32" spans="1:68">
      <c r="A32" s="78" t="s">
        <v>24</v>
      </c>
      <c r="B32" s="78" t="s">
        <v>24</v>
      </c>
      <c r="C32" s="139" t="s">
        <v>111</v>
      </c>
      <c r="D32" s="80" t="s">
        <v>61</v>
      </c>
      <c r="E32" s="80" t="s">
        <v>61</v>
      </c>
      <c r="F32" s="80" t="s">
        <v>76</v>
      </c>
      <c r="G32" s="80" t="s">
        <v>100</v>
      </c>
      <c r="H32" s="39" t="s">
        <v>112</v>
      </c>
      <c r="I32" s="143">
        <v>30</v>
      </c>
      <c r="J32" s="144">
        <v>20582</v>
      </c>
      <c r="K32" s="144">
        <v>14679</v>
      </c>
      <c r="L32" s="92">
        <f t="shared" si="0"/>
        <v>-0.28680400349820234</v>
      </c>
      <c r="M32" s="144">
        <v>3939</v>
      </c>
      <c r="N32" s="144"/>
      <c r="O32" s="92">
        <f t="shared" si="1"/>
        <v>-1</v>
      </c>
      <c r="P32" s="144">
        <f t="shared" si="26"/>
        <v>24521</v>
      </c>
      <c r="Q32" s="144">
        <f t="shared" si="26"/>
        <v>14679</v>
      </c>
      <c r="R32" s="92">
        <f t="shared" si="3"/>
        <v>-0.4013702540679418</v>
      </c>
      <c r="S32" s="22"/>
      <c r="T32" s="22">
        <v>3148</v>
      </c>
      <c r="U32" s="92" t="e">
        <f t="shared" si="4"/>
        <v>#DIV/0!</v>
      </c>
      <c r="V32" s="22">
        <f t="shared" si="5"/>
        <v>24521</v>
      </c>
      <c r="W32" s="22">
        <f t="shared" si="5"/>
        <v>17827</v>
      </c>
      <c r="X32" s="92">
        <f t="shared" si="6"/>
        <v>-0.27299049794054076</v>
      </c>
      <c r="Y32" s="38">
        <v>23069</v>
      </c>
      <c r="Z32" s="38">
        <v>13909</v>
      </c>
      <c r="AA32" s="147">
        <f t="shared" si="7"/>
        <v>-0.39706966058346704</v>
      </c>
      <c r="AB32" s="38">
        <f t="shared" si="8"/>
        <v>47590</v>
      </c>
      <c r="AC32" s="38">
        <f t="shared" si="8"/>
        <v>31736</v>
      </c>
      <c r="AD32" s="147">
        <f t="shared" si="9"/>
        <v>-0.3331372137003572</v>
      </c>
      <c r="AE32" s="39">
        <v>27908</v>
      </c>
      <c r="AF32" s="143">
        <v>8765</v>
      </c>
      <c r="AG32" s="147">
        <f t="shared" si="10"/>
        <v>-0.68593234914719792</v>
      </c>
      <c r="AH32" s="143">
        <f t="shared" si="11"/>
        <v>75498</v>
      </c>
      <c r="AI32" s="143">
        <f t="shared" si="11"/>
        <v>40501</v>
      </c>
      <c r="AJ32" s="147">
        <f t="shared" si="12"/>
        <v>-0.463548703276908</v>
      </c>
      <c r="AK32" s="149">
        <v>25192</v>
      </c>
      <c r="AL32" s="149">
        <v>9307</v>
      </c>
      <c r="AM32" s="147">
        <f t="shared" si="13"/>
        <v>-0.63055731978405838</v>
      </c>
      <c r="AN32" s="149">
        <f t="shared" si="14"/>
        <v>100690</v>
      </c>
      <c r="AO32" s="149">
        <f t="shared" si="14"/>
        <v>49808</v>
      </c>
      <c r="AP32" s="147">
        <f t="shared" si="15"/>
        <v>-0.50533320091369549</v>
      </c>
      <c r="AQ32" s="149"/>
      <c r="AR32" s="149">
        <v>11183</v>
      </c>
      <c r="AS32" s="147" t="e">
        <f t="shared" si="16"/>
        <v>#DIV/0!</v>
      </c>
      <c r="AT32" s="149">
        <f t="shared" si="17"/>
        <v>100690</v>
      </c>
      <c r="AU32" s="149">
        <f t="shared" si="17"/>
        <v>60991</v>
      </c>
      <c r="AV32" s="147">
        <f t="shared" si="18"/>
        <v>-0.39426954017280758</v>
      </c>
      <c r="AW32" s="43">
        <v>16800</v>
      </c>
      <c r="AX32" s="43">
        <v>6109</v>
      </c>
      <c r="AY32" s="147">
        <f t="shared" si="19"/>
        <v>-0.63636904761904756</v>
      </c>
      <c r="AZ32" s="43">
        <f t="shared" si="20"/>
        <v>117490</v>
      </c>
      <c r="BA32" s="43">
        <f t="shared" si="20"/>
        <v>67100</v>
      </c>
      <c r="BB32" s="147">
        <f t="shared" si="23"/>
        <v>-0.42888756489914037</v>
      </c>
      <c r="BC32" s="43">
        <v>24480</v>
      </c>
      <c r="BD32" s="43"/>
      <c r="BE32" s="147">
        <f t="shared" si="21"/>
        <v>-1</v>
      </c>
      <c r="BF32" s="43">
        <f t="shared" si="22"/>
        <v>141970</v>
      </c>
      <c r="BG32" s="43">
        <f t="shared" si="22"/>
        <v>67100</v>
      </c>
      <c r="BH32" s="147">
        <f t="shared" si="24"/>
        <v>-0.52736493625413816</v>
      </c>
      <c r="BI32" s="46"/>
      <c r="BJ32" s="46">
        <v>18985</v>
      </c>
      <c r="BK32" s="46"/>
      <c r="BL32" s="46">
        <v>160955</v>
      </c>
      <c r="BM32" s="92">
        <f t="shared" si="25"/>
        <v>0.22366666666666665</v>
      </c>
      <c r="BN32" s="77"/>
      <c r="BO32" s="77"/>
      <c r="BP32" s="77"/>
    </row>
    <row r="33" spans="1:68">
      <c r="A33" s="78" t="s">
        <v>24</v>
      </c>
      <c r="B33" s="78" t="s">
        <v>24</v>
      </c>
      <c r="C33" s="139" t="s">
        <v>113</v>
      </c>
      <c r="D33" s="80" t="s">
        <v>114</v>
      </c>
      <c r="E33" s="80" t="s">
        <v>114</v>
      </c>
      <c r="F33" s="80" t="s">
        <v>76</v>
      </c>
      <c r="G33" s="80" t="s">
        <v>106</v>
      </c>
      <c r="H33" s="39" t="s">
        <v>112</v>
      </c>
      <c r="I33" s="143"/>
      <c r="J33" s="144">
        <v>7088</v>
      </c>
      <c r="K33" s="144"/>
      <c r="L33" s="92">
        <f t="shared" si="0"/>
        <v>-1</v>
      </c>
      <c r="M33" s="144"/>
      <c r="N33" s="144"/>
      <c r="O33" s="92" t="e">
        <f t="shared" si="1"/>
        <v>#DIV/0!</v>
      </c>
      <c r="P33" s="144">
        <f t="shared" si="26"/>
        <v>7088</v>
      </c>
      <c r="Q33" s="144">
        <f t="shared" si="26"/>
        <v>0</v>
      </c>
      <c r="R33" s="92">
        <f t="shared" si="3"/>
        <v>-1</v>
      </c>
      <c r="S33" s="22"/>
      <c r="T33" s="22"/>
      <c r="U33" s="92" t="e">
        <f t="shared" si="4"/>
        <v>#DIV/0!</v>
      </c>
      <c r="V33" s="22">
        <f t="shared" si="5"/>
        <v>7088</v>
      </c>
      <c r="W33" s="22">
        <f t="shared" si="5"/>
        <v>0</v>
      </c>
      <c r="X33" s="92">
        <f t="shared" si="6"/>
        <v>-1</v>
      </c>
      <c r="Y33" s="38"/>
      <c r="Z33" s="38"/>
      <c r="AA33" s="147" t="e">
        <f t="shared" si="7"/>
        <v>#DIV/0!</v>
      </c>
      <c r="AB33" s="38">
        <f t="shared" si="8"/>
        <v>7088</v>
      </c>
      <c r="AC33" s="38">
        <f t="shared" si="8"/>
        <v>0</v>
      </c>
      <c r="AD33" s="147">
        <f t="shared" si="9"/>
        <v>-1</v>
      </c>
      <c r="AE33" s="39"/>
      <c r="AF33" s="143"/>
      <c r="AG33" s="147" t="e">
        <f t="shared" si="10"/>
        <v>#DIV/0!</v>
      </c>
      <c r="AH33" s="143">
        <f t="shared" si="11"/>
        <v>7088</v>
      </c>
      <c r="AI33" s="143">
        <f t="shared" si="11"/>
        <v>0</v>
      </c>
      <c r="AJ33" s="147">
        <f t="shared" si="12"/>
        <v>-1</v>
      </c>
      <c r="AK33" s="149"/>
      <c r="AL33" s="149"/>
      <c r="AM33" s="147" t="e">
        <f t="shared" si="13"/>
        <v>#DIV/0!</v>
      </c>
      <c r="AN33" s="149">
        <f t="shared" si="14"/>
        <v>7088</v>
      </c>
      <c r="AO33" s="149">
        <f t="shared" si="14"/>
        <v>0</v>
      </c>
      <c r="AP33" s="147">
        <f t="shared" si="15"/>
        <v>-1</v>
      </c>
      <c r="AQ33" s="149"/>
      <c r="AR33" s="149"/>
      <c r="AS33" s="147" t="e">
        <f t="shared" si="16"/>
        <v>#DIV/0!</v>
      </c>
      <c r="AT33" s="149">
        <f t="shared" si="17"/>
        <v>7088</v>
      </c>
      <c r="AU33" s="149">
        <f t="shared" si="17"/>
        <v>0</v>
      </c>
      <c r="AV33" s="147">
        <f t="shared" si="18"/>
        <v>-1</v>
      </c>
      <c r="AW33" s="43"/>
      <c r="AX33" s="43"/>
      <c r="AY33" s="147" t="e">
        <f t="shared" si="19"/>
        <v>#DIV/0!</v>
      </c>
      <c r="AZ33" s="43">
        <f t="shared" si="20"/>
        <v>7088</v>
      </c>
      <c r="BA33" s="43">
        <f t="shared" si="20"/>
        <v>0</v>
      </c>
      <c r="BB33" s="147">
        <f t="shared" si="23"/>
        <v>-1</v>
      </c>
      <c r="BC33" s="43"/>
      <c r="BD33" s="43"/>
      <c r="BE33" s="147" t="e">
        <f t="shared" si="21"/>
        <v>#DIV/0!</v>
      </c>
      <c r="BF33" s="43">
        <f t="shared" si="22"/>
        <v>7088</v>
      </c>
      <c r="BG33" s="43">
        <f t="shared" si="22"/>
        <v>0</v>
      </c>
      <c r="BH33" s="147">
        <f t="shared" si="24"/>
        <v>-1</v>
      </c>
      <c r="BI33" s="46"/>
      <c r="BJ33" s="46"/>
      <c r="BK33" s="46"/>
      <c r="BL33" s="46">
        <v>7088</v>
      </c>
      <c r="BM33" s="92" t="e">
        <f t="shared" si="25"/>
        <v>#DIV/0!</v>
      </c>
      <c r="BN33" s="77"/>
      <c r="BO33" s="77"/>
      <c r="BP33" s="77"/>
    </row>
    <row r="34" spans="1:68">
      <c r="A34" s="78" t="s">
        <v>24</v>
      </c>
      <c r="B34" s="78" t="s">
        <v>24</v>
      </c>
      <c r="C34" s="139" t="s">
        <v>115</v>
      </c>
      <c r="D34" s="80" t="s">
        <v>114</v>
      </c>
      <c r="E34" s="80" t="s">
        <v>114</v>
      </c>
      <c r="F34" s="80" t="s">
        <v>76</v>
      </c>
      <c r="G34" s="80" t="s">
        <v>106</v>
      </c>
      <c r="H34" s="39" t="s">
        <v>112</v>
      </c>
      <c r="I34" s="143">
        <v>200</v>
      </c>
      <c r="J34" s="144">
        <v>91657.279999999999</v>
      </c>
      <c r="K34" s="144">
        <v>218873.82</v>
      </c>
      <c r="L34" s="92">
        <f t="shared" si="0"/>
        <v>1.3879589269941244</v>
      </c>
      <c r="M34" s="144"/>
      <c r="N34" s="144">
        <v>131893.4</v>
      </c>
      <c r="O34" s="92" t="e">
        <f t="shared" si="1"/>
        <v>#DIV/0!</v>
      </c>
      <c r="P34" s="144">
        <f t="shared" si="26"/>
        <v>91657.279999999999</v>
      </c>
      <c r="Q34" s="144">
        <f t="shared" si="26"/>
        <v>350767.22</v>
      </c>
      <c r="R34" s="92">
        <f t="shared" si="3"/>
        <v>2.8269433699101696</v>
      </c>
      <c r="S34" s="22">
        <v>98407.6</v>
      </c>
      <c r="T34" s="22">
        <v>143496.71</v>
      </c>
      <c r="U34" s="92">
        <f t="shared" si="4"/>
        <v>0.45818727415362215</v>
      </c>
      <c r="V34" s="22">
        <f t="shared" si="5"/>
        <v>190064.88</v>
      </c>
      <c r="W34" s="22">
        <f t="shared" si="5"/>
        <v>494263.92999999993</v>
      </c>
      <c r="X34" s="92">
        <f t="shared" si="6"/>
        <v>1.6005011025708691</v>
      </c>
      <c r="Y34" s="38">
        <v>88389.8</v>
      </c>
      <c r="Z34" s="38">
        <v>34200.39</v>
      </c>
      <c r="AA34" s="147">
        <f t="shared" si="7"/>
        <v>-0.61307311477116144</v>
      </c>
      <c r="AB34" s="38">
        <f t="shared" si="8"/>
        <v>278454.68</v>
      </c>
      <c r="AC34" s="38">
        <f t="shared" si="8"/>
        <v>528464.31999999995</v>
      </c>
      <c r="AD34" s="147">
        <f t="shared" si="9"/>
        <v>0.89784678785071947</v>
      </c>
      <c r="AE34" s="39">
        <v>181882.45</v>
      </c>
      <c r="AF34" s="143">
        <v>134290.18</v>
      </c>
      <c r="AG34" s="147">
        <f t="shared" si="10"/>
        <v>-0.26166499296661117</v>
      </c>
      <c r="AH34" s="143">
        <f t="shared" si="11"/>
        <v>460337.13</v>
      </c>
      <c r="AI34" s="143">
        <f t="shared" si="11"/>
        <v>662754.5</v>
      </c>
      <c r="AJ34" s="147">
        <f t="shared" si="12"/>
        <v>0.43971549720527658</v>
      </c>
      <c r="AK34" s="149">
        <v>187566.88</v>
      </c>
      <c r="AL34" s="149">
        <v>128859.37</v>
      </c>
      <c r="AM34" s="147">
        <f t="shared" si="13"/>
        <v>-0.31299507674275973</v>
      </c>
      <c r="AN34" s="149">
        <f t="shared" si="14"/>
        <v>647904.01</v>
      </c>
      <c r="AO34" s="149">
        <f t="shared" si="14"/>
        <v>791613.87</v>
      </c>
      <c r="AP34" s="147">
        <f t="shared" si="15"/>
        <v>0.22180733223120508</v>
      </c>
      <c r="AQ34" s="149">
        <v>130044.44</v>
      </c>
      <c r="AR34" s="149">
        <v>273758.71999999997</v>
      </c>
      <c r="AS34" s="147">
        <f t="shared" si="16"/>
        <v>1.1051166816512876</v>
      </c>
      <c r="AT34" s="149">
        <f t="shared" si="17"/>
        <v>777948.45</v>
      </c>
      <c r="AU34" s="149">
        <f t="shared" si="17"/>
        <v>1065372.5899999999</v>
      </c>
      <c r="AV34" s="147">
        <f t="shared" si="18"/>
        <v>0.36946424920571519</v>
      </c>
      <c r="AW34" s="43">
        <v>128967.95</v>
      </c>
      <c r="AX34" s="43">
        <v>121546.09</v>
      </c>
      <c r="AY34" s="147">
        <f t="shared" si="19"/>
        <v>-5.7548096251820668E-2</v>
      </c>
      <c r="AZ34" s="43">
        <f t="shared" si="20"/>
        <v>906916.39999999991</v>
      </c>
      <c r="BA34" s="43">
        <f t="shared" si="20"/>
        <v>1186918.68</v>
      </c>
      <c r="BB34" s="147">
        <f t="shared" si="23"/>
        <v>0.30874100413224426</v>
      </c>
      <c r="BC34" s="43">
        <v>101883.54</v>
      </c>
      <c r="BD34" s="43">
        <v>139207.99</v>
      </c>
      <c r="BE34" s="147">
        <f t="shared" si="21"/>
        <v>0.36634425933767112</v>
      </c>
      <c r="BF34" s="43">
        <f t="shared" si="22"/>
        <v>1008799.94</v>
      </c>
      <c r="BG34" s="43">
        <f t="shared" si="22"/>
        <v>1326126.67</v>
      </c>
      <c r="BH34" s="147">
        <f t="shared" si="24"/>
        <v>0.31455863290396313</v>
      </c>
      <c r="BI34" s="46">
        <v>164644.69</v>
      </c>
      <c r="BJ34" s="46">
        <v>214221.12</v>
      </c>
      <c r="BK34" s="46">
        <v>171825.22</v>
      </c>
      <c r="BL34" s="46">
        <v>1559490.97</v>
      </c>
      <c r="BM34" s="92">
        <f t="shared" si="25"/>
        <v>0.66306333499999992</v>
      </c>
      <c r="BN34" s="77"/>
      <c r="BO34" s="77"/>
      <c r="BP34" s="77"/>
    </row>
    <row r="35" spans="1:68">
      <c r="A35" s="78" t="s">
        <v>24</v>
      </c>
      <c r="B35" s="78" t="s">
        <v>24</v>
      </c>
      <c r="C35" s="139" t="s">
        <v>116</v>
      </c>
      <c r="D35" s="80" t="s">
        <v>114</v>
      </c>
      <c r="E35" s="80" t="s">
        <v>114</v>
      </c>
      <c r="F35" s="80" t="s">
        <v>76</v>
      </c>
      <c r="G35" s="80" t="s">
        <v>96</v>
      </c>
      <c r="H35" s="39" t="s">
        <v>112</v>
      </c>
      <c r="I35" s="143">
        <v>60</v>
      </c>
      <c r="J35" s="144">
        <v>16779</v>
      </c>
      <c r="K35" s="144">
        <v>37387</v>
      </c>
      <c r="L35" s="92">
        <f t="shared" si="0"/>
        <v>1.2282019190654987</v>
      </c>
      <c r="M35" s="144"/>
      <c r="N35" s="144"/>
      <c r="O35" s="92" t="e">
        <f t="shared" si="1"/>
        <v>#DIV/0!</v>
      </c>
      <c r="P35" s="144">
        <f t="shared" si="26"/>
        <v>16779</v>
      </c>
      <c r="Q35" s="144">
        <f t="shared" si="26"/>
        <v>37387</v>
      </c>
      <c r="R35" s="92">
        <f t="shared" si="3"/>
        <v>1.2282019190654987</v>
      </c>
      <c r="S35" s="22">
        <v>7332</v>
      </c>
      <c r="T35" s="22"/>
      <c r="U35" s="92">
        <f t="shared" si="4"/>
        <v>-1</v>
      </c>
      <c r="V35" s="22">
        <f t="shared" si="5"/>
        <v>24111</v>
      </c>
      <c r="W35" s="22">
        <f t="shared" si="5"/>
        <v>37387</v>
      </c>
      <c r="X35" s="92">
        <f t="shared" si="6"/>
        <v>0.55062004894031769</v>
      </c>
      <c r="Y35" s="38">
        <v>49926</v>
      </c>
      <c r="Z35" s="38">
        <v>71744</v>
      </c>
      <c r="AA35" s="147">
        <f t="shared" si="7"/>
        <v>0.43700677001962895</v>
      </c>
      <c r="AB35" s="38">
        <f t="shared" si="8"/>
        <v>74037</v>
      </c>
      <c r="AC35" s="38">
        <f t="shared" si="8"/>
        <v>109131</v>
      </c>
      <c r="AD35" s="147">
        <f t="shared" si="9"/>
        <v>0.47400624012318171</v>
      </c>
      <c r="AE35" s="39">
        <v>57887</v>
      </c>
      <c r="AF35" s="143">
        <f>85422-575</f>
        <v>84847</v>
      </c>
      <c r="AG35" s="147">
        <f t="shared" si="10"/>
        <v>0.46573496640005518</v>
      </c>
      <c r="AH35" s="143">
        <f t="shared" si="11"/>
        <v>131924</v>
      </c>
      <c r="AI35" s="143">
        <f t="shared" si="11"/>
        <v>193978</v>
      </c>
      <c r="AJ35" s="147">
        <f t="shared" si="12"/>
        <v>0.47037688366028929</v>
      </c>
      <c r="AK35" s="149">
        <v>40556</v>
      </c>
      <c r="AL35" s="149">
        <f>20243+141304</f>
        <v>161547</v>
      </c>
      <c r="AM35" s="147">
        <f t="shared" si="13"/>
        <v>2.9833070322517012</v>
      </c>
      <c r="AN35" s="149">
        <f t="shared" si="14"/>
        <v>172480</v>
      </c>
      <c r="AO35" s="149">
        <f t="shared" si="14"/>
        <v>355525</v>
      </c>
      <c r="AP35" s="147">
        <f t="shared" si="15"/>
        <v>1.061253478664193</v>
      </c>
      <c r="AQ35" s="149">
        <v>50598</v>
      </c>
      <c r="AR35" s="149">
        <v>25131</v>
      </c>
      <c r="AS35" s="147">
        <f t="shared" si="16"/>
        <v>-0.50332028933949957</v>
      </c>
      <c r="AT35" s="149">
        <f t="shared" si="17"/>
        <v>223078</v>
      </c>
      <c r="AU35" s="149">
        <f t="shared" si="17"/>
        <v>380656</v>
      </c>
      <c r="AV35" s="147">
        <f t="shared" si="18"/>
        <v>0.70638072781717609</v>
      </c>
      <c r="AW35" s="43">
        <v>56103</v>
      </c>
      <c r="AX35" s="43">
        <v>17220</v>
      </c>
      <c r="AY35" s="147">
        <f t="shared" si="19"/>
        <v>-0.69306454200310141</v>
      </c>
      <c r="AZ35" s="43">
        <f t="shared" si="20"/>
        <v>279181</v>
      </c>
      <c r="BA35" s="43">
        <f t="shared" si="20"/>
        <v>397876</v>
      </c>
      <c r="BB35" s="147">
        <f t="shared" si="23"/>
        <v>0.42515429058567733</v>
      </c>
      <c r="BC35" s="43">
        <v>42232</v>
      </c>
      <c r="BD35" s="43">
        <f>40340+24037</f>
        <v>64377</v>
      </c>
      <c r="BE35" s="147">
        <f t="shared" si="21"/>
        <v>0.52436541011555216</v>
      </c>
      <c r="BF35" s="43">
        <f t="shared" si="22"/>
        <v>321413</v>
      </c>
      <c r="BG35" s="43">
        <f t="shared" si="22"/>
        <v>462253</v>
      </c>
      <c r="BH35" s="147">
        <f t="shared" si="24"/>
        <v>0.43819011676565656</v>
      </c>
      <c r="BI35" s="46">
        <v>50318</v>
      </c>
      <c r="BJ35" s="46">
        <v>21001</v>
      </c>
      <c r="BK35" s="46"/>
      <c r="BL35" s="46">
        <v>392732</v>
      </c>
      <c r="BM35" s="92">
        <f t="shared" si="25"/>
        <v>0.77042166666666667</v>
      </c>
      <c r="BN35" s="77"/>
      <c r="BO35" s="77"/>
      <c r="BP35" s="77"/>
    </row>
    <row r="36" spans="1:68">
      <c r="A36" s="78" t="s">
        <v>24</v>
      </c>
      <c r="B36" s="22" t="s">
        <v>24</v>
      </c>
      <c r="C36" s="86" t="s">
        <v>117</v>
      </c>
      <c r="D36" s="140" t="s">
        <v>61</v>
      </c>
      <c r="E36" s="80" t="s">
        <v>61</v>
      </c>
      <c r="F36" s="22" t="s">
        <v>70</v>
      </c>
      <c r="G36" s="22" t="s">
        <v>70</v>
      </c>
      <c r="H36" s="22" t="s">
        <v>63</v>
      </c>
      <c r="I36" s="143">
        <v>0</v>
      </c>
      <c r="J36" s="144"/>
      <c r="K36" s="144"/>
      <c r="L36" s="92" t="e">
        <f t="shared" si="0"/>
        <v>#DIV/0!</v>
      </c>
      <c r="M36" s="144"/>
      <c r="N36" s="144"/>
      <c r="O36" s="92" t="e">
        <f t="shared" si="1"/>
        <v>#DIV/0!</v>
      </c>
      <c r="P36" s="144">
        <f t="shared" si="26"/>
        <v>0</v>
      </c>
      <c r="Q36" s="144">
        <f t="shared" si="26"/>
        <v>0</v>
      </c>
      <c r="R36" s="92" t="e">
        <f t="shared" si="3"/>
        <v>#DIV/0!</v>
      </c>
      <c r="S36" s="22">
        <v>26405</v>
      </c>
      <c r="T36" s="22"/>
      <c r="U36" s="92">
        <f t="shared" si="4"/>
        <v>-1</v>
      </c>
      <c r="V36" s="22">
        <f t="shared" si="5"/>
        <v>26405</v>
      </c>
      <c r="W36" s="22">
        <f t="shared" si="5"/>
        <v>0</v>
      </c>
      <c r="X36" s="92">
        <f t="shared" si="6"/>
        <v>-1</v>
      </c>
      <c r="Y36" s="38"/>
      <c r="Z36" s="38"/>
      <c r="AA36" s="147" t="e">
        <f t="shared" si="7"/>
        <v>#DIV/0!</v>
      </c>
      <c r="AB36" s="38">
        <f t="shared" si="8"/>
        <v>26405</v>
      </c>
      <c r="AC36" s="38">
        <f t="shared" si="8"/>
        <v>0</v>
      </c>
      <c r="AD36" s="147">
        <f t="shared" si="9"/>
        <v>-1</v>
      </c>
      <c r="AE36" s="39"/>
      <c r="AF36" s="143"/>
      <c r="AG36" s="147" t="e">
        <f t="shared" si="10"/>
        <v>#DIV/0!</v>
      </c>
      <c r="AH36" s="143">
        <f t="shared" si="11"/>
        <v>26405</v>
      </c>
      <c r="AI36" s="143">
        <f t="shared" si="11"/>
        <v>0</v>
      </c>
      <c r="AJ36" s="147">
        <f t="shared" si="12"/>
        <v>-1</v>
      </c>
      <c r="AK36" s="149"/>
      <c r="AL36" s="149"/>
      <c r="AM36" s="147" t="e">
        <f t="shared" si="13"/>
        <v>#DIV/0!</v>
      </c>
      <c r="AN36" s="149">
        <f t="shared" si="14"/>
        <v>26405</v>
      </c>
      <c r="AO36" s="149">
        <f t="shared" si="14"/>
        <v>0</v>
      </c>
      <c r="AP36" s="147">
        <f t="shared" si="15"/>
        <v>-1</v>
      </c>
      <c r="AQ36" s="149"/>
      <c r="AR36" s="149"/>
      <c r="AS36" s="147" t="e">
        <f t="shared" si="16"/>
        <v>#DIV/0!</v>
      </c>
      <c r="AT36" s="149">
        <f t="shared" si="17"/>
        <v>26405</v>
      </c>
      <c r="AU36" s="149">
        <f t="shared" si="17"/>
        <v>0</v>
      </c>
      <c r="AV36" s="147">
        <f t="shared" si="18"/>
        <v>-1</v>
      </c>
      <c r="AW36" s="43"/>
      <c r="AX36" s="43"/>
      <c r="AY36" s="147" t="e">
        <f t="shared" si="19"/>
        <v>#DIV/0!</v>
      </c>
      <c r="AZ36" s="43">
        <f t="shared" si="20"/>
        <v>26405</v>
      </c>
      <c r="BA36" s="43">
        <f t="shared" si="20"/>
        <v>0</v>
      </c>
      <c r="BB36" s="147">
        <f t="shared" si="23"/>
        <v>-1</v>
      </c>
      <c r="BC36" s="43"/>
      <c r="BD36" s="43"/>
      <c r="BE36" s="147" t="e">
        <f t="shared" si="21"/>
        <v>#DIV/0!</v>
      </c>
      <c r="BF36" s="43">
        <f t="shared" si="22"/>
        <v>26405</v>
      </c>
      <c r="BG36" s="43">
        <f t="shared" si="22"/>
        <v>0</v>
      </c>
      <c r="BH36" s="147">
        <f t="shared" si="24"/>
        <v>-1</v>
      </c>
      <c r="BI36" s="46"/>
      <c r="BJ36" s="46"/>
      <c r="BK36" s="46"/>
      <c r="BL36" s="46">
        <v>26405</v>
      </c>
      <c r="BM36" s="92" t="e">
        <f t="shared" si="25"/>
        <v>#DIV/0!</v>
      </c>
      <c r="BN36" s="77"/>
      <c r="BO36" s="77"/>
      <c r="BP36" s="77"/>
    </row>
    <row r="37" spans="1:68">
      <c r="A37" s="78" t="s">
        <v>24</v>
      </c>
      <c r="B37" s="22" t="s">
        <v>24</v>
      </c>
      <c r="C37" s="109" t="s">
        <v>118</v>
      </c>
      <c r="D37" s="140" t="s">
        <v>61</v>
      </c>
      <c r="E37" s="80" t="s">
        <v>61</v>
      </c>
      <c r="F37" s="80" t="s">
        <v>76</v>
      </c>
      <c r="G37" s="80" t="s">
        <v>80</v>
      </c>
      <c r="H37" s="22" t="s">
        <v>103</v>
      </c>
      <c r="I37" s="143"/>
      <c r="J37" s="144">
        <v>50000</v>
      </c>
      <c r="K37" s="144"/>
      <c r="L37" s="92">
        <f t="shared" si="0"/>
        <v>-1</v>
      </c>
      <c r="M37" s="144">
        <v>39000</v>
      </c>
      <c r="N37" s="144">
        <v>20000</v>
      </c>
      <c r="O37" s="92">
        <f t="shared" si="1"/>
        <v>-0.48717948717948723</v>
      </c>
      <c r="P37" s="144">
        <f t="shared" si="26"/>
        <v>89000</v>
      </c>
      <c r="Q37" s="144">
        <f t="shared" si="26"/>
        <v>20000</v>
      </c>
      <c r="R37" s="92">
        <f t="shared" si="3"/>
        <v>-0.7752808988764045</v>
      </c>
      <c r="S37" s="22">
        <v>35000</v>
      </c>
      <c r="T37" s="22"/>
      <c r="U37" s="92">
        <f t="shared" si="4"/>
        <v>-1</v>
      </c>
      <c r="V37" s="22">
        <f t="shared" si="5"/>
        <v>124000</v>
      </c>
      <c r="W37" s="22">
        <f t="shared" si="5"/>
        <v>20000</v>
      </c>
      <c r="X37" s="92">
        <f t="shared" si="6"/>
        <v>-0.83870967741935487</v>
      </c>
      <c r="Y37" s="38">
        <v>190000</v>
      </c>
      <c r="Z37" s="38"/>
      <c r="AA37" s="147">
        <f t="shared" si="7"/>
        <v>-1</v>
      </c>
      <c r="AB37" s="38">
        <f t="shared" si="8"/>
        <v>314000</v>
      </c>
      <c r="AC37" s="38">
        <f t="shared" si="8"/>
        <v>20000</v>
      </c>
      <c r="AD37" s="147">
        <f t="shared" si="9"/>
        <v>-0.93630573248407645</v>
      </c>
      <c r="AE37" s="39">
        <v>50000</v>
      </c>
      <c r="AF37" s="143"/>
      <c r="AG37" s="147">
        <f t="shared" si="10"/>
        <v>-1</v>
      </c>
      <c r="AH37" s="143">
        <f t="shared" si="11"/>
        <v>364000</v>
      </c>
      <c r="AI37" s="143">
        <f t="shared" si="11"/>
        <v>20000</v>
      </c>
      <c r="AJ37" s="147">
        <f t="shared" si="12"/>
        <v>-0.94505494505494503</v>
      </c>
      <c r="AK37" s="149">
        <v>139500</v>
      </c>
      <c r="AL37" s="149">
        <v>10000</v>
      </c>
      <c r="AM37" s="147">
        <f t="shared" si="13"/>
        <v>-0.92831541218637992</v>
      </c>
      <c r="AN37" s="149">
        <f t="shared" si="14"/>
        <v>503500</v>
      </c>
      <c r="AO37" s="149">
        <f t="shared" si="14"/>
        <v>30000</v>
      </c>
      <c r="AP37" s="147">
        <f t="shared" si="15"/>
        <v>-0.94041708043694139</v>
      </c>
      <c r="AQ37" s="149">
        <v>52000</v>
      </c>
      <c r="AR37" s="149"/>
      <c r="AS37" s="147">
        <f t="shared" si="16"/>
        <v>-1</v>
      </c>
      <c r="AT37" s="149">
        <f t="shared" si="17"/>
        <v>555500</v>
      </c>
      <c r="AU37" s="149">
        <f t="shared" si="17"/>
        <v>30000</v>
      </c>
      <c r="AV37" s="147">
        <f t="shared" si="18"/>
        <v>-0.94599459945994602</v>
      </c>
      <c r="AW37" s="43"/>
      <c r="AX37" s="43"/>
      <c r="AY37" s="147" t="e">
        <f t="shared" si="19"/>
        <v>#DIV/0!</v>
      </c>
      <c r="AZ37" s="43">
        <f t="shared" si="20"/>
        <v>555500</v>
      </c>
      <c r="BA37" s="43">
        <f t="shared" si="20"/>
        <v>30000</v>
      </c>
      <c r="BB37" s="147">
        <f t="shared" si="23"/>
        <v>-0.94599459945994602</v>
      </c>
      <c r="BC37" s="43">
        <v>30000</v>
      </c>
      <c r="BD37" s="43">
        <v>32000</v>
      </c>
      <c r="BE37" s="147">
        <f t="shared" si="21"/>
        <v>6.6666666666666652E-2</v>
      </c>
      <c r="BF37" s="43">
        <f t="shared" si="22"/>
        <v>585500</v>
      </c>
      <c r="BG37" s="43">
        <f t="shared" si="22"/>
        <v>62000</v>
      </c>
      <c r="BH37" s="147">
        <f t="shared" si="24"/>
        <v>-0.89410760034158843</v>
      </c>
      <c r="BI37" s="46">
        <v>27000</v>
      </c>
      <c r="BJ37" s="46"/>
      <c r="BK37" s="46">
        <v>28000</v>
      </c>
      <c r="BL37" s="46">
        <v>554479</v>
      </c>
      <c r="BM37" s="92" t="e">
        <f t="shared" si="25"/>
        <v>#DIV/0!</v>
      </c>
      <c r="BN37" s="77"/>
      <c r="BO37" s="77"/>
      <c r="BP37" s="77"/>
    </row>
    <row r="38" spans="1:68">
      <c r="A38" s="78" t="s">
        <v>24</v>
      </c>
      <c r="B38" s="22" t="s">
        <v>24</v>
      </c>
      <c r="C38" s="22" t="s">
        <v>119</v>
      </c>
      <c r="D38" s="85" t="s">
        <v>61</v>
      </c>
      <c r="E38" s="80" t="s">
        <v>61</v>
      </c>
      <c r="F38" s="80" t="s">
        <v>76</v>
      </c>
      <c r="G38" s="80" t="s">
        <v>80</v>
      </c>
      <c r="H38" s="22" t="s">
        <v>103</v>
      </c>
      <c r="I38" s="143"/>
      <c r="J38" s="144"/>
      <c r="K38" s="144">
        <v>5208.12</v>
      </c>
      <c r="L38" s="92" t="e">
        <f t="shared" si="0"/>
        <v>#DIV/0!</v>
      </c>
      <c r="M38" s="144"/>
      <c r="N38" s="144">
        <v>713</v>
      </c>
      <c r="O38" s="92" t="e">
        <f t="shared" si="1"/>
        <v>#DIV/0!</v>
      </c>
      <c r="P38" s="144">
        <f t="shared" si="26"/>
        <v>0</v>
      </c>
      <c r="Q38" s="144">
        <f t="shared" si="26"/>
        <v>5921.12</v>
      </c>
      <c r="R38" s="92" t="e">
        <f t="shared" si="3"/>
        <v>#DIV/0!</v>
      </c>
      <c r="S38" s="22"/>
      <c r="T38" s="22"/>
      <c r="U38" s="92" t="e">
        <f t="shared" si="4"/>
        <v>#DIV/0!</v>
      </c>
      <c r="V38" s="22">
        <f t="shared" si="5"/>
        <v>0</v>
      </c>
      <c r="W38" s="22">
        <f t="shared" si="5"/>
        <v>5921.12</v>
      </c>
      <c r="X38" s="92" t="e">
        <f t="shared" si="6"/>
        <v>#DIV/0!</v>
      </c>
      <c r="Y38" s="38"/>
      <c r="Z38" s="38"/>
      <c r="AA38" s="147" t="e">
        <f t="shared" si="7"/>
        <v>#DIV/0!</v>
      </c>
      <c r="AB38" s="38">
        <f t="shared" si="8"/>
        <v>0</v>
      </c>
      <c r="AC38" s="38">
        <f t="shared" si="8"/>
        <v>5921.12</v>
      </c>
      <c r="AD38" s="147" t="e">
        <f t="shared" si="9"/>
        <v>#DIV/0!</v>
      </c>
      <c r="AE38" s="39"/>
      <c r="AF38" s="143"/>
      <c r="AG38" s="147" t="e">
        <f t="shared" si="10"/>
        <v>#DIV/0!</v>
      </c>
      <c r="AH38" s="143">
        <f t="shared" si="11"/>
        <v>0</v>
      </c>
      <c r="AI38" s="143">
        <f t="shared" si="11"/>
        <v>5921.12</v>
      </c>
      <c r="AJ38" s="147" t="e">
        <f t="shared" si="12"/>
        <v>#DIV/0!</v>
      </c>
      <c r="AK38" s="38"/>
      <c r="AL38" s="149"/>
      <c r="AM38" s="147" t="e">
        <f t="shared" si="13"/>
        <v>#DIV/0!</v>
      </c>
      <c r="AN38" s="149">
        <f t="shared" si="14"/>
        <v>0</v>
      </c>
      <c r="AO38" s="149">
        <f t="shared" si="14"/>
        <v>5921.12</v>
      </c>
      <c r="AP38" s="147" t="e">
        <f t="shared" si="15"/>
        <v>#DIV/0!</v>
      </c>
      <c r="AQ38" s="149">
        <v>1971.76</v>
      </c>
      <c r="AR38" s="149"/>
      <c r="AS38" s="147">
        <f t="shared" si="16"/>
        <v>-1</v>
      </c>
      <c r="AT38" s="149">
        <f t="shared" si="17"/>
        <v>1971.76</v>
      </c>
      <c r="AU38" s="149">
        <f t="shared" si="17"/>
        <v>5921.12</v>
      </c>
      <c r="AV38" s="147">
        <f t="shared" si="18"/>
        <v>2.002961820911267</v>
      </c>
      <c r="AW38" s="43">
        <v>3472.08</v>
      </c>
      <c r="AX38" s="43"/>
      <c r="AY38" s="147">
        <f t="shared" si="19"/>
        <v>-1</v>
      </c>
      <c r="AZ38" s="43">
        <f t="shared" si="20"/>
        <v>5443.84</v>
      </c>
      <c r="BA38" s="43">
        <f t="shared" si="20"/>
        <v>5921.12</v>
      </c>
      <c r="BB38" s="147">
        <f t="shared" si="23"/>
        <v>8.7673407006818582E-2</v>
      </c>
      <c r="BC38" s="43">
        <v>885.4</v>
      </c>
      <c r="BD38" s="43"/>
      <c r="BE38" s="147">
        <f t="shared" si="21"/>
        <v>-1</v>
      </c>
      <c r="BF38" s="43">
        <f t="shared" si="22"/>
        <v>6329.24</v>
      </c>
      <c r="BG38" s="43">
        <f t="shared" si="22"/>
        <v>5921.12</v>
      </c>
      <c r="BH38" s="147">
        <f t="shared" si="24"/>
        <v>-6.4481675525023485E-2</v>
      </c>
      <c r="BI38" s="46">
        <v>3797.04</v>
      </c>
      <c r="BJ38" s="46">
        <v>2514.36</v>
      </c>
      <c r="BK38" s="46">
        <v>0</v>
      </c>
      <c r="BL38" s="46">
        <v>12640.64</v>
      </c>
      <c r="BM38" s="92" t="e">
        <f t="shared" si="25"/>
        <v>#DIV/0!</v>
      </c>
      <c r="BN38" s="77"/>
      <c r="BO38" s="77"/>
      <c r="BP38" s="77"/>
    </row>
    <row r="39" spans="1:68">
      <c r="A39" s="78" t="s">
        <v>24</v>
      </c>
      <c r="B39" s="22" t="s">
        <v>24</v>
      </c>
      <c r="C39" s="86" t="s">
        <v>120</v>
      </c>
      <c r="D39" s="85" t="s">
        <v>61</v>
      </c>
      <c r="E39" s="80" t="s">
        <v>61</v>
      </c>
      <c r="F39" s="80" t="s">
        <v>76</v>
      </c>
      <c r="G39" s="80" t="s">
        <v>80</v>
      </c>
      <c r="H39" s="22" t="s">
        <v>81</v>
      </c>
      <c r="I39" s="143">
        <v>10</v>
      </c>
      <c r="J39" s="144"/>
      <c r="K39" s="144"/>
      <c r="L39" s="92" t="e">
        <f t="shared" si="0"/>
        <v>#DIV/0!</v>
      </c>
      <c r="M39" s="144"/>
      <c r="N39" s="144"/>
      <c r="O39" s="92" t="e">
        <f t="shared" si="1"/>
        <v>#DIV/0!</v>
      </c>
      <c r="P39" s="144">
        <f t="shared" si="26"/>
        <v>0</v>
      </c>
      <c r="Q39" s="144">
        <f t="shared" si="26"/>
        <v>0</v>
      </c>
      <c r="R39" s="92" t="e">
        <f t="shared" si="3"/>
        <v>#DIV/0!</v>
      </c>
      <c r="S39" s="22"/>
      <c r="T39" s="22"/>
      <c r="U39" s="92" t="e">
        <f t="shared" si="4"/>
        <v>#DIV/0!</v>
      </c>
      <c r="V39" s="22">
        <f t="shared" si="5"/>
        <v>0</v>
      </c>
      <c r="W39" s="22">
        <f t="shared" si="5"/>
        <v>0</v>
      </c>
      <c r="X39" s="92" t="e">
        <f t="shared" si="6"/>
        <v>#DIV/0!</v>
      </c>
      <c r="Y39" s="38"/>
      <c r="Z39" s="38"/>
      <c r="AA39" s="147" t="e">
        <f t="shared" si="7"/>
        <v>#DIV/0!</v>
      </c>
      <c r="AB39" s="38">
        <f t="shared" si="8"/>
        <v>0</v>
      </c>
      <c r="AC39" s="38">
        <f t="shared" si="8"/>
        <v>0</v>
      </c>
      <c r="AD39" s="147" t="e">
        <f t="shared" si="9"/>
        <v>#DIV/0!</v>
      </c>
      <c r="AE39" s="39"/>
      <c r="AF39" s="143"/>
      <c r="AG39" s="147" t="e">
        <f t="shared" si="10"/>
        <v>#DIV/0!</v>
      </c>
      <c r="AH39" s="143">
        <f t="shared" si="11"/>
        <v>0</v>
      </c>
      <c r="AI39" s="143">
        <f t="shared" si="11"/>
        <v>0</v>
      </c>
      <c r="AJ39" s="147" t="e">
        <f t="shared" si="12"/>
        <v>#DIV/0!</v>
      </c>
      <c r="AK39" s="38"/>
      <c r="AL39" s="149"/>
      <c r="AM39" s="147" t="e">
        <f t="shared" si="13"/>
        <v>#DIV/0!</v>
      </c>
      <c r="AN39" s="149">
        <f t="shared" si="14"/>
        <v>0</v>
      </c>
      <c r="AO39" s="149">
        <f t="shared" si="14"/>
        <v>0</v>
      </c>
      <c r="AP39" s="147" t="e">
        <f t="shared" si="15"/>
        <v>#DIV/0!</v>
      </c>
      <c r="AQ39" s="149"/>
      <c r="AR39" s="149">
        <v>6789</v>
      </c>
      <c r="AS39" s="147" t="e">
        <f t="shared" si="16"/>
        <v>#DIV/0!</v>
      </c>
      <c r="AT39" s="149">
        <f t="shared" si="17"/>
        <v>0</v>
      </c>
      <c r="AU39" s="149">
        <f t="shared" si="17"/>
        <v>6789</v>
      </c>
      <c r="AV39" s="147" t="e">
        <f t="shared" si="18"/>
        <v>#DIV/0!</v>
      </c>
      <c r="AW39" s="43">
        <v>18173</v>
      </c>
      <c r="AX39" s="43"/>
      <c r="AY39" s="147">
        <f t="shared" si="19"/>
        <v>-1</v>
      </c>
      <c r="AZ39" s="43">
        <f t="shared" si="20"/>
        <v>18173</v>
      </c>
      <c r="BA39" s="43">
        <f t="shared" si="20"/>
        <v>6789</v>
      </c>
      <c r="BB39" s="147">
        <f t="shared" si="23"/>
        <v>-0.62642381555054194</v>
      </c>
      <c r="BC39" s="43">
        <v>10416</v>
      </c>
      <c r="BD39" s="43"/>
      <c r="BE39" s="147">
        <f t="shared" si="21"/>
        <v>-1</v>
      </c>
      <c r="BF39" s="43">
        <f t="shared" si="22"/>
        <v>28589</v>
      </c>
      <c r="BG39" s="43">
        <f t="shared" si="22"/>
        <v>6789</v>
      </c>
      <c r="BH39" s="147">
        <f t="shared" si="24"/>
        <v>-0.76253104340830391</v>
      </c>
      <c r="BI39" s="46"/>
      <c r="BJ39" s="46"/>
      <c r="BK39" s="46"/>
      <c r="BL39" s="46">
        <v>28589</v>
      </c>
      <c r="BM39" s="92">
        <f t="shared" si="25"/>
        <v>6.7889999999999992E-2</v>
      </c>
      <c r="BN39" s="77"/>
      <c r="BO39" s="77"/>
      <c r="BP39" s="77"/>
    </row>
    <row r="40" spans="1:68">
      <c r="A40" s="141" t="s">
        <v>24</v>
      </c>
      <c r="B40" s="142" t="s">
        <v>24</v>
      </c>
      <c r="C40" s="86" t="s">
        <v>121</v>
      </c>
      <c r="D40" s="85" t="s">
        <v>84</v>
      </c>
      <c r="E40" s="80" t="s">
        <v>84</v>
      </c>
      <c r="F40" s="80" t="s">
        <v>76</v>
      </c>
      <c r="G40" s="80" t="s">
        <v>100</v>
      </c>
      <c r="H40" s="39" t="s">
        <v>85</v>
      </c>
      <c r="I40" s="143">
        <v>370</v>
      </c>
      <c r="J40" s="144"/>
      <c r="K40" s="144">
        <v>128272</v>
      </c>
      <c r="L40" s="92" t="e">
        <f t="shared" si="0"/>
        <v>#DIV/0!</v>
      </c>
      <c r="M40" s="144"/>
      <c r="N40" s="144">
        <f>306557-6125</f>
        <v>300432</v>
      </c>
      <c r="O40" s="92" t="e">
        <f t="shared" si="1"/>
        <v>#DIV/0!</v>
      </c>
      <c r="P40" s="144">
        <f t="shared" si="26"/>
        <v>0</v>
      </c>
      <c r="Q40" s="144">
        <f t="shared" si="26"/>
        <v>428704</v>
      </c>
      <c r="R40" s="92" t="e">
        <f t="shared" si="3"/>
        <v>#DIV/0!</v>
      </c>
      <c r="S40" s="22"/>
      <c r="T40" s="22">
        <v>378127</v>
      </c>
      <c r="U40" s="92" t="e">
        <f t="shared" si="4"/>
        <v>#DIV/0!</v>
      </c>
      <c r="V40" s="22">
        <f t="shared" si="5"/>
        <v>0</v>
      </c>
      <c r="W40" s="22">
        <f t="shared" si="5"/>
        <v>806831</v>
      </c>
      <c r="X40" s="92" t="e">
        <f t="shared" si="6"/>
        <v>#DIV/0!</v>
      </c>
      <c r="Y40" s="38"/>
      <c r="Z40" s="38">
        <v>418240</v>
      </c>
      <c r="AA40" s="147" t="e">
        <f t="shared" si="7"/>
        <v>#DIV/0!</v>
      </c>
      <c r="AB40" s="38">
        <f t="shared" si="8"/>
        <v>0</v>
      </c>
      <c r="AC40" s="38">
        <f t="shared" si="8"/>
        <v>1225071</v>
      </c>
      <c r="AD40" s="147" t="e">
        <f t="shared" si="9"/>
        <v>#DIV/0!</v>
      </c>
      <c r="AE40" s="39"/>
      <c r="AF40" s="143">
        <v>306225</v>
      </c>
      <c r="AG40" s="147" t="e">
        <f t="shared" si="10"/>
        <v>#DIV/0!</v>
      </c>
      <c r="AH40" s="143">
        <f t="shared" si="11"/>
        <v>0</v>
      </c>
      <c r="AI40" s="143">
        <f t="shared" si="11"/>
        <v>1531296</v>
      </c>
      <c r="AJ40" s="147" t="e">
        <f t="shared" si="12"/>
        <v>#DIV/0!</v>
      </c>
      <c r="AK40" s="38"/>
      <c r="AL40" s="149">
        <v>574778</v>
      </c>
      <c r="AM40" s="147" t="e">
        <f t="shared" si="13"/>
        <v>#DIV/0!</v>
      </c>
      <c r="AN40" s="149">
        <f t="shared" si="14"/>
        <v>0</v>
      </c>
      <c r="AO40" s="149">
        <f t="shared" si="14"/>
        <v>2106074</v>
      </c>
      <c r="AP40" s="147" t="e">
        <f t="shared" si="15"/>
        <v>#DIV/0!</v>
      </c>
      <c r="AQ40" s="149"/>
      <c r="AR40" s="149">
        <v>166425</v>
      </c>
      <c r="AS40" s="147" t="e">
        <f t="shared" si="16"/>
        <v>#DIV/0!</v>
      </c>
      <c r="AT40" s="149">
        <f t="shared" si="17"/>
        <v>0</v>
      </c>
      <c r="AU40" s="149">
        <f t="shared" si="17"/>
        <v>2272499</v>
      </c>
      <c r="AV40" s="147" t="e">
        <f t="shared" si="18"/>
        <v>#DIV/0!</v>
      </c>
      <c r="AW40" s="43"/>
      <c r="AX40" s="43">
        <f>178386+17758+5061</f>
        <v>201205</v>
      </c>
      <c r="AY40" s="147" t="e">
        <f t="shared" si="19"/>
        <v>#DIV/0!</v>
      </c>
      <c r="AZ40" s="43">
        <f t="shared" si="20"/>
        <v>0</v>
      </c>
      <c r="BA40" s="43">
        <f t="shared" si="20"/>
        <v>2473704</v>
      </c>
      <c r="BB40" s="147" t="e">
        <f t="shared" si="23"/>
        <v>#DIV/0!</v>
      </c>
      <c r="BC40" s="43">
        <v>16307</v>
      </c>
      <c r="BD40" s="43">
        <v>218669</v>
      </c>
      <c r="BE40" s="147">
        <f t="shared" si="21"/>
        <v>12.409517385172013</v>
      </c>
      <c r="BF40" s="43">
        <f t="shared" si="22"/>
        <v>16307</v>
      </c>
      <c r="BG40" s="43">
        <f t="shared" si="22"/>
        <v>2692373</v>
      </c>
      <c r="BH40" s="147">
        <f t="shared" si="24"/>
        <v>164.10535352915926</v>
      </c>
      <c r="BI40" s="46">
        <v>397749</v>
      </c>
      <c r="BJ40" s="46">
        <v>198239</v>
      </c>
      <c r="BK40" s="46">
        <v>452484</v>
      </c>
      <c r="BL40" s="46">
        <v>1064779</v>
      </c>
      <c r="BM40" s="92">
        <f t="shared" si="25"/>
        <v>0.72766837837837839</v>
      </c>
      <c r="BN40" s="77"/>
      <c r="BO40" s="77"/>
      <c r="BP40" s="77"/>
    </row>
    <row r="41" spans="1:68">
      <c r="A41" s="141" t="s">
        <v>24</v>
      </c>
      <c r="B41" s="142" t="s">
        <v>24</v>
      </c>
      <c r="C41" s="86" t="s">
        <v>122</v>
      </c>
      <c r="D41" s="85" t="s">
        <v>84</v>
      </c>
      <c r="E41" s="80" t="s">
        <v>84</v>
      </c>
      <c r="F41" s="80" t="s">
        <v>57</v>
      </c>
      <c r="G41" s="80" t="s">
        <v>80</v>
      </c>
      <c r="H41" s="39" t="s">
        <v>85</v>
      </c>
      <c r="I41" s="143">
        <v>170</v>
      </c>
      <c r="J41" s="144"/>
      <c r="K41" s="144">
        <v>840</v>
      </c>
      <c r="L41" s="92" t="e">
        <f t="shared" si="0"/>
        <v>#DIV/0!</v>
      </c>
      <c r="M41" s="144"/>
      <c r="N41" s="144">
        <v>30008</v>
      </c>
      <c r="O41" s="92" t="e">
        <f t="shared" si="1"/>
        <v>#DIV/0!</v>
      </c>
      <c r="P41" s="144">
        <f t="shared" si="26"/>
        <v>0</v>
      </c>
      <c r="Q41" s="144">
        <f t="shared" si="26"/>
        <v>30848</v>
      </c>
      <c r="R41" s="92" t="e">
        <f t="shared" si="3"/>
        <v>#DIV/0!</v>
      </c>
      <c r="S41" s="22"/>
      <c r="T41" s="22">
        <v>250109.6</v>
      </c>
      <c r="U41" s="92" t="e">
        <f t="shared" si="4"/>
        <v>#DIV/0!</v>
      </c>
      <c r="V41" s="22">
        <f t="shared" si="5"/>
        <v>0</v>
      </c>
      <c r="W41" s="22">
        <f t="shared" si="5"/>
        <v>280957.59999999998</v>
      </c>
      <c r="X41" s="92" t="e">
        <f t="shared" si="6"/>
        <v>#DIV/0!</v>
      </c>
      <c r="Y41" s="38"/>
      <c r="Z41" s="38">
        <v>296574</v>
      </c>
      <c r="AA41" s="147" t="e">
        <f t="shared" si="7"/>
        <v>#DIV/0!</v>
      </c>
      <c r="AB41" s="38">
        <f t="shared" si="8"/>
        <v>0</v>
      </c>
      <c r="AC41" s="38">
        <f t="shared" si="8"/>
        <v>577531.6</v>
      </c>
      <c r="AD41" s="147" t="e">
        <f t="shared" si="9"/>
        <v>#DIV/0!</v>
      </c>
      <c r="AE41" s="39"/>
      <c r="AF41" s="143">
        <v>255533</v>
      </c>
      <c r="AG41" s="147" t="e">
        <f t="shared" si="10"/>
        <v>#DIV/0!</v>
      </c>
      <c r="AH41" s="143">
        <f t="shared" si="11"/>
        <v>0</v>
      </c>
      <c r="AI41" s="143">
        <f t="shared" si="11"/>
        <v>833064.6</v>
      </c>
      <c r="AJ41" s="147" t="e">
        <f t="shared" si="12"/>
        <v>#DIV/0!</v>
      </c>
      <c r="AK41" s="38"/>
      <c r="AL41" s="149">
        <v>386476</v>
      </c>
      <c r="AM41" s="147" t="e">
        <f t="shared" si="13"/>
        <v>#DIV/0!</v>
      </c>
      <c r="AN41" s="149">
        <f t="shared" si="14"/>
        <v>0</v>
      </c>
      <c r="AO41" s="149">
        <f t="shared" si="14"/>
        <v>1219540.6000000001</v>
      </c>
      <c r="AP41" s="147" t="e">
        <f t="shared" si="15"/>
        <v>#DIV/0!</v>
      </c>
      <c r="AQ41" s="149"/>
      <c r="AR41" s="149">
        <v>63776</v>
      </c>
      <c r="AS41" s="147" t="e">
        <f t="shared" si="16"/>
        <v>#DIV/0!</v>
      </c>
      <c r="AT41" s="149">
        <f t="shared" si="17"/>
        <v>0</v>
      </c>
      <c r="AU41" s="149">
        <f t="shared" si="17"/>
        <v>1283316.6000000001</v>
      </c>
      <c r="AV41" s="147" t="e">
        <f t="shared" si="18"/>
        <v>#DIV/0!</v>
      </c>
      <c r="AW41" s="43"/>
      <c r="AX41" s="43">
        <v>105175</v>
      </c>
      <c r="AY41" s="147" t="e">
        <f t="shared" si="19"/>
        <v>#DIV/0!</v>
      </c>
      <c r="AZ41" s="43">
        <f t="shared" si="20"/>
        <v>0</v>
      </c>
      <c r="BA41" s="43">
        <f t="shared" si="20"/>
        <v>1388491.6</v>
      </c>
      <c r="BB41" s="147" t="e">
        <f t="shared" si="23"/>
        <v>#DIV/0!</v>
      </c>
      <c r="BC41" s="43"/>
      <c r="BD41" s="43">
        <v>87258</v>
      </c>
      <c r="BE41" s="147" t="e">
        <f t="shared" si="21"/>
        <v>#DIV/0!</v>
      </c>
      <c r="BF41" s="43">
        <f t="shared" si="22"/>
        <v>0</v>
      </c>
      <c r="BG41" s="43">
        <f t="shared" si="22"/>
        <v>1475749.6</v>
      </c>
      <c r="BH41" s="147" t="e">
        <f t="shared" si="24"/>
        <v>#DIV/0!</v>
      </c>
      <c r="BI41" s="46"/>
      <c r="BJ41" s="46">
        <v>898</v>
      </c>
      <c r="BK41" s="46">
        <v>11486</v>
      </c>
      <c r="BL41" s="46">
        <v>12384</v>
      </c>
      <c r="BM41" s="92">
        <f t="shared" si="25"/>
        <v>0.86808799999999997</v>
      </c>
      <c r="BN41" s="77"/>
      <c r="BO41" s="77"/>
      <c r="BP41" s="77"/>
    </row>
    <row r="42" spans="1:68">
      <c r="A42" s="141" t="s">
        <v>24</v>
      </c>
      <c r="B42" s="142" t="s">
        <v>24</v>
      </c>
      <c r="C42" s="86" t="s">
        <v>123</v>
      </c>
      <c r="D42" s="85" t="s">
        <v>61</v>
      </c>
      <c r="E42" s="80" t="s">
        <v>61</v>
      </c>
      <c r="F42" s="80" t="s">
        <v>76</v>
      </c>
      <c r="G42" s="80"/>
      <c r="H42" s="22" t="s">
        <v>103</v>
      </c>
      <c r="I42" s="143"/>
      <c r="J42" s="144"/>
      <c r="K42" s="144"/>
      <c r="L42" s="92" t="e">
        <f t="shared" si="0"/>
        <v>#DIV/0!</v>
      </c>
      <c r="M42" s="144"/>
      <c r="N42" s="144"/>
      <c r="O42" s="92" t="e">
        <f t="shared" si="1"/>
        <v>#DIV/0!</v>
      </c>
      <c r="P42" s="144">
        <f t="shared" si="26"/>
        <v>0</v>
      </c>
      <c r="Q42" s="144">
        <f t="shared" si="26"/>
        <v>0</v>
      </c>
      <c r="R42" s="92" t="e">
        <f t="shared" si="3"/>
        <v>#DIV/0!</v>
      </c>
      <c r="S42" s="22"/>
      <c r="T42" s="22"/>
      <c r="U42" s="92" t="e">
        <f t="shared" si="4"/>
        <v>#DIV/0!</v>
      </c>
      <c r="V42" s="22">
        <f t="shared" si="5"/>
        <v>0</v>
      </c>
      <c r="W42" s="22">
        <f t="shared" si="5"/>
        <v>0</v>
      </c>
      <c r="X42" s="92" t="e">
        <f t="shared" si="6"/>
        <v>#DIV/0!</v>
      </c>
      <c r="Y42" s="38"/>
      <c r="Z42" s="38"/>
      <c r="AA42" s="147" t="e">
        <f t="shared" si="7"/>
        <v>#DIV/0!</v>
      </c>
      <c r="AB42" s="38">
        <f t="shared" si="8"/>
        <v>0</v>
      </c>
      <c r="AC42" s="38">
        <f t="shared" si="8"/>
        <v>0</v>
      </c>
      <c r="AD42" s="147" t="e">
        <f t="shared" si="9"/>
        <v>#DIV/0!</v>
      </c>
      <c r="AE42" s="39"/>
      <c r="AF42" s="143"/>
      <c r="AG42" s="147" t="e">
        <f t="shared" si="10"/>
        <v>#DIV/0!</v>
      </c>
      <c r="AH42" s="143">
        <f t="shared" si="11"/>
        <v>0</v>
      </c>
      <c r="AI42" s="143">
        <f t="shared" si="11"/>
        <v>0</v>
      </c>
      <c r="AJ42" s="147" t="e">
        <f t="shared" si="12"/>
        <v>#DIV/0!</v>
      </c>
      <c r="AK42" s="38"/>
      <c r="AL42" s="149"/>
      <c r="AM42" s="147" t="e">
        <f t="shared" si="13"/>
        <v>#DIV/0!</v>
      </c>
      <c r="AN42" s="149">
        <f t="shared" si="14"/>
        <v>0</v>
      </c>
      <c r="AO42" s="149">
        <f t="shared" si="14"/>
        <v>0</v>
      </c>
      <c r="AP42" s="147" t="e">
        <f t="shared" si="15"/>
        <v>#DIV/0!</v>
      </c>
      <c r="AQ42" s="149"/>
      <c r="AR42" s="149"/>
      <c r="AS42" s="147" t="e">
        <f t="shared" si="16"/>
        <v>#DIV/0!</v>
      </c>
      <c r="AT42" s="149">
        <f t="shared" si="17"/>
        <v>0</v>
      </c>
      <c r="AU42" s="149">
        <f t="shared" si="17"/>
        <v>0</v>
      </c>
      <c r="AV42" s="147" t="e">
        <f t="shared" si="18"/>
        <v>#DIV/0!</v>
      </c>
      <c r="AW42" s="43"/>
      <c r="AX42" s="43"/>
      <c r="AY42" s="147" t="e">
        <f t="shared" si="19"/>
        <v>#DIV/0!</v>
      </c>
      <c r="AZ42" s="43">
        <f t="shared" si="20"/>
        <v>0</v>
      </c>
      <c r="BA42" s="43">
        <f t="shared" si="20"/>
        <v>0</v>
      </c>
      <c r="BB42" s="147" t="e">
        <f t="shared" si="23"/>
        <v>#DIV/0!</v>
      </c>
      <c r="BC42" s="43"/>
      <c r="BD42" s="43"/>
      <c r="BE42" s="147" t="e">
        <f t="shared" si="21"/>
        <v>#DIV/0!</v>
      </c>
      <c r="BF42" s="43">
        <f t="shared" si="22"/>
        <v>0</v>
      </c>
      <c r="BG42" s="43">
        <f t="shared" si="22"/>
        <v>0</v>
      </c>
      <c r="BH42" s="147" t="e">
        <f t="shared" si="24"/>
        <v>#DIV/0!</v>
      </c>
      <c r="BI42" s="46"/>
      <c r="BJ42" s="46"/>
      <c r="BK42" s="46">
        <v>836</v>
      </c>
      <c r="BL42" s="46">
        <v>836</v>
      </c>
      <c r="BM42" s="92" t="e">
        <f t="shared" si="25"/>
        <v>#DIV/0!</v>
      </c>
      <c r="BN42" s="77"/>
      <c r="BO42" s="77"/>
      <c r="BP42" s="77"/>
    </row>
    <row r="43" spans="1:68">
      <c r="A43" s="141" t="s">
        <v>24</v>
      </c>
      <c r="B43" s="142" t="s">
        <v>24</v>
      </c>
      <c r="C43" s="86" t="s">
        <v>124</v>
      </c>
      <c r="D43" s="80" t="s">
        <v>114</v>
      </c>
      <c r="E43" s="80" t="s">
        <v>114</v>
      </c>
      <c r="F43" s="80" t="s">
        <v>76</v>
      </c>
      <c r="G43" s="80" t="s">
        <v>125</v>
      </c>
      <c r="H43" s="39" t="s">
        <v>112</v>
      </c>
      <c r="I43" s="143">
        <v>80</v>
      </c>
      <c r="J43" s="144"/>
      <c r="K43" s="144"/>
      <c r="L43" s="92"/>
      <c r="M43" s="144"/>
      <c r="N43" s="144"/>
      <c r="O43" s="92"/>
      <c r="P43" s="144"/>
      <c r="Q43" s="144"/>
      <c r="R43" s="92"/>
      <c r="S43" s="22"/>
      <c r="T43" s="22">
        <v>10661</v>
      </c>
      <c r="U43" s="92" t="e">
        <f t="shared" si="4"/>
        <v>#DIV/0!</v>
      </c>
      <c r="V43" s="22">
        <f t="shared" si="5"/>
        <v>0</v>
      </c>
      <c r="W43" s="22">
        <f t="shared" si="5"/>
        <v>10661</v>
      </c>
      <c r="X43" s="92" t="e">
        <f t="shared" si="6"/>
        <v>#DIV/0!</v>
      </c>
      <c r="Y43" s="38"/>
      <c r="Z43" s="38">
        <v>15411</v>
      </c>
      <c r="AA43" s="147" t="e">
        <f t="shared" si="7"/>
        <v>#DIV/0!</v>
      </c>
      <c r="AB43" s="38">
        <f t="shared" si="8"/>
        <v>0</v>
      </c>
      <c r="AC43" s="38">
        <f t="shared" si="8"/>
        <v>26072</v>
      </c>
      <c r="AD43" s="147" t="e">
        <f t="shared" si="9"/>
        <v>#DIV/0!</v>
      </c>
      <c r="AE43" s="39"/>
      <c r="AF43" s="143">
        <v>3348</v>
      </c>
      <c r="AG43" s="147" t="e">
        <f t="shared" si="10"/>
        <v>#DIV/0!</v>
      </c>
      <c r="AH43" s="143">
        <f t="shared" si="11"/>
        <v>0</v>
      </c>
      <c r="AI43" s="143">
        <f t="shared" si="11"/>
        <v>29420</v>
      </c>
      <c r="AJ43" s="147" t="e">
        <f t="shared" si="12"/>
        <v>#DIV/0!</v>
      </c>
      <c r="AK43" s="38"/>
      <c r="AL43" s="149"/>
      <c r="AM43" s="147" t="e">
        <f t="shared" si="13"/>
        <v>#DIV/0!</v>
      </c>
      <c r="AN43" s="149">
        <f t="shared" si="14"/>
        <v>0</v>
      </c>
      <c r="AO43" s="149">
        <f t="shared" si="14"/>
        <v>29420</v>
      </c>
      <c r="AP43" s="147" t="e">
        <f t="shared" si="15"/>
        <v>#DIV/0!</v>
      </c>
      <c r="AQ43" s="149"/>
      <c r="AR43" s="149"/>
      <c r="AS43" s="147" t="e">
        <f t="shared" si="16"/>
        <v>#DIV/0!</v>
      </c>
      <c r="AT43" s="149">
        <f t="shared" si="17"/>
        <v>0</v>
      </c>
      <c r="AU43" s="149">
        <f t="shared" si="17"/>
        <v>29420</v>
      </c>
      <c r="AV43" s="147" t="e">
        <f t="shared" si="18"/>
        <v>#DIV/0!</v>
      </c>
      <c r="AW43" s="43"/>
      <c r="AX43" s="43"/>
      <c r="AY43" s="147" t="e">
        <f t="shared" si="19"/>
        <v>#DIV/0!</v>
      </c>
      <c r="AZ43" s="43">
        <f t="shared" si="20"/>
        <v>0</v>
      </c>
      <c r="BA43" s="43">
        <f t="shared" si="20"/>
        <v>29420</v>
      </c>
      <c r="BB43" s="147" t="e">
        <f t="shared" si="23"/>
        <v>#DIV/0!</v>
      </c>
      <c r="BC43" s="43"/>
      <c r="BD43" s="43"/>
      <c r="BE43" s="147" t="e">
        <f t="shared" si="21"/>
        <v>#DIV/0!</v>
      </c>
      <c r="BF43" s="43">
        <f t="shared" si="22"/>
        <v>0</v>
      </c>
      <c r="BG43" s="43">
        <f t="shared" si="22"/>
        <v>29420</v>
      </c>
      <c r="BH43" s="147" t="e">
        <f t="shared" si="24"/>
        <v>#DIV/0!</v>
      </c>
      <c r="BI43" s="46"/>
      <c r="BJ43" s="46"/>
      <c r="BK43" s="46"/>
      <c r="BL43" s="46"/>
      <c r="BM43" s="92">
        <f t="shared" si="25"/>
        <v>3.6775000000000002E-2</v>
      </c>
      <c r="BN43" s="77"/>
      <c r="BO43" s="77">
        <v>20000</v>
      </c>
      <c r="BP43" s="77"/>
    </row>
    <row r="44" spans="1:68">
      <c r="A44" s="141" t="s">
        <v>24</v>
      </c>
      <c r="B44" s="142" t="s">
        <v>24</v>
      </c>
      <c r="C44" s="86" t="s">
        <v>126</v>
      </c>
      <c r="D44" s="80" t="s">
        <v>114</v>
      </c>
      <c r="E44" s="80" t="s">
        <v>114</v>
      </c>
      <c r="F44" s="80" t="s">
        <v>76</v>
      </c>
      <c r="G44" s="80" t="s">
        <v>96</v>
      </c>
      <c r="H44" s="39" t="s">
        <v>112</v>
      </c>
      <c r="I44" s="143">
        <v>200</v>
      </c>
      <c r="J44" s="144"/>
      <c r="K44" s="144"/>
      <c r="L44" s="92"/>
      <c r="M44" s="144"/>
      <c r="N44" s="144"/>
      <c r="O44" s="92"/>
      <c r="P44" s="144"/>
      <c r="Q44" s="144"/>
      <c r="R44" s="92"/>
      <c r="S44" s="22"/>
      <c r="T44" s="22">
        <v>7250</v>
      </c>
      <c r="U44" s="92" t="e">
        <f t="shared" si="4"/>
        <v>#DIV/0!</v>
      </c>
      <c r="V44" s="22">
        <f t="shared" si="5"/>
        <v>0</v>
      </c>
      <c r="W44" s="22">
        <f t="shared" si="5"/>
        <v>7250</v>
      </c>
      <c r="X44" s="92" t="e">
        <f t="shared" si="6"/>
        <v>#DIV/0!</v>
      </c>
      <c r="Y44" s="38"/>
      <c r="Z44" s="38"/>
      <c r="AA44" s="147" t="e">
        <f t="shared" si="7"/>
        <v>#DIV/0!</v>
      </c>
      <c r="AB44" s="38">
        <f t="shared" si="8"/>
        <v>0</v>
      </c>
      <c r="AC44" s="38">
        <f t="shared" si="8"/>
        <v>7250</v>
      </c>
      <c r="AD44" s="147" t="e">
        <f t="shared" si="9"/>
        <v>#DIV/0!</v>
      </c>
      <c r="AE44" s="39"/>
      <c r="AF44" s="143"/>
      <c r="AG44" s="147" t="e">
        <f t="shared" si="10"/>
        <v>#DIV/0!</v>
      </c>
      <c r="AH44" s="143">
        <f t="shared" si="11"/>
        <v>0</v>
      </c>
      <c r="AI44" s="143">
        <f t="shared" si="11"/>
        <v>7250</v>
      </c>
      <c r="AJ44" s="147" t="e">
        <f t="shared" si="12"/>
        <v>#DIV/0!</v>
      </c>
      <c r="AK44" s="38"/>
      <c r="AL44" s="149"/>
      <c r="AM44" s="147" t="e">
        <f t="shared" si="13"/>
        <v>#DIV/0!</v>
      </c>
      <c r="AN44" s="149">
        <f t="shared" si="14"/>
        <v>0</v>
      </c>
      <c r="AO44" s="149">
        <f t="shared" si="14"/>
        <v>7250</v>
      </c>
      <c r="AP44" s="147" t="e">
        <f t="shared" si="15"/>
        <v>#DIV/0!</v>
      </c>
      <c r="AQ44" s="149"/>
      <c r="AR44" s="149">
        <v>53816</v>
      </c>
      <c r="AS44" s="147" t="e">
        <f t="shared" si="16"/>
        <v>#DIV/0!</v>
      </c>
      <c r="AT44" s="149">
        <f t="shared" si="17"/>
        <v>0</v>
      </c>
      <c r="AU44" s="149">
        <f t="shared" si="17"/>
        <v>61066</v>
      </c>
      <c r="AV44" s="147" t="e">
        <f t="shared" si="18"/>
        <v>#DIV/0!</v>
      </c>
      <c r="AW44" s="43"/>
      <c r="AX44" s="43">
        <f>22281+11274</f>
        <v>33555</v>
      </c>
      <c r="AY44" s="147" t="e">
        <f t="shared" si="19"/>
        <v>#DIV/0!</v>
      </c>
      <c r="AZ44" s="43">
        <f t="shared" si="20"/>
        <v>0</v>
      </c>
      <c r="BA44" s="43">
        <f t="shared" si="20"/>
        <v>94621</v>
      </c>
      <c r="BB44" s="147" t="e">
        <f t="shared" si="23"/>
        <v>#DIV/0!</v>
      </c>
      <c r="BC44" s="43"/>
      <c r="BD44" s="43">
        <v>12823</v>
      </c>
      <c r="BE44" s="147" t="e">
        <f t="shared" si="21"/>
        <v>#DIV/0!</v>
      </c>
      <c r="BF44" s="43">
        <f t="shared" si="22"/>
        <v>0</v>
      </c>
      <c r="BG44" s="43">
        <f t="shared" si="22"/>
        <v>107444</v>
      </c>
      <c r="BH44" s="147" t="e">
        <f t="shared" si="24"/>
        <v>#DIV/0!</v>
      </c>
      <c r="BI44" s="46"/>
      <c r="BJ44" s="46"/>
      <c r="BK44" s="46"/>
      <c r="BL44" s="46"/>
      <c r="BM44" s="92">
        <f t="shared" si="25"/>
        <v>5.3722000000000006E-2</v>
      </c>
      <c r="BN44" s="77"/>
      <c r="BO44" s="77"/>
      <c r="BP44" s="77"/>
    </row>
    <row r="45" spans="1:68">
      <c r="A45" s="141" t="s">
        <v>24</v>
      </c>
      <c r="B45" s="142" t="s">
        <v>24</v>
      </c>
      <c r="C45" s="86" t="s">
        <v>127</v>
      </c>
      <c r="D45" s="80" t="s">
        <v>114</v>
      </c>
      <c r="E45" s="80" t="s">
        <v>114</v>
      </c>
      <c r="F45" s="80" t="s">
        <v>76</v>
      </c>
      <c r="G45" s="80" t="s">
        <v>96</v>
      </c>
      <c r="H45" s="39" t="s">
        <v>112</v>
      </c>
      <c r="I45" s="143">
        <v>25</v>
      </c>
      <c r="J45" s="144"/>
      <c r="K45" s="144"/>
      <c r="L45" s="92"/>
      <c r="M45" s="144"/>
      <c r="N45" s="144"/>
      <c r="O45" s="92"/>
      <c r="P45" s="144"/>
      <c r="Q45" s="144"/>
      <c r="R45" s="92"/>
      <c r="S45" s="22"/>
      <c r="T45" s="22"/>
      <c r="U45" s="92"/>
      <c r="V45" s="22"/>
      <c r="W45" s="22"/>
      <c r="X45" s="92"/>
      <c r="Y45" s="38"/>
      <c r="Z45" s="38"/>
      <c r="AA45" s="147"/>
      <c r="AB45" s="38">
        <f t="shared" si="8"/>
        <v>0</v>
      </c>
      <c r="AC45" s="38"/>
      <c r="AD45" s="147"/>
      <c r="AE45" s="39"/>
      <c r="AF45" s="143"/>
      <c r="AG45" s="147" t="e">
        <f t="shared" si="10"/>
        <v>#DIV/0!</v>
      </c>
      <c r="AH45" s="143">
        <f t="shared" si="11"/>
        <v>0</v>
      </c>
      <c r="AI45" s="143">
        <f t="shared" si="11"/>
        <v>0</v>
      </c>
      <c r="AJ45" s="147" t="e">
        <f t="shared" si="12"/>
        <v>#DIV/0!</v>
      </c>
      <c r="AK45" s="38"/>
      <c r="AL45" s="149"/>
      <c r="AM45" s="147" t="e">
        <f t="shared" si="13"/>
        <v>#DIV/0!</v>
      </c>
      <c r="AN45" s="149">
        <f t="shared" si="14"/>
        <v>0</v>
      </c>
      <c r="AO45" s="149">
        <f t="shared" si="14"/>
        <v>0</v>
      </c>
      <c r="AP45" s="147" t="e">
        <f t="shared" si="15"/>
        <v>#DIV/0!</v>
      </c>
      <c r="AQ45" s="149"/>
      <c r="AR45" s="149"/>
      <c r="AS45" s="147" t="e">
        <f t="shared" si="16"/>
        <v>#DIV/0!</v>
      </c>
      <c r="AT45" s="149">
        <f t="shared" si="17"/>
        <v>0</v>
      </c>
      <c r="AU45" s="149">
        <f t="shared" si="17"/>
        <v>0</v>
      </c>
      <c r="AV45" s="147" t="e">
        <f t="shared" si="18"/>
        <v>#DIV/0!</v>
      </c>
      <c r="AW45" s="43"/>
      <c r="AX45" s="43"/>
      <c r="AY45" s="147" t="e">
        <f t="shared" si="19"/>
        <v>#DIV/0!</v>
      </c>
      <c r="AZ45" s="43">
        <f t="shared" si="20"/>
        <v>0</v>
      </c>
      <c r="BA45" s="43">
        <f t="shared" si="20"/>
        <v>0</v>
      </c>
      <c r="BB45" s="147" t="e">
        <f t="shared" si="23"/>
        <v>#DIV/0!</v>
      </c>
      <c r="BC45" s="43"/>
      <c r="BD45" s="43"/>
      <c r="BE45" s="147" t="e">
        <f t="shared" si="21"/>
        <v>#DIV/0!</v>
      </c>
      <c r="BF45" s="43">
        <f t="shared" si="22"/>
        <v>0</v>
      </c>
      <c r="BG45" s="43">
        <f t="shared" si="22"/>
        <v>0</v>
      </c>
      <c r="BH45" s="147" t="e">
        <f t="shared" si="24"/>
        <v>#DIV/0!</v>
      </c>
      <c r="BI45" s="46"/>
      <c r="BJ45" s="46"/>
      <c r="BK45" s="46"/>
      <c r="BL45" s="46"/>
      <c r="BM45" s="92">
        <f t="shared" si="25"/>
        <v>0</v>
      </c>
      <c r="BN45" s="77"/>
      <c r="BO45" s="77"/>
      <c r="BP45" s="77"/>
    </row>
    <row r="46" spans="1:68">
      <c r="A46" s="141" t="s">
        <v>24</v>
      </c>
      <c r="B46" s="142" t="s">
        <v>24</v>
      </c>
      <c r="C46" s="86" t="s">
        <v>128</v>
      </c>
      <c r="D46" s="80" t="s">
        <v>114</v>
      </c>
      <c r="E46" s="80" t="s">
        <v>114</v>
      </c>
      <c r="F46" s="80" t="s">
        <v>76</v>
      </c>
      <c r="G46" s="80" t="s">
        <v>96</v>
      </c>
      <c r="H46" s="39" t="s">
        <v>112</v>
      </c>
      <c r="I46" s="143">
        <v>20</v>
      </c>
      <c r="J46" s="144"/>
      <c r="K46" s="144"/>
      <c r="L46" s="92"/>
      <c r="M46" s="144"/>
      <c r="N46" s="144"/>
      <c r="O46" s="92"/>
      <c r="P46" s="144"/>
      <c r="Q46" s="144"/>
      <c r="R46" s="92"/>
      <c r="S46" s="22"/>
      <c r="T46" s="22"/>
      <c r="U46" s="92"/>
      <c r="V46" s="22"/>
      <c r="W46" s="22"/>
      <c r="X46" s="92"/>
      <c r="Y46" s="38"/>
      <c r="Z46" s="38"/>
      <c r="AA46" s="147"/>
      <c r="AB46" s="38"/>
      <c r="AC46" s="38"/>
      <c r="AD46" s="147"/>
      <c r="AE46" s="39"/>
      <c r="AF46" s="143"/>
      <c r="AG46" s="147" t="e">
        <f t="shared" si="10"/>
        <v>#DIV/0!</v>
      </c>
      <c r="AH46" s="143">
        <f t="shared" si="11"/>
        <v>0</v>
      </c>
      <c r="AI46" s="143">
        <f t="shared" si="11"/>
        <v>0</v>
      </c>
      <c r="AJ46" s="147" t="e">
        <f t="shared" si="12"/>
        <v>#DIV/0!</v>
      </c>
      <c r="AK46" s="38"/>
      <c r="AL46" s="149"/>
      <c r="AM46" s="147" t="e">
        <f t="shared" si="13"/>
        <v>#DIV/0!</v>
      </c>
      <c r="AN46" s="149">
        <f t="shared" si="14"/>
        <v>0</v>
      </c>
      <c r="AO46" s="149">
        <f t="shared" si="14"/>
        <v>0</v>
      </c>
      <c r="AP46" s="147" t="e">
        <f t="shared" si="15"/>
        <v>#DIV/0!</v>
      </c>
      <c r="AQ46" s="149"/>
      <c r="AR46" s="149"/>
      <c r="AS46" s="147" t="e">
        <f t="shared" si="16"/>
        <v>#DIV/0!</v>
      </c>
      <c r="AT46" s="149">
        <f t="shared" si="17"/>
        <v>0</v>
      </c>
      <c r="AU46" s="149">
        <f t="shared" si="17"/>
        <v>0</v>
      </c>
      <c r="AV46" s="147" t="e">
        <f t="shared" si="18"/>
        <v>#DIV/0!</v>
      </c>
      <c r="AW46" s="43"/>
      <c r="AX46" s="43"/>
      <c r="AY46" s="147" t="e">
        <f t="shared" si="19"/>
        <v>#DIV/0!</v>
      </c>
      <c r="AZ46" s="43">
        <f t="shared" si="20"/>
        <v>0</v>
      </c>
      <c r="BA46" s="43">
        <f t="shared" si="20"/>
        <v>0</v>
      </c>
      <c r="BB46" s="147" t="e">
        <f t="shared" si="23"/>
        <v>#DIV/0!</v>
      </c>
      <c r="BC46" s="43"/>
      <c r="BD46" s="43"/>
      <c r="BE46" s="147" t="e">
        <f t="shared" si="21"/>
        <v>#DIV/0!</v>
      </c>
      <c r="BF46" s="43">
        <f t="shared" si="22"/>
        <v>0</v>
      </c>
      <c r="BG46" s="43">
        <f t="shared" si="22"/>
        <v>0</v>
      </c>
      <c r="BH46" s="147" t="e">
        <f t="shared" si="24"/>
        <v>#DIV/0!</v>
      </c>
      <c r="BI46" s="46"/>
      <c r="BJ46" s="46"/>
      <c r="BK46" s="46"/>
      <c r="BL46" s="46"/>
      <c r="BM46" s="92">
        <f t="shared" si="25"/>
        <v>0</v>
      </c>
      <c r="BN46" s="77"/>
      <c r="BO46" s="77"/>
      <c r="BP46" s="77"/>
    </row>
    <row r="47" spans="1:68">
      <c r="A47" s="141" t="s">
        <v>24</v>
      </c>
      <c r="B47" s="142" t="s">
        <v>24</v>
      </c>
      <c r="C47" s="86" t="s">
        <v>129</v>
      </c>
      <c r="D47" s="80" t="s">
        <v>114</v>
      </c>
      <c r="E47" s="80" t="s">
        <v>114</v>
      </c>
      <c r="F47" s="80" t="s">
        <v>76</v>
      </c>
      <c r="G47" s="80" t="s">
        <v>96</v>
      </c>
      <c r="H47" s="39" t="s">
        <v>112</v>
      </c>
      <c r="I47" s="143"/>
      <c r="J47" s="144"/>
      <c r="K47" s="144"/>
      <c r="L47" s="92"/>
      <c r="M47" s="144"/>
      <c r="N47" s="144"/>
      <c r="O47" s="92"/>
      <c r="P47" s="144"/>
      <c r="Q47" s="144"/>
      <c r="R47" s="92"/>
      <c r="S47" s="22"/>
      <c r="T47" s="22"/>
      <c r="U47" s="92"/>
      <c r="V47" s="22"/>
      <c r="W47" s="22"/>
      <c r="X47" s="92"/>
      <c r="Y47" s="38"/>
      <c r="Z47" s="38"/>
      <c r="AA47" s="147"/>
      <c r="AB47" s="38"/>
      <c r="AC47" s="38"/>
      <c r="AD47" s="147"/>
      <c r="AE47" s="39"/>
      <c r="AF47" s="143">
        <v>13000</v>
      </c>
      <c r="AG47" s="147" t="e">
        <f t="shared" si="10"/>
        <v>#DIV/0!</v>
      </c>
      <c r="AH47" s="143">
        <f t="shared" si="11"/>
        <v>0</v>
      </c>
      <c r="AI47" s="143">
        <f t="shared" si="11"/>
        <v>13000</v>
      </c>
      <c r="AJ47" s="147" t="e">
        <f t="shared" si="12"/>
        <v>#DIV/0!</v>
      </c>
      <c r="AK47" s="38"/>
      <c r="AL47" s="149"/>
      <c r="AM47" s="147" t="e">
        <f t="shared" si="13"/>
        <v>#DIV/0!</v>
      </c>
      <c r="AN47" s="149">
        <f t="shared" si="14"/>
        <v>0</v>
      </c>
      <c r="AO47" s="149">
        <f t="shared" si="14"/>
        <v>13000</v>
      </c>
      <c r="AP47" s="147" t="e">
        <f t="shared" si="15"/>
        <v>#DIV/0!</v>
      </c>
      <c r="AQ47" s="149"/>
      <c r="AR47" s="149"/>
      <c r="AS47" s="147" t="e">
        <f t="shared" si="16"/>
        <v>#DIV/0!</v>
      </c>
      <c r="AT47" s="149">
        <f t="shared" si="17"/>
        <v>0</v>
      </c>
      <c r="AU47" s="149">
        <f t="shared" si="17"/>
        <v>13000</v>
      </c>
      <c r="AV47" s="147" t="e">
        <f t="shared" si="18"/>
        <v>#DIV/0!</v>
      </c>
      <c r="AW47" s="43"/>
      <c r="AX47" s="43">
        <v>3470</v>
      </c>
      <c r="AY47" s="147" t="e">
        <f t="shared" si="19"/>
        <v>#DIV/0!</v>
      </c>
      <c r="AZ47" s="43">
        <f t="shared" si="20"/>
        <v>0</v>
      </c>
      <c r="BA47" s="43">
        <f t="shared" si="20"/>
        <v>16470</v>
      </c>
      <c r="BB47" s="147" t="e">
        <f t="shared" si="23"/>
        <v>#DIV/0!</v>
      </c>
      <c r="BC47" s="43"/>
      <c r="BD47" s="43"/>
      <c r="BE47" s="147" t="e">
        <f t="shared" si="21"/>
        <v>#DIV/0!</v>
      </c>
      <c r="BF47" s="43">
        <f t="shared" si="22"/>
        <v>0</v>
      </c>
      <c r="BG47" s="43">
        <f t="shared" si="22"/>
        <v>16470</v>
      </c>
      <c r="BH47" s="147" t="e">
        <f t="shared" si="24"/>
        <v>#DIV/0!</v>
      </c>
      <c r="BI47" s="46"/>
      <c r="BJ47" s="46"/>
      <c r="BK47" s="46"/>
      <c r="BL47" s="46"/>
      <c r="BM47" s="92" t="e">
        <f t="shared" si="25"/>
        <v>#DIV/0!</v>
      </c>
      <c r="BN47" s="77"/>
      <c r="BO47" s="77"/>
      <c r="BP47" s="77"/>
    </row>
    <row r="48" spans="1:68">
      <c r="A48" s="141" t="s">
        <v>24</v>
      </c>
      <c r="B48" s="142" t="s">
        <v>24</v>
      </c>
      <c r="C48" s="86" t="s">
        <v>130</v>
      </c>
      <c r="D48" s="85" t="s">
        <v>61</v>
      </c>
      <c r="E48" s="85" t="s">
        <v>61</v>
      </c>
      <c r="F48" s="80" t="s">
        <v>76</v>
      </c>
      <c r="G48" s="80"/>
      <c r="H48" s="22" t="s">
        <v>103</v>
      </c>
      <c r="I48" s="143"/>
      <c r="J48" s="144"/>
      <c r="K48" s="144"/>
      <c r="L48" s="92"/>
      <c r="M48" s="144"/>
      <c r="N48" s="144"/>
      <c r="O48" s="92"/>
      <c r="P48" s="144"/>
      <c r="Q48" s="144"/>
      <c r="R48" s="92"/>
      <c r="S48" s="22"/>
      <c r="T48" s="22"/>
      <c r="U48" s="92"/>
      <c r="V48" s="22"/>
      <c r="W48" s="22"/>
      <c r="X48" s="92"/>
      <c r="Y48" s="38"/>
      <c r="Z48" s="38"/>
      <c r="AA48" s="147"/>
      <c r="AB48" s="38"/>
      <c r="AC48" s="38"/>
      <c r="AD48" s="147"/>
      <c r="AE48" s="39"/>
      <c r="AF48" s="143">
        <v>66234</v>
      </c>
      <c r="AG48" s="147" t="e">
        <f t="shared" si="10"/>
        <v>#DIV/0!</v>
      </c>
      <c r="AH48" s="143">
        <f t="shared" si="11"/>
        <v>0</v>
      </c>
      <c r="AI48" s="143">
        <f t="shared" si="11"/>
        <v>66234</v>
      </c>
      <c r="AJ48" s="147" t="e">
        <f t="shared" si="12"/>
        <v>#DIV/0!</v>
      </c>
      <c r="AK48" s="38"/>
      <c r="AL48" s="149">
        <v>10341.700000000001</v>
      </c>
      <c r="AM48" s="147" t="e">
        <f t="shared" si="13"/>
        <v>#DIV/0!</v>
      </c>
      <c r="AN48" s="149">
        <f t="shared" si="14"/>
        <v>0</v>
      </c>
      <c r="AO48" s="149">
        <f t="shared" si="14"/>
        <v>76575.7</v>
      </c>
      <c r="AP48" s="147" t="e">
        <f t="shared" si="15"/>
        <v>#DIV/0!</v>
      </c>
      <c r="AQ48" s="149"/>
      <c r="AR48" s="149">
        <v>12445</v>
      </c>
      <c r="AS48" s="147" t="e">
        <f t="shared" si="16"/>
        <v>#DIV/0!</v>
      </c>
      <c r="AT48" s="149">
        <f t="shared" si="17"/>
        <v>0</v>
      </c>
      <c r="AU48" s="149">
        <f t="shared" si="17"/>
        <v>89020.7</v>
      </c>
      <c r="AV48" s="147" t="e">
        <f t="shared" si="18"/>
        <v>#DIV/0!</v>
      </c>
      <c r="AW48" s="43"/>
      <c r="AX48" s="43">
        <v>8999</v>
      </c>
      <c r="AY48" s="147" t="e">
        <f t="shared" si="19"/>
        <v>#DIV/0!</v>
      </c>
      <c r="AZ48" s="43">
        <f t="shared" si="20"/>
        <v>0</v>
      </c>
      <c r="BA48" s="43">
        <f t="shared" si="20"/>
        <v>98019.7</v>
      </c>
      <c r="BB48" s="147" t="e">
        <f t="shared" si="23"/>
        <v>#DIV/0!</v>
      </c>
      <c r="BC48" s="43"/>
      <c r="BD48" s="43">
        <v>30503.1</v>
      </c>
      <c r="BE48" s="147" t="e">
        <f t="shared" si="21"/>
        <v>#DIV/0!</v>
      </c>
      <c r="BF48" s="43">
        <f t="shared" si="22"/>
        <v>0</v>
      </c>
      <c r="BG48" s="43">
        <f t="shared" si="22"/>
        <v>128522.79999999999</v>
      </c>
      <c r="BH48" s="147" t="e">
        <f t="shared" si="24"/>
        <v>#DIV/0!</v>
      </c>
      <c r="BI48" s="46"/>
      <c r="BJ48" s="46"/>
      <c r="BK48" s="46"/>
      <c r="BL48" s="46"/>
      <c r="BM48" s="92" t="e">
        <f t="shared" si="25"/>
        <v>#DIV/0!</v>
      </c>
      <c r="BN48" s="77"/>
      <c r="BO48" s="77"/>
      <c r="BP48" s="77"/>
    </row>
    <row r="49" spans="1:68">
      <c r="A49" s="78" t="s">
        <v>24</v>
      </c>
      <c r="B49" s="78" t="s">
        <v>24</v>
      </c>
      <c r="C49" s="81" t="s">
        <v>131</v>
      </c>
      <c r="D49" s="80" t="s">
        <v>114</v>
      </c>
      <c r="E49" s="80" t="s">
        <v>114</v>
      </c>
      <c r="F49" s="80" t="s">
        <v>76</v>
      </c>
      <c r="G49" s="80" t="s">
        <v>96</v>
      </c>
      <c r="H49" s="39" t="s">
        <v>112</v>
      </c>
      <c r="I49" s="143">
        <v>60</v>
      </c>
      <c r="J49" s="144"/>
      <c r="K49" s="144"/>
      <c r="L49" s="92"/>
      <c r="M49" s="144"/>
      <c r="N49" s="144"/>
      <c r="O49" s="92"/>
      <c r="P49" s="144"/>
      <c r="Q49" s="144"/>
      <c r="R49" s="92"/>
      <c r="S49" s="22"/>
      <c r="T49" s="22">
        <v>35400</v>
      </c>
      <c r="U49" s="92" t="e">
        <f>T49/S49-1</f>
        <v>#DIV/0!</v>
      </c>
      <c r="V49" s="22">
        <f>S49+P49</f>
        <v>0</v>
      </c>
      <c r="W49" s="22">
        <f>T49+Q49</f>
        <v>35400</v>
      </c>
      <c r="X49" s="92" t="e">
        <f>W49/V49-1</f>
        <v>#DIV/0!</v>
      </c>
      <c r="Y49" s="38"/>
      <c r="Z49" s="38"/>
      <c r="AA49" s="147" t="e">
        <f>Z49/Y49-1</f>
        <v>#DIV/0!</v>
      </c>
      <c r="AB49" s="38">
        <f>Y49+V49</f>
        <v>0</v>
      </c>
      <c r="AC49" s="38">
        <f>Z49+W49</f>
        <v>35400</v>
      </c>
      <c r="AD49" s="147" t="e">
        <f>AC49/AB49-1</f>
        <v>#DIV/0!</v>
      </c>
      <c r="AE49" s="39"/>
      <c r="AF49" s="143">
        <v>27200</v>
      </c>
      <c r="AG49" s="147" t="e">
        <f t="shared" si="10"/>
        <v>#DIV/0!</v>
      </c>
      <c r="AH49" s="143">
        <f t="shared" si="11"/>
        <v>0</v>
      </c>
      <c r="AI49" s="143">
        <f t="shared" si="11"/>
        <v>62600</v>
      </c>
      <c r="AJ49" s="147" t="e">
        <f t="shared" si="12"/>
        <v>#DIV/0!</v>
      </c>
      <c r="AK49" s="38"/>
      <c r="AL49" s="149"/>
      <c r="AM49" s="147" t="e">
        <f t="shared" si="13"/>
        <v>#DIV/0!</v>
      </c>
      <c r="AN49" s="149">
        <f t="shared" si="14"/>
        <v>0</v>
      </c>
      <c r="AO49" s="149">
        <f t="shared" si="14"/>
        <v>62600</v>
      </c>
      <c r="AP49" s="147" t="e">
        <f t="shared" si="15"/>
        <v>#DIV/0!</v>
      </c>
      <c r="AQ49" s="149"/>
      <c r="AR49" s="149">
        <v>47200</v>
      </c>
      <c r="AS49" s="147" t="e">
        <f t="shared" si="16"/>
        <v>#DIV/0!</v>
      </c>
      <c r="AT49" s="149">
        <f t="shared" si="17"/>
        <v>0</v>
      </c>
      <c r="AU49" s="149">
        <f t="shared" si="17"/>
        <v>109800</v>
      </c>
      <c r="AV49" s="147" t="e">
        <f t="shared" si="18"/>
        <v>#DIV/0!</v>
      </c>
      <c r="AW49" s="43"/>
      <c r="AX49" s="43">
        <v>17700</v>
      </c>
      <c r="AY49" s="147" t="e">
        <f t="shared" si="19"/>
        <v>#DIV/0!</v>
      </c>
      <c r="AZ49" s="43">
        <f t="shared" si="20"/>
        <v>0</v>
      </c>
      <c r="BA49" s="43">
        <f t="shared" si="20"/>
        <v>127500</v>
      </c>
      <c r="BB49" s="147" t="e">
        <f t="shared" si="23"/>
        <v>#DIV/0!</v>
      </c>
      <c r="BC49" s="43"/>
      <c r="BD49" s="43">
        <v>32450</v>
      </c>
      <c r="BE49" s="147" t="e">
        <f t="shared" si="21"/>
        <v>#DIV/0!</v>
      </c>
      <c r="BF49" s="43">
        <f t="shared" si="22"/>
        <v>0</v>
      </c>
      <c r="BG49" s="43">
        <f t="shared" si="22"/>
        <v>159950</v>
      </c>
      <c r="BH49" s="147" t="e">
        <f t="shared" si="24"/>
        <v>#DIV/0!</v>
      </c>
      <c r="BI49" s="46"/>
      <c r="BJ49" s="46"/>
      <c r="BK49" s="46"/>
      <c r="BL49" s="46"/>
      <c r="BM49" s="92">
        <f t="shared" si="25"/>
        <v>0.26658333333333334</v>
      </c>
      <c r="BN49" s="77"/>
      <c r="BO49" s="77"/>
      <c r="BP49" s="77"/>
    </row>
    <row r="50" spans="1:68">
      <c r="A50" s="78"/>
      <c r="B50" s="42"/>
      <c r="C50" s="86" t="s">
        <v>31</v>
      </c>
      <c r="D50" s="42"/>
      <c r="E50" s="80"/>
      <c r="F50" s="42"/>
      <c r="G50" s="42"/>
      <c r="H50" s="42"/>
      <c r="I50" s="22">
        <f>SUBTOTAL(9,I4:I49)</f>
        <v>4549</v>
      </c>
      <c r="J50" s="22">
        <f>SUBTOTAL(9,J4:J49)</f>
        <v>1820726.47</v>
      </c>
      <c r="K50" s="22">
        <f>SUBTOTAL(9,K4:K49)</f>
        <v>2134133.92</v>
      </c>
      <c r="L50" s="92">
        <f>K50/J50-1</f>
        <v>0.17213318703495317</v>
      </c>
      <c r="M50" s="22">
        <f>SUBTOTAL(9,M4:M49)</f>
        <v>665632</v>
      </c>
      <c r="N50" s="22">
        <f>SUBTOTAL(9,N4:N49)</f>
        <v>2030936.03</v>
      </c>
      <c r="O50" s="92">
        <f>N50/M50-1</f>
        <v>2.0511394133695497</v>
      </c>
      <c r="P50" s="22">
        <f>SUBTOTAL(9,P4:P49)</f>
        <v>2486358.4699999997</v>
      </c>
      <c r="Q50" s="22">
        <f>SUBTOTAL(9,Q4:Q49)</f>
        <v>4165069.95</v>
      </c>
      <c r="R50" s="92">
        <f>Q50/P50-1</f>
        <v>0.67516872577106746</v>
      </c>
      <c r="S50" s="22">
        <f>SUBTOTAL(9,S4:S49)</f>
        <v>2335229.5500000003</v>
      </c>
      <c r="T50" s="22">
        <f>SUBTOTAL(9,T4:T49)</f>
        <v>3216768.37</v>
      </c>
      <c r="U50" s="92">
        <f>T50/S50-1</f>
        <v>0.37749557425735714</v>
      </c>
      <c r="V50" s="22">
        <f>SUBTOTAL(9,V4:V49)</f>
        <v>4821588.0200000005</v>
      </c>
      <c r="W50" s="22">
        <f>SUBTOTAL(9,W4:W49)</f>
        <v>7381838.3199999994</v>
      </c>
      <c r="X50" s="92">
        <f>W50/V50-1</f>
        <v>0.53099731652311477</v>
      </c>
      <c r="Y50" s="22">
        <f>SUBTOTAL(9,Y4:Y49)</f>
        <v>2932936.84</v>
      </c>
      <c r="Z50" s="22">
        <f>SUBTOTAL(9,Z4:Z49)</f>
        <v>3605274.1900000004</v>
      </c>
      <c r="AA50" s="147">
        <f>Z50/Y50-1</f>
        <v>0.22923690030774768</v>
      </c>
      <c r="AB50" s="22">
        <f>SUBTOTAL(9,AB4:AB49)</f>
        <v>7754524.8599999994</v>
      </c>
      <c r="AC50" s="22">
        <f>SUBTOTAL(9,AC4:AC49)</f>
        <v>10987112.51</v>
      </c>
      <c r="AD50" s="147">
        <f>AC50/AB50-1</f>
        <v>0.41686469620783462</v>
      </c>
      <c r="AE50" s="22">
        <f>SUM(AE4:AE49)</f>
        <v>2754128.2700000005</v>
      </c>
      <c r="AF50" s="22">
        <f>SUM(AF4:AF49)</f>
        <v>2967154.72</v>
      </c>
      <c r="AG50" s="147">
        <f t="shared" si="10"/>
        <v>7.7348049588118695E-2</v>
      </c>
      <c r="AH50" s="22">
        <f>SUM(AH4:AH49)</f>
        <v>10508653.130000001</v>
      </c>
      <c r="AI50" s="22">
        <f>SUM(AI4:AI49)</f>
        <v>13954267.229999999</v>
      </c>
      <c r="AJ50" s="147">
        <f t="shared" si="12"/>
        <v>0.32788351250870496</v>
      </c>
      <c r="AK50" s="22">
        <f>SUM(AK4:AK49)</f>
        <v>3834503.4899999998</v>
      </c>
      <c r="AL50" s="22">
        <f>SUM(AL4:AL49)</f>
        <v>3744100.99</v>
      </c>
      <c r="AM50" s="147">
        <f t="shared" si="13"/>
        <v>-2.3576064081245462E-2</v>
      </c>
      <c r="AN50" s="22">
        <f t="shared" ref="AN50:AR50" si="27">SUM(AN4:AN49)</f>
        <v>14343156.619999999</v>
      </c>
      <c r="AO50" s="22">
        <f t="shared" si="27"/>
        <v>17698368.219999999</v>
      </c>
      <c r="AP50" s="147">
        <f t="shared" si="15"/>
        <v>0.23392421130795693</v>
      </c>
      <c r="AQ50" s="22">
        <f t="shared" si="27"/>
        <v>2104345.2399999993</v>
      </c>
      <c r="AR50" s="22">
        <f t="shared" si="27"/>
        <v>2351069.7800000003</v>
      </c>
      <c r="AS50" s="147">
        <f t="shared" si="16"/>
        <v>0.1172452767303529</v>
      </c>
      <c r="AT50" s="22">
        <f t="shared" ref="AT50:AX50" si="28">SUM(AT4:AT49)</f>
        <v>16447501.859999999</v>
      </c>
      <c r="AU50" s="22">
        <f t="shared" si="28"/>
        <v>20049438</v>
      </c>
      <c r="AV50" s="147">
        <f t="shared" si="18"/>
        <v>0.21899594057866256</v>
      </c>
      <c r="AW50" s="22">
        <f t="shared" si="28"/>
        <v>1930214.36</v>
      </c>
      <c r="AX50" s="22">
        <f t="shared" si="28"/>
        <v>1841887.6500000001</v>
      </c>
      <c r="AY50" s="147">
        <f t="shared" si="19"/>
        <v>-4.5760052266940909E-2</v>
      </c>
      <c r="AZ50" s="22">
        <f t="shared" ref="AZ50:BD50" si="29">SUM(AZ4:AZ49)</f>
        <v>18377716.219999999</v>
      </c>
      <c r="BA50" s="22">
        <f t="shared" si="29"/>
        <v>21891325.650000002</v>
      </c>
      <c r="BB50" s="147">
        <f t="shared" si="23"/>
        <v>0.19118857794616684</v>
      </c>
      <c r="BC50" s="22">
        <f t="shared" si="29"/>
        <v>2928380.3400000003</v>
      </c>
      <c r="BD50" s="22">
        <f t="shared" si="29"/>
        <v>1665365.53</v>
      </c>
      <c r="BE50" s="147">
        <f t="shared" si="21"/>
        <v>-0.43130149207325996</v>
      </c>
      <c r="BF50" s="22">
        <f>SUM(BF4:BF49)</f>
        <v>21306096.560000002</v>
      </c>
      <c r="BG50" s="22">
        <f>SUM(BG4:BG49)</f>
        <v>23556691.180000007</v>
      </c>
      <c r="BH50" s="147">
        <f t="shared" si="24"/>
        <v>0.1056314850381963</v>
      </c>
      <c r="BI50" s="22">
        <f>SUM(BI4:BI42)</f>
        <v>4365273.7300000004</v>
      </c>
      <c r="BJ50" s="22">
        <f>SUM(BJ4:BJ42)</f>
        <v>3575920.73</v>
      </c>
      <c r="BK50" s="22">
        <f>SUM(BK4:BK42)</f>
        <v>3946077.97</v>
      </c>
      <c r="BL50" s="22">
        <f>SUM(BL4:BL42)</f>
        <v>33107347.989999995</v>
      </c>
      <c r="BM50" s="92">
        <f t="shared" si="25"/>
        <v>0.51784328819520786</v>
      </c>
      <c r="BN50" s="19"/>
      <c r="BO50" s="19"/>
      <c r="BP50" s="19"/>
    </row>
    <row r="53" spans="1:68">
      <c r="A53" s="250" t="s">
        <v>44</v>
      </c>
      <c r="B53" s="248" t="s">
        <v>45</v>
      </c>
      <c r="C53" s="200" t="s">
        <v>132</v>
      </c>
      <c r="D53" s="197" t="s">
        <v>47</v>
      </c>
      <c r="E53" s="197" t="s">
        <v>48</v>
      </c>
      <c r="F53" s="197" t="s">
        <v>49</v>
      </c>
      <c r="G53" s="197" t="s">
        <v>50</v>
      </c>
      <c r="H53" s="197" t="s">
        <v>51</v>
      </c>
      <c r="I53" s="201" t="s">
        <v>38</v>
      </c>
      <c r="J53" s="205" t="s">
        <v>3</v>
      </c>
      <c r="K53" s="206"/>
      <c r="L53" s="203" t="s">
        <v>4</v>
      </c>
      <c r="M53" s="197" t="s">
        <v>5</v>
      </c>
      <c r="N53" s="197"/>
      <c r="O53" s="196" t="s">
        <v>4</v>
      </c>
      <c r="P53" s="197" t="s">
        <v>39</v>
      </c>
      <c r="Q53" s="197"/>
      <c r="R53" s="196" t="s">
        <v>4</v>
      </c>
      <c r="S53" s="197" t="s">
        <v>6</v>
      </c>
      <c r="T53" s="197"/>
      <c r="U53" s="196" t="s">
        <v>4</v>
      </c>
      <c r="V53" s="197" t="s">
        <v>7</v>
      </c>
      <c r="W53" s="197"/>
      <c r="X53" s="196" t="s">
        <v>4</v>
      </c>
      <c r="Y53" s="197" t="s">
        <v>8</v>
      </c>
      <c r="Z53" s="197"/>
      <c r="AA53" s="196" t="s">
        <v>4</v>
      </c>
      <c r="AB53" s="197" t="s">
        <v>9</v>
      </c>
      <c r="AC53" s="197"/>
      <c r="AD53" s="196" t="s">
        <v>4</v>
      </c>
      <c r="AE53" s="197" t="s">
        <v>10</v>
      </c>
      <c r="AF53" s="197"/>
      <c r="AG53" s="196" t="s">
        <v>4</v>
      </c>
      <c r="AH53" s="197" t="s">
        <v>11</v>
      </c>
      <c r="AI53" s="197"/>
      <c r="AJ53" s="196" t="s">
        <v>4</v>
      </c>
      <c r="AK53" s="197" t="s">
        <v>12</v>
      </c>
      <c r="AL53" s="197"/>
      <c r="AM53" s="196" t="s">
        <v>4</v>
      </c>
      <c r="AN53" s="197" t="s">
        <v>13</v>
      </c>
      <c r="AO53" s="197"/>
      <c r="AP53" s="196" t="s">
        <v>4</v>
      </c>
      <c r="AQ53" s="197" t="s">
        <v>14</v>
      </c>
      <c r="AR53" s="197"/>
      <c r="AS53" s="196" t="s">
        <v>4</v>
      </c>
      <c r="AT53" s="197" t="s">
        <v>15</v>
      </c>
      <c r="AU53" s="197"/>
      <c r="AV53" s="187" t="s">
        <v>4</v>
      </c>
      <c r="AW53" s="197" t="s">
        <v>16</v>
      </c>
      <c r="AX53" s="197"/>
      <c r="AY53" s="196" t="s">
        <v>4</v>
      </c>
      <c r="AZ53" s="197" t="s">
        <v>17</v>
      </c>
      <c r="BA53" s="197"/>
      <c r="BB53" s="187" t="s">
        <v>4</v>
      </c>
      <c r="BC53" s="191" t="s">
        <v>18</v>
      </c>
      <c r="BD53" s="192"/>
      <c r="BE53" s="187" t="s">
        <v>4</v>
      </c>
      <c r="BF53" s="191" t="s">
        <v>19</v>
      </c>
      <c r="BG53" s="192"/>
      <c r="BH53" s="187" t="s">
        <v>4</v>
      </c>
      <c r="BI53" s="129" t="s">
        <v>40</v>
      </c>
      <c r="BJ53" s="129" t="s">
        <v>41</v>
      </c>
      <c r="BK53" s="129" t="s">
        <v>42</v>
      </c>
      <c r="BL53" s="64" t="s">
        <v>133</v>
      </c>
      <c r="BM53" s="198" t="s">
        <v>20</v>
      </c>
    </row>
    <row r="54" spans="1:68">
      <c r="A54" s="251"/>
      <c r="B54" s="249"/>
      <c r="C54" s="200"/>
      <c r="D54" s="197"/>
      <c r="E54" s="197"/>
      <c r="F54" s="197"/>
      <c r="G54" s="197"/>
      <c r="H54" s="197"/>
      <c r="I54" s="202"/>
      <c r="J54" s="63" t="s">
        <v>21</v>
      </c>
      <c r="K54" s="64" t="s">
        <v>22</v>
      </c>
      <c r="L54" s="204"/>
      <c r="M54" s="35" t="s">
        <v>21</v>
      </c>
      <c r="N54" s="35" t="s">
        <v>22</v>
      </c>
      <c r="O54" s="196"/>
      <c r="P54" s="35" t="s">
        <v>21</v>
      </c>
      <c r="Q54" s="35" t="s">
        <v>22</v>
      </c>
      <c r="R54" s="196"/>
      <c r="S54" s="35" t="s">
        <v>21</v>
      </c>
      <c r="T54" s="35" t="s">
        <v>22</v>
      </c>
      <c r="U54" s="196"/>
      <c r="V54" s="35" t="s">
        <v>21</v>
      </c>
      <c r="W54" s="35" t="s">
        <v>22</v>
      </c>
      <c r="X54" s="196"/>
      <c r="Y54" s="35" t="s">
        <v>21</v>
      </c>
      <c r="Z54" s="35" t="s">
        <v>22</v>
      </c>
      <c r="AA54" s="196"/>
      <c r="AB54" s="35" t="s">
        <v>21</v>
      </c>
      <c r="AC54" s="35" t="s">
        <v>22</v>
      </c>
      <c r="AD54" s="196"/>
      <c r="AE54" s="35" t="s">
        <v>21</v>
      </c>
      <c r="AF54" s="35" t="s">
        <v>22</v>
      </c>
      <c r="AG54" s="196"/>
      <c r="AH54" s="35" t="s">
        <v>21</v>
      </c>
      <c r="AI54" s="35" t="s">
        <v>22</v>
      </c>
      <c r="AJ54" s="196"/>
      <c r="AK54" s="35" t="s">
        <v>21</v>
      </c>
      <c r="AL54" s="35" t="s">
        <v>22</v>
      </c>
      <c r="AM54" s="196"/>
      <c r="AN54" s="35" t="s">
        <v>21</v>
      </c>
      <c r="AO54" s="35" t="s">
        <v>22</v>
      </c>
      <c r="AP54" s="196"/>
      <c r="AQ54" s="35" t="s">
        <v>21</v>
      </c>
      <c r="AR54" s="35" t="s">
        <v>22</v>
      </c>
      <c r="AS54" s="196"/>
      <c r="AT54" s="35" t="s">
        <v>21</v>
      </c>
      <c r="AU54" s="35" t="s">
        <v>22</v>
      </c>
      <c r="AV54" s="187"/>
      <c r="AW54" s="35" t="s">
        <v>21</v>
      </c>
      <c r="AX54" s="35" t="s">
        <v>22</v>
      </c>
      <c r="AY54" s="196"/>
      <c r="AZ54" s="35" t="s">
        <v>21</v>
      </c>
      <c r="BA54" s="35" t="s">
        <v>22</v>
      </c>
      <c r="BB54" s="187"/>
      <c r="BC54" s="35" t="s">
        <v>21</v>
      </c>
      <c r="BD54" s="35" t="s">
        <v>22</v>
      </c>
      <c r="BE54" s="187"/>
      <c r="BF54" s="35" t="s">
        <v>21</v>
      </c>
      <c r="BG54" s="35" t="s">
        <v>22</v>
      </c>
      <c r="BH54" s="187"/>
      <c r="BI54" s="64" t="s">
        <v>21</v>
      </c>
      <c r="BJ54" s="64" t="s">
        <v>21</v>
      </c>
      <c r="BK54" s="64" t="s">
        <v>21</v>
      </c>
      <c r="BL54" s="64" t="s">
        <v>21</v>
      </c>
      <c r="BM54" s="198"/>
      <c r="BN54" t="s">
        <v>53</v>
      </c>
    </row>
    <row r="55" spans="1:68">
      <c r="A55" s="22" t="s">
        <v>27</v>
      </c>
      <c r="B55" s="80" t="s">
        <v>27</v>
      </c>
      <c r="C55" s="174" t="s">
        <v>134</v>
      </c>
      <c r="D55" s="122" t="s">
        <v>61</v>
      </c>
      <c r="E55" s="122" t="s">
        <v>61</v>
      </c>
      <c r="F55" s="175" t="s">
        <v>135</v>
      </c>
      <c r="G55" s="176" t="s">
        <v>135</v>
      </c>
      <c r="H55" s="33" t="s">
        <v>136</v>
      </c>
      <c r="I55" s="33">
        <v>15</v>
      </c>
      <c r="J55" s="61"/>
      <c r="K55" s="61"/>
      <c r="L55" s="92" t="e">
        <f>K55/J55-1</f>
        <v>#DIV/0!</v>
      </c>
      <c r="M55" s="28"/>
      <c r="N55" s="28">
        <v>4405</v>
      </c>
      <c r="O55" s="92" t="e">
        <f>N55/M55-1</f>
        <v>#DIV/0!</v>
      </c>
      <c r="P55" s="28">
        <f>M55+J55</f>
        <v>0</v>
      </c>
      <c r="Q55" s="28">
        <f>N55+K55</f>
        <v>4405</v>
      </c>
      <c r="R55" s="92" t="e">
        <f>Q55/P55-1</f>
        <v>#DIV/0!</v>
      </c>
      <c r="S55" s="22">
        <v>10579</v>
      </c>
      <c r="T55" s="22">
        <v>30000</v>
      </c>
      <c r="U55" s="92">
        <f t="shared" ref="U55:U72" si="30">T55/S55-1</f>
        <v>1.8358067870309105</v>
      </c>
      <c r="V55" s="22">
        <f>S55+P55</f>
        <v>10579</v>
      </c>
      <c r="W55" s="22">
        <f>Q55+T55</f>
        <v>34405</v>
      </c>
      <c r="X55" s="92">
        <f t="shared" ref="X55:X72" si="31">W55/V55-1</f>
        <v>2.2521977502599491</v>
      </c>
      <c r="Y55" s="40"/>
      <c r="Z55" s="40"/>
      <c r="AA55" s="92" t="e">
        <f t="shared" ref="AA55:AA72" si="32">Z55/Y55-1</f>
        <v>#DIV/0!</v>
      </c>
      <c r="AB55" s="22">
        <f>V55+Y55</f>
        <v>10579</v>
      </c>
      <c r="AC55" s="22">
        <f>W55+Z55</f>
        <v>34405</v>
      </c>
      <c r="AD55" s="92">
        <f t="shared" ref="AD55:AD72" si="33">AC55/AB55-1</f>
        <v>2.2521977502599491</v>
      </c>
      <c r="AE55" s="22"/>
      <c r="AF55" s="22"/>
      <c r="AG55" s="92" t="e">
        <f t="shared" ref="AG55:AG73" si="34">AF55/AE55-1</f>
        <v>#DIV/0!</v>
      </c>
      <c r="AH55" s="22">
        <f>AE55+AB55</f>
        <v>10579</v>
      </c>
      <c r="AI55" s="22">
        <f>AF55+AC55</f>
        <v>34405</v>
      </c>
      <c r="AJ55" s="92">
        <f t="shared" ref="AJ55:AJ73" si="35">AI55/AH55-1</f>
        <v>2.2521977502599491</v>
      </c>
      <c r="AK55" s="101">
        <v>6097</v>
      </c>
      <c r="AL55" s="101"/>
      <c r="AM55" s="92">
        <f t="shared" ref="AM55:AM75" si="36">AL55/AK55-1</f>
        <v>-1</v>
      </c>
      <c r="AN55" s="101">
        <f>AH55+AK55</f>
        <v>16676</v>
      </c>
      <c r="AO55" s="101">
        <f>AI55+AL55</f>
        <v>34405</v>
      </c>
      <c r="AP55" s="92">
        <f>AO55/AN55-1</f>
        <v>1.0631446390021586</v>
      </c>
      <c r="AQ55" s="39">
        <v>8810</v>
      </c>
      <c r="AR55" s="39"/>
      <c r="AS55" s="92">
        <f t="shared" ref="AS55:AS75" si="37">AR55/AQ55-1</f>
        <v>-1</v>
      </c>
      <c r="AT55" s="39">
        <f>AQ55+AN55</f>
        <v>25486</v>
      </c>
      <c r="AU55" s="39">
        <f>AR55+AO55</f>
        <v>34405</v>
      </c>
      <c r="AV55" s="92">
        <f t="shared" ref="AV55:AV75" si="38">AU55/AT55-1</f>
        <v>0.34995683904888963</v>
      </c>
      <c r="AW55" s="126"/>
      <c r="AX55" s="126"/>
      <c r="AY55" s="92" t="e">
        <f>AX55/AW55-1</f>
        <v>#DIV/0!</v>
      </c>
      <c r="AZ55" s="126">
        <f>AW55+AT55</f>
        <v>25486</v>
      </c>
      <c r="BA55" s="126">
        <f>AX55+AU55</f>
        <v>34405</v>
      </c>
      <c r="BB55" s="92">
        <f t="shared" ref="BB55:BB75" si="39">BA55/AZ55-1</f>
        <v>0.34995683904888963</v>
      </c>
      <c r="BC55" s="38">
        <v>2148</v>
      </c>
      <c r="BD55" s="38"/>
      <c r="BE55" s="92">
        <f>BD55/BC55-1</f>
        <v>-1</v>
      </c>
      <c r="BF55" s="38">
        <f>BC55+AZ55</f>
        <v>27634</v>
      </c>
      <c r="BG55" s="38">
        <f>BD55+BA55</f>
        <v>34405</v>
      </c>
      <c r="BH55" s="92">
        <f>BG55/BF55-1</f>
        <v>0.24502424549468049</v>
      </c>
      <c r="BI55" s="22"/>
      <c r="BJ55" s="28"/>
      <c r="BK55" s="61">
        <v>2148</v>
      </c>
      <c r="BL55" s="61">
        <v>29782</v>
      </c>
      <c r="BM55" s="71">
        <f>BG55/10000/I55</f>
        <v>0.22936666666666666</v>
      </c>
    </row>
    <row r="56" spans="1:68">
      <c r="A56" s="22" t="s">
        <v>27</v>
      </c>
      <c r="B56" s="80" t="s">
        <v>27</v>
      </c>
      <c r="C56" s="81" t="s">
        <v>137</v>
      </c>
      <c r="D56" s="122" t="s">
        <v>65</v>
      </c>
      <c r="E56" s="122" t="s">
        <v>65</v>
      </c>
      <c r="F56" s="175" t="s">
        <v>138</v>
      </c>
      <c r="G56" s="176" t="s">
        <v>138</v>
      </c>
      <c r="H56" s="33" t="s">
        <v>139</v>
      </c>
      <c r="I56" s="33"/>
      <c r="J56" s="61">
        <v>2000</v>
      </c>
      <c r="K56" s="61">
        <v>3500</v>
      </c>
      <c r="L56" s="92">
        <f t="shared" ref="L56:L72" si="40">K56/J56-1</f>
        <v>0.75</v>
      </c>
      <c r="M56" s="28"/>
      <c r="N56" s="28">
        <v>10000</v>
      </c>
      <c r="O56" s="92" t="e">
        <f t="shared" ref="O56:O72" si="41">N56/M56-1</f>
        <v>#DIV/0!</v>
      </c>
      <c r="P56" s="28">
        <f t="shared" ref="P56:Q72" si="42">M56+J56</f>
        <v>2000</v>
      </c>
      <c r="Q56" s="28">
        <f t="shared" si="42"/>
        <v>13500</v>
      </c>
      <c r="R56" s="92">
        <f t="shared" ref="R56:R72" si="43">Q56/P56-1</f>
        <v>5.75</v>
      </c>
      <c r="S56" s="22"/>
      <c r="T56" s="22">
        <v>13017.06</v>
      </c>
      <c r="U56" s="92" t="e">
        <f t="shared" si="30"/>
        <v>#DIV/0!</v>
      </c>
      <c r="V56" s="22">
        <f t="shared" ref="V56:V72" si="44">S56+P56</f>
        <v>2000</v>
      </c>
      <c r="W56" s="22">
        <f t="shared" ref="W56:W72" si="45">Q56+T56</f>
        <v>26517.059999999998</v>
      </c>
      <c r="X56" s="92">
        <f t="shared" si="31"/>
        <v>12.258529999999999</v>
      </c>
      <c r="Y56" s="39">
        <v>58500</v>
      </c>
      <c r="Z56" s="39"/>
      <c r="AA56" s="92">
        <f t="shared" si="32"/>
        <v>-1</v>
      </c>
      <c r="AB56" s="22">
        <f t="shared" ref="AB56:AC72" si="46">V56+Y56</f>
        <v>60500</v>
      </c>
      <c r="AC56" s="22">
        <f t="shared" si="46"/>
        <v>26517.059999999998</v>
      </c>
      <c r="AD56" s="92">
        <f t="shared" si="33"/>
        <v>-0.56170148760330585</v>
      </c>
      <c r="AE56" s="22">
        <v>47100</v>
      </c>
      <c r="AF56" s="22"/>
      <c r="AG56" s="92">
        <f t="shared" si="34"/>
        <v>-1</v>
      </c>
      <c r="AH56" s="22">
        <f t="shared" ref="AH56:AI73" si="47">AE56+AB56</f>
        <v>107600</v>
      </c>
      <c r="AI56" s="22">
        <f t="shared" si="47"/>
        <v>26517.059999999998</v>
      </c>
      <c r="AJ56" s="92">
        <f t="shared" si="35"/>
        <v>-0.75355892193308549</v>
      </c>
      <c r="AK56" s="101">
        <v>104700</v>
      </c>
      <c r="AL56" s="101"/>
      <c r="AM56" s="92">
        <f t="shared" si="36"/>
        <v>-1</v>
      </c>
      <c r="AN56" s="101">
        <f t="shared" ref="AN56:AO74" si="48">AH56+AK56</f>
        <v>212300</v>
      </c>
      <c r="AO56" s="101">
        <f t="shared" si="48"/>
        <v>26517.059999999998</v>
      </c>
      <c r="AP56" s="92">
        <f>AO56/AN56-1</f>
        <v>-0.87509627885068297</v>
      </c>
      <c r="AQ56" s="39">
        <v>2311</v>
      </c>
      <c r="AR56" s="39"/>
      <c r="AS56" s="92">
        <f t="shared" si="37"/>
        <v>-1</v>
      </c>
      <c r="AT56" s="39">
        <f t="shared" ref="AT56:AU74" si="49">AQ56+AN56</f>
        <v>214611</v>
      </c>
      <c r="AU56" s="39">
        <f t="shared" si="49"/>
        <v>26517.059999999998</v>
      </c>
      <c r="AV56" s="92">
        <f t="shared" si="38"/>
        <v>-0.87644128213372108</v>
      </c>
      <c r="AW56" s="126"/>
      <c r="AX56" s="126"/>
      <c r="AY56" s="92" t="e">
        <f t="shared" ref="AY56:AY75" si="50">AX56/AW56-1</f>
        <v>#DIV/0!</v>
      </c>
      <c r="AZ56" s="126">
        <f t="shared" ref="AZ56:BA74" si="51">AW56+AT56</f>
        <v>214611</v>
      </c>
      <c r="BA56" s="126">
        <f t="shared" si="51"/>
        <v>26517.059999999998</v>
      </c>
      <c r="BB56" s="92">
        <f t="shared" si="39"/>
        <v>-0.87644128213372108</v>
      </c>
      <c r="BC56" s="38">
        <v>91007</v>
      </c>
      <c r="BD56" s="38"/>
      <c r="BE56" s="92">
        <f t="shared" ref="BE56:BE75" si="52">BD56/BC56-1</f>
        <v>-1</v>
      </c>
      <c r="BF56" s="38">
        <f t="shared" ref="BF56:BG74" si="53">BC56+AZ56</f>
        <v>305618</v>
      </c>
      <c r="BG56" s="38">
        <f t="shared" si="53"/>
        <v>26517.059999999998</v>
      </c>
      <c r="BH56" s="92">
        <f t="shared" ref="BH56:BH75" si="54">BG56/BF56-1</f>
        <v>-0.91323462623274809</v>
      </c>
      <c r="BI56" s="22">
        <v>40000</v>
      </c>
      <c r="BJ56" s="28">
        <v>109300</v>
      </c>
      <c r="BK56" s="61">
        <v>113080</v>
      </c>
      <c r="BL56" s="61">
        <v>567998</v>
      </c>
      <c r="BM56" s="71" t="e">
        <f t="shared" ref="BM56:BM75" si="55">BG56/10000/I56</f>
        <v>#DIV/0!</v>
      </c>
    </row>
    <row r="57" spans="1:68">
      <c r="A57" s="22" t="s">
        <v>27</v>
      </c>
      <c r="B57" s="80" t="s">
        <v>27</v>
      </c>
      <c r="C57" s="174" t="s">
        <v>140</v>
      </c>
      <c r="D57" s="122" t="s">
        <v>56</v>
      </c>
      <c r="E57" s="122" t="s">
        <v>56</v>
      </c>
      <c r="F57" s="122" t="s">
        <v>141</v>
      </c>
      <c r="G57" s="33" t="s">
        <v>80</v>
      </c>
      <c r="H57" s="33" t="s">
        <v>142</v>
      </c>
      <c r="I57" s="33">
        <v>600</v>
      </c>
      <c r="J57" s="61">
        <v>200000</v>
      </c>
      <c r="K57" s="61">
        <v>400000</v>
      </c>
      <c r="L57" s="92">
        <f t="shared" si="40"/>
        <v>1</v>
      </c>
      <c r="M57" s="28">
        <v>300000</v>
      </c>
      <c r="N57" s="28">
        <v>300000</v>
      </c>
      <c r="O57" s="92">
        <f t="shared" si="41"/>
        <v>0</v>
      </c>
      <c r="P57" s="28">
        <f t="shared" si="42"/>
        <v>500000</v>
      </c>
      <c r="Q57" s="28">
        <f t="shared" si="42"/>
        <v>700000</v>
      </c>
      <c r="R57" s="92">
        <f t="shared" si="43"/>
        <v>0.39999999999999991</v>
      </c>
      <c r="S57" s="22"/>
      <c r="T57" s="22">
        <f>40000+170000</f>
        <v>210000</v>
      </c>
      <c r="U57" s="92" t="e">
        <f t="shared" si="30"/>
        <v>#DIV/0!</v>
      </c>
      <c r="V57" s="22">
        <f t="shared" si="44"/>
        <v>500000</v>
      </c>
      <c r="W57" s="22">
        <f t="shared" si="45"/>
        <v>910000</v>
      </c>
      <c r="X57" s="92">
        <f t="shared" si="31"/>
        <v>0.82000000000000006</v>
      </c>
      <c r="Y57" s="39">
        <v>250000</v>
      </c>
      <c r="Z57" s="39">
        <v>400000</v>
      </c>
      <c r="AA57" s="92">
        <f t="shared" si="32"/>
        <v>0.60000000000000009</v>
      </c>
      <c r="AB57" s="22">
        <f t="shared" si="46"/>
        <v>750000</v>
      </c>
      <c r="AC57" s="22">
        <f t="shared" si="46"/>
        <v>1310000</v>
      </c>
      <c r="AD57" s="92">
        <f t="shared" si="33"/>
        <v>0.74666666666666659</v>
      </c>
      <c r="AE57" s="22">
        <v>420000</v>
      </c>
      <c r="AF57" s="22">
        <v>180000</v>
      </c>
      <c r="AG57" s="92">
        <f t="shared" si="34"/>
        <v>-0.5714285714285714</v>
      </c>
      <c r="AH57" s="22">
        <f t="shared" si="47"/>
        <v>1170000</v>
      </c>
      <c r="AI57" s="22">
        <f t="shared" si="47"/>
        <v>1490000</v>
      </c>
      <c r="AJ57" s="92">
        <f t="shared" si="35"/>
        <v>0.27350427350427342</v>
      </c>
      <c r="AK57" s="101">
        <v>150000</v>
      </c>
      <c r="AL57" s="101">
        <v>200000</v>
      </c>
      <c r="AM57" s="92">
        <f t="shared" si="36"/>
        <v>0.33333333333333326</v>
      </c>
      <c r="AN57" s="101">
        <f t="shared" si="48"/>
        <v>1320000</v>
      </c>
      <c r="AO57" s="101">
        <f t="shared" si="48"/>
        <v>1690000</v>
      </c>
      <c r="AP57" s="92">
        <f t="shared" ref="AP57:AP75" si="56">AO57/AN57-1</f>
        <v>0.28030303030303028</v>
      </c>
      <c r="AQ57" s="39">
        <v>200000</v>
      </c>
      <c r="AR57" s="39">
        <v>250000</v>
      </c>
      <c r="AS57" s="92">
        <f t="shared" si="37"/>
        <v>0.25</v>
      </c>
      <c r="AT57" s="39">
        <f t="shared" si="49"/>
        <v>1520000</v>
      </c>
      <c r="AU57" s="39">
        <f t="shared" si="49"/>
        <v>1940000</v>
      </c>
      <c r="AV57" s="92">
        <f t="shared" si="38"/>
        <v>0.27631578947368429</v>
      </c>
      <c r="AW57" s="126">
        <v>250000</v>
      </c>
      <c r="AX57" s="126">
        <v>200000</v>
      </c>
      <c r="AY57" s="92">
        <f t="shared" si="50"/>
        <v>-0.19999999999999996</v>
      </c>
      <c r="AZ57" s="126">
        <f t="shared" si="51"/>
        <v>1770000</v>
      </c>
      <c r="BA57" s="126">
        <f t="shared" si="51"/>
        <v>2140000</v>
      </c>
      <c r="BB57" s="92">
        <f t="shared" si="39"/>
        <v>0.20903954802259883</v>
      </c>
      <c r="BC57" s="38">
        <v>259764.14</v>
      </c>
      <c r="BD57" s="38">
        <v>160000</v>
      </c>
      <c r="BE57" s="92">
        <f t="shared" si="52"/>
        <v>-0.38405662921756645</v>
      </c>
      <c r="BF57" s="38">
        <f t="shared" si="53"/>
        <v>2029764.1400000001</v>
      </c>
      <c r="BG57" s="38">
        <f t="shared" si="53"/>
        <v>2300000</v>
      </c>
      <c r="BH57" s="92">
        <f t="shared" si="54"/>
        <v>0.13313658206613099</v>
      </c>
      <c r="BI57" s="22">
        <v>440000</v>
      </c>
      <c r="BJ57" s="28">
        <v>600000</v>
      </c>
      <c r="BK57" s="61">
        <v>900000</v>
      </c>
      <c r="BL57" s="61">
        <v>3969764.14</v>
      </c>
      <c r="BM57" s="71">
        <f t="shared" si="55"/>
        <v>0.38333333333333336</v>
      </c>
      <c r="BN57">
        <v>170000</v>
      </c>
    </row>
    <row r="58" spans="1:68">
      <c r="A58" s="22" t="s">
        <v>27</v>
      </c>
      <c r="B58" s="80" t="s">
        <v>27</v>
      </c>
      <c r="C58" s="81" t="s">
        <v>143</v>
      </c>
      <c r="D58" s="122" t="s">
        <v>61</v>
      </c>
      <c r="E58" s="122" t="s">
        <v>61</v>
      </c>
      <c r="F58" s="175" t="s">
        <v>144</v>
      </c>
      <c r="G58" s="176" t="s">
        <v>144</v>
      </c>
      <c r="H58" s="33" t="s">
        <v>139</v>
      </c>
      <c r="I58" s="33">
        <v>70</v>
      </c>
      <c r="J58" s="61"/>
      <c r="K58" s="61">
        <v>23268</v>
      </c>
      <c r="L58" s="125" t="e">
        <f t="shared" si="40"/>
        <v>#DIV/0!</v>
      </c>
      <c r="M58" s="111"/>
      <c r="N58" s="111">
        <v>20000</v>
      </c>
      <c r="O58" s="125" t="e">
        <f t="shared" si="41"/>
        <v>#DIV/0!</v>
      </c>
      <c r="P58" s="111">
        <f t="shared" si="42"/>
        <v>0</v>
      </c>
      <c r="Q58" s="111">
        <f t="shared" si="42"/>
        <v>43268</v>
      </c>
      <c r="R58" s="125" t="e">
        <f t="shared" si="43"/>
        <v>#DIV/0!</v>
      </c>
      <c r="S58" s="22">
        <f>138700+11340</f>
        <v>150040</v>
      </c>
      <c r="T58" s="22">
        <f>505+110381</f>
        <v>110886</v>
      </c>
      <c r="U58" s="92">
        <f t="shared" si="30"/>
        <v>-0.26095707811250335</v>
      </c>
      <c r="V58" s="22">
        <f t="shared" si="44"/>
        <v>150040</v>
      </c>
      <c r="W58" s="22">
        <f t="shared" si="45"/>
        <v>154154</v>
      </c>
      <c r="X58" s="92">
        <f t="shared" si="31"/>
        <v>2.7419354838709609E-2</v>
      </c>
      <c r="Y58" s="38"/>
      <c r="Z58" s="38"/>
      <c r="AA58" s="92" t="e">
        <f t="shared" si="32"/>
        <v>#DIV/0!</v>
      </c>
      <c r="AB58" s="22">
        <f t="shared" si="46"/>
        <v>150040</v>
      </c>
      <c r="AC58" s="22">
        <f t="shared" si="46"/>
        <v>154154</v>
      </c>
      <c r="AD58" s="92">
        <f t="shared" si="33"/>
        <v>2.7419354838709609E-2</v>
      </c>
      <c r="AE58" s="22">
        <v>39000</v>
      </c>
      <c r="AF58" s="22">
        <v>31123</v>
      </c>
      <c r="AG58" s="92">
        <f t="shared" si="34"/>
        <v>-0.201974358974359</v>
      </c>
      <c r="AH58" s="22">
        <f t="shared" si="47"/>
        <v>189040</v>
      </c>
      <c r="AI58" s="22">
        <f t="shared" si="47"/>
        <v>185277</v>
      </c>
      <c r="AJ58" s="92">
        <f t="shared" si="35"/>
        <v>-1.9905840033855315E-2</v>
      </c>
      <c r="AK58" s="101">
        <f>26000+115000</f>
        <v>141000</v>
      </c>
      <c r="AL58" s="101">
        <v>25000</v>
      </c>
      <c r="AM58" s="92">
        <f t="shared" si="36"/>
        <v>-0.82269503546099287</v>
      </c>
      <c r="AN58" s="101">
        <f t="shared" si="48"/>
        <v>330040</v>
      </c>
      <c r="AO58" s="101">
        <f t="shared" si="48"/>
        <v>210277</v>
      </c>
      <c r="AP58" s="92">
        <f t="shared" si="56"/>
        <v>-0.36287419706702218</v>
      </c>
      <c r="AQ58" s="38">
        <v>2746.26</v>
      </c>
      <c r="AR58" s="39">
        <v>26000</v>
      </c>
      <c r="AS58" s="92">
        <f t="shared" si="37"/>
        <v>8.4674211473057905</v>
      </c>
      <c r="AT58" s="39">
        <f t="shared" si="49"/>
        <v>332786.26</v>
      </c>
      <c r="AU58" s="39">
        <f t="shared" si="49"/>
        <v>236277</v>
      </c>
      <c r="AV58" s="92">
        <f t="shared" si="38"/>
        <v>-0.29000373993806117</v>
      </c>
      <c r="AW58" s="127"/>
      <c r="AX58" s="126">
        <v>81471</v>
      </c>
      <c r="AY58" s="92" t="e">
        <f t="shared" si="50"/>
        <v>#DIV/0!</v>
      </c>
      <c r="AZ58" s="126">
        <f t="shared" si="51"/>
        <v>332786.26</v>
      </c>
      <c r="BA58" s="126">
        <f t="shared" si="51"/>
        <v>317748</v>
      </c>
      <c r="BB58" s="92">
        <f t="shared" si="39"/>
        <v>-4.5188945000313452E-2</v>
      </c>
      <c r="BC58" s="38"/>
      <c r="BD58" s="38">
        <v>52000</v>
      </c>
      <c r="BE58" s="92" t="e">
        <f t="shared" si="52"/>
        <v>#DIV/0!</v>
      </c>
      <c r="BF58" s="38">
        <f t="shared" si="53"/>
        <v>332786.26</v>
      </c>
      <c r="BG58" s="38">
        <f t="shared" si="53"/>
        <v>369748</v>
      </c>
      <c r="BH58" s="92">
        <f t="shared" si="54"/>
        <v>0.11106750621254613</v>
      </c>
      <c r="BI58" s="22">
        <f>-52392+87495</f>
        <v>35103</v>
      </c>
      <c r="BJ58" s="111">
        <f>-7894+13102+4456</f>
        <v>9664</v>
      </c>
      <c r="BK58" s="61">
        <v>41447</v>
      </c>
      <c r="BL58" s="61">
        <v>419000.26</v>
      </c>
      <c r="BM58" s="71">
        <f t="shared" si="55"/>
        <v>0.52821142857142855</v>
      </c>
    </row>
    <row r="59" spans="1:68">
      <c r="A59" s="22" t="s">
        <v>27</v>
      </c>
      <c r="B59" s="80" t="s">
        <v>27</v>
      </c>
      <c r="C59" s="81" t="s">
        <v>145</v>
      </c>
      <c r="D59" s="122" t="s">
        <v>84</v>
      </c>
      <c r="E59" s="122" t="s">
        <v>84</v>
      </c>
      <c r="F59" s="175" t="s">
        <v>135</v>
      </c>
      <c r="G59" s="176" t="s">
        <v>135</v>
      </c>
      <c r="H59" s="33" t="s">
        <v>136</v>
      </c>
      <c r="I59" s="33">
        <v>75</v>
      </c>
      <c r="J59" s="61">
        <v>68740</v>
      </c>
      <c r="K59" s="61">
        <v>41556</v>
      </c>
      <c r="L59" s="92">
        <f t="shared" si="40"/>
        <v>-0.39546115798661619</v>
      </c>
      <c r="M59" s="28">
        <v>17488</v>
      </c>
      <c r="N59" s="28">
        <v>23930</v>
      </c>
      <c r="O59" s="92">
        <f t="shared" si="41"/>
        <v>0.36836688014638619</v>
      </c>
      <c r="P59" s="28">
        <f t="shared" si="42"/>
        <v>86228</v>
      </c>
      <c r="Q59" s="28">
        <f t="shared" si="42"/>
        <v>65486</v>
      </c>
      <c r="R59" s="92">
        <f t="shared" si="43"/>
        <v>-0.2405483137727884</v>
      </c>
      <c r="S59" s="22">
        <v>42550</v>
      </c>
      <c r="T59" s="22">
        <v>28616</v>
      </c>
      <c r="U59" s="92">
        <f t="shared" si="30"/>
        <v>-0.3274735605170388</v>
      </c>
      <c r="V59" s="22">
        <f t="shared" si="44"/>
        <v>128778</v>
      </c>
      <c r="W59" s="22">
        <f t="shared" si="45"/>
        <v>94102</v>
      </c>
      <c r="X59" s="92">
        <f t="shared" si="31"/>
        <v>-0.26926959573840248</v>
      </c>
      <c r="Y59" s="39">
        <v>48590</v>
      </c>
      <c r="Z59" s="39">
        <v>5936</v>
      </c>
      <c r="AA59" s="92">
        <f t="shared" si="32"/>
        <v>-0.87783494546202923</v>
      </c>
      <c r="AB59" s="22">
        <f t="shared" si="46"/>
        <v>177368</v>
      </c>
      <c r="AC59" s="22">
        <f t="shared" si="46"/>
        <v>100038</v>
      </c>
      <c r="AD59" s="92">
        <f t="shared" si="33"/>
        <v>-0.43598619818682061</v>
      </c>
      <c r="AE59" s="22">
        <v>76270</v>
      </c>
      <c r="AF59" s="22">
        <v>33015</v>
      </c>
      <c r="AG59" s="92">
        <f t="shared" si="34"/>
        <v>-0.56712993313229321</v>
      </c>
      <c r="AH59" s="22">
        <f t="shared" si="47"/>
        <v>253638</v>
      </c>
      <c r="AI59" s="22">
        <f t="shared" si="47"/>
        <v>133053</v>
      </c>
      <c r="AJ59" s="92">
        <f t="shared" si="35"/>
        <v>-0.47542166394625407</v>
      </c>
      <c r="AK59" s="101">
        <v>39070</v>
      </c>
      <c r="AL59" s="101">
        <f>12199-7600</f>
        <v>4599</v>
      </c>
      <c r="AM59" s="92">
        <f t="shared" si="36"/>
        <v>-0.8822882006654722</v>
      </c>
      <c r="AN59" s="101">
        <f t="shared" si="48"/>
        <v>292708</v>
      </c>
      <c r="AO59" s="101">
        <f t="shared" si="48"/>
        <v>137652</v>
      </c>
      <c r="AP59" s="92">
        <f t="shared" si="56"/>
        <v>-0.52972928652445439</v>
      </c>
      <c r="AQ59" s="39">
        <v>10450</v>
      </c>
      <c r="AR59" s="39">
        <v>-4599</v>
      </c>
      <c r="AS59" s="92">
        <f t="shared" si="37"/>
        <v>-1.4400956937799043</v>
      </c>
      <c r="AT59" s="39">
        <f t="shared" si="49"/>
        <v>303158</v>
      </c>
      <c r="AU59" s="39">
        <f t="shared" si="49"/>
        <v>133053</v>
      </c>
      <c r="AV59" s="92">
        <f t="shared" si="38"/>
        <v>-0.56111004822567767</v>
      </c>
      <c r="AW59" s="126">
        <v>21056</v>
      </c>
      <c r="AX59" s="126">
        <v>0</v>
      </c>
      <c r="AY59" s="92">
        <f t="shared" si="50"/>
        <v>-1</v>
      </c>
      <c r="AZ59" s="126">
        <f t="shared" si="51"/>
        <v>324214</v>
      </c>
      <c r="BA59" s="126">
        <f t="shared" si="51"/>
        <v>133053</v>
      </c>
      <c r="BB59" s="92">
        <f t="shared" si="39"/>
        <v>-0.58961365024335777</v>
      </c>
      <c r="BC59" s="38">
        <v>106142</v>
      </c>
      <c r="BD59" s="38"/>
      <c r="BE59" s="92">
        <f t="shared" si="52"/>
        <v>-1</v>
      </c>
      <c r="BF59" s="38">
        <f t="shared" si="53"/>
        <v>430356</v>
      </c>
      <c r="BG59" s="38">
        <f t="shared" si="53"/>
        <v>133053</v>
      </c>
      <c r="BH59" s="92">
        <f t="shared" si="54"/>
        <v>-0.69083038228815208</v>
      </c>
      <c r="BI59" s="22">
        <v>61139</v>
      </c>
      <c r="BJ59" s="28">
        <v>25316</v>
      </c>
      <c r="BK59" s="61">
        <v>115791</v>
      </c>
      <c r="BL59" s="61">
        <v>632602</v>
      </c>
      <c r="BM59" s="71">
        <f t="shared" si="55"/>
        <v>0.17740400000000001</v>
      </c>
    </row>
    <row r="60" spans="1:68">
      <c r="A60" s="22" t="s">
        <v>27</v>
      </c>
      <c r="B60" s="80" t="s">
        <v>27</v>
      </c>
      <c r="C60" s="81" t="s">
        <v>146</v>
      </c>
      <c r="D60" s="122" t="s">
        <v>88</v>
      </c>
      <c r="E60" s="122" t="s">
        <v>88</v>
      </c>
      <c r="F60" s="122" t="s">
        <v>141</v>
      </c>
      <c r="G60" s="33" t="s">
        <v>80</v>
      </c>
      <c r="H60" s="33" t="s">
        <v>139</v>
      </c>
      <c r="I60" s="33"/>
      <c r="J60" s="61">
        <v>216965.28</v>
      </c>
      <c r="K60" s="61">
        <v>4938</v>
      </c>
      <c r="L60" s="92">
        <f t="shared" si="40"/>
        <v>-0.97724059812703667</v>
      </c>
      <c r="M60" s="28">
        <v>59548</v>
      </c>
      <c r="N60" s="28"/>
      <c r="O60" s="92">
        <f t="shared" si="41"/>
        <v>-1</v>
      </c>
      <c r="P60" s="28">
        <f t="shared" si="42"/>
        <v>276513.28000000003</v>
      </c>
      <c r="Q60" s="28">
        <f t="shared" si="42"/>
        <v>4938</v>
      </c>
      <c r="R60" s="92">
        <f t="shared" si="43"/>
        <v>-0.98214190652976952</v>
      </c>
      <c r="S60" s="22">
        <v>97829.46</v>
      </c>
      <c r="T60" s="22">
        <v>2998</v>
      </c>
      <c r="U60" s="92">
        <f t="shared" si="30"/>
        <v>-0.9693548344230869</v>
      </c>
      <c r="V60" s="22">
        <f t="shared" si="44"/>
        <v>374342.74000000005</v>
      </c>
      <c r="W60" s="22">
        <f t="shared" si="45"/>
        <v>7936</v>
      </c>
      <c r="X60" s="92">
        <f t="shared" si="31"/>
        <v>-0.97880017654409435</v>
      </c>
      <c r="Y60" s="39">
        <v>14652</v>
      </c>
      <c r="Z60" s="39">
        <v>2400</v>
      </c>
      <c r="AA60" s="92">
        <f t="shared" si="32"/>
        <v>-0.83619983619983618</v>
      </c>
      <c r="AB60" s="22">
        <f t="shared" si="46"/>
        <v>388994.74000000005</v>
      </c>
      <c r="AC60" s="22">
        <f t="shared" si="46"/>
        <v>10336</v>
      </c>
      <c r="AD60" s="92">
        <f t="shared" si="33"/>
        <v>-0.97342894662277435</v>
      </c>
      <c r="AE60" s="22">
        <v>2100</v>
      </c>
      <c r="AF60" s="22">
        <v>11730</v>
      </c>
      <c r="AG60" s="92">
        <f t="shared" si="34"/>
        <v>4.5857142857142854</v>
      </c>
      <c r="AH60" s="22">
        <f t="shared" si="47"/>
        <v>391094.74000000005</v>
      </c>
      <c r="AI60" s="22">
        <f t="shared" si="47"/>
        <v>22066</v>
      </c>
      <c r="AJ60" s="92">
        <f t="shared" si="35"/>
        <v>-0.94357888832767223</v>
      </c>
      <c r="AK60" s="101"/>
      <c r="AL60" s="101">
        <f>2998+7600</f>
        <v>10598</v>
      </c>
      <c r="AM60" s="92" t="e">
        <f t="shared" si="36"/>
        <v>#DIV/0!</v>
      </c>
      <c r="AN60" s="101">
        <f t="shared" si="48"/>
        <v>391094.74000000005</v>
      </c>
      <c r="AO60" s="101">
        <f t="shared" si="48"/>
        <v>32664</v>
      </c>
      <c r="AP60" s="92">
        <f t="shared" si="56"/>
        <v>-0.91648059495763101</v>
      </c>
      <c r="AQ60" s="39">
        <v>18196</v>
      </c>
      <c r="AR60" s="39">
        <v>8400</v>
      </c>
      <c r="AS60" s="92">
        <f t="shared" si="37"/>
        <v>-0.53836007913827211</v>
      </c>
      <c r="AT60" s="39">
        <f t="shared" si="49"/>
        <v>409290.74000000005</v>
      </c>
      <c r="AU60" s="39">
        <f t="shared" si="49"/>
        <v>41064</v>
      </c>
      <c r="AV60" s="92">
        <f t="shared" si="38"/>
        <v>-0.89967034191880324</v>
      </c>
      <c r="AW60" s="126">
        <v>3666</v>
      </c>
      <c r="AX60" s="126">
        <v>8876</v>
      </c>
      <c r="AY60" s="92">
        <f t="shared" si="50"/>
        <v>1.4211674849972722</v>
      </c>
      <c r="AZ60" s="126">
        <f t="shared" si="51"/>
        <v>412956.74000000005</v>
      </c>
      <c r="BA60" s="126">
        <f t="shared" si="51"/>
        <v>49940</v>
      </c>
      <c r="BB60" s="92">
        <f t="shared" si="39"/>
        <v>-0.87906723595309288</v>
      </c>
      <c r="BC60" s="38">
        <v>21554</v>
      </c>
      <c r="BD60" s="38"/>
      <c r="BE60" s="92">
        <f t="shared" si="52"/>
        <v>-1</v>
      </c>
      <c r="BF60" s="38">
        <f t="shared" si="53"/>
        <v>434510.74000000005</v>
      </c>
      <c r="BG60" s="38">
        <f t="shared" si="53"/>
        <v>49940</v>
      </c>
      <c r="BH60" s="92">
        <f t="shared" si="54"/>
        <v>-0.88506613208225882</v>
      </c>
      <c r="BI60" s="22">
        <v>2796</v>
      </c>
      <c r="BJ60" s="28">
        <v>796</v>
      </c>
      <c r="BK60" s="61">
        <v>8848</v>
      </c>
      <c r="BL60" s="61">
        <v>446950.74</v>
      </c>
      <c r="BM60" s="71" t="e">
        <f t="shared" si="55"/>
        <v>#DIV/0!</v>
      </c>
    </row>
    <row r="61" spans="1:68">
      <c r="A61" s="22" t="s">
        <v>27</v>
      </c>
      <c r="B61" s="80" t="s">
        <v>27</v>
      </c>
      <c r="C61" s="81" t="s">
        <v>147</v>
      </c>
      <c r="D61" s="122" t="s">
        <v>61</v>
      </c>
      <c r="E61" s="122" t="s">
        <v>61</v>
      </c>
      <c r="F61" s="122" t="s">
        <v>141</v>
      </c>
      <c r="G61" s="176" t="s">
        <v>148</v>
      </c>
      <c r="H61" s="33" t="s">
        <v>139</v>
      </c>
      <c r="I61" s="33"/>
      <c r="J61" s="61">
        <v>4521</v>
      </c>
      <c r="K61" s="61"/>
      <c r="L61" s="92">
        <f t="shared" si="40"/>
        <v>-1</v>
      </c>
      <c r="M61" s="28"/>
      <c r="N61" s="28"/>
      <c r="O61" s="92" t="e">
        <f t="shared" si="41"/>
        <v>#DIV/0!</v>
      </c>
      <c r="P61" s="28">
        <f t="shared" si="42"/>
        <v>4521</v>
      </c>
      <c r="Q61" s="28">
        <f t="shared" si="42"/>
        <v>0</v>
      </c>
      <c r="R61" s="92">
        <f t="shared" si="43"/>
        <v>-1</v>
      </c>
      <c r="S61" s="22"/>
      <c r="T61" s="22"/>
      <c r="U61" s="92" t="e">
        <f t="shared" si="30"/>
        <v>#DIV/0!</v>
      </c>
      <c r="V61" s="22">
        <f t="shared" si="44"/>
        <v>4521</v>
      </c>
      <c r="W61" s="22">
        <f t="shared" si="45"/>
        <v>0</v>
      </c>
      <c r="X61" s="92">
        <f t="shared" si="31"/>
        <v>-1</v>
      </c>
      <c r="Y61" s="39">
        <v>3305</v>
      </c>
      <c r="Z61" s="39"/>
      <c r="AA61" s="92">
        <f t="shared" si="32"/>
        <v>-1</v>
      </c>
      <c r="AB61" s="22">
        <f t="shared" si="46"/>
        <v>7826</v>
      </c>
      <c r="AC61" s="22">
        <f t="shared" si="46"/>
        <v>0</v>
      </c>
      <c r="AD61" s="92">
        <f t="shared" si="33"/>
        <v>-1</v>
      </c>
      <c r="AE61" s="22"/>
      <c r="AF61" s="22"/>
      <c r="AG61" s="92" t="e">
        <f t="shared" si="34"/>
        <v>#DIV/0!</v>
      </c>
      <c r="AH61" s="22">
        <f t="shared" si="47"/>
        <v>7826</v>
      </c>
      <c r="AI61" s="22">
        <f t="shared" si="47"/>
        <v>0</v>
      </c>
      <c r="AJ61" s="92">
        <f t="shared" si="35"/>
        <v>-1</v>
      </c>
      <c r="AK61" s="101"/>
      <c r="AL61" s="101"/>
      <c r="AM61" s="92" t="e">
        <f t="shared" si="36"/>
        <v>#DIV/0!</v>
      </c>
      <c r="AN61" s="101">
        <f t="shared" si="48"/>
        <v>7826</v>
      </c>
      <c r="AO61" s="101">
        <f t="shared" si="48"/>
        <v>0</v>
      </c>
      <c r="AP61" s="92">
        <f t="shared" si="56"/>
        <v>-1</v>
      </c>
      <c r="AQ61" s="39"/>
      <c r="AR61" s="39"/>
      <c r="AS61" s="92" t="e">
        <f t="shared" si="37"/>
        <v>#DIV/0!</v>
      </c>
      <c r="AT61" s="39">
        <f t="shared" si="49"/>
        <v>7826</v>
      </c>
      <c r="AU61" s="39">
        <f t="shared" si="49"/>
        <v>0</v>
      </c>
      <c r="AV61" s="92">
        <f t="shared" si="38"/>
        <v>-1</v>
      </c>
      <c r="AW61" s="126"/>
      <c r="AX61" s="126"/>
      <c r="AY61" s="92" t="e">
        <f t="shared" si="50"/>
        <v>#DIV/0!</v>
      </c>
      <c r="AZ61" s="126">
        <f t="shared" si="51"/>
        <v>7826</v>
      </c>
      <c r="BA61" s="126">
        <f t="shared" si="51"/>
        <v>0</v>
      </c>
      <c r="BB61" s="92">
        <f t="shared" si="39"/>
        <v>-1</v>
      </c>
      <c r="BC61" s="38"/>
      <c r="BD61" s="38"/>
      <c r="BE61" s="92" t="e">
        <f t="shared" si="52"/>
        <v>#DIV/0!</v>
      </c>
      <c r="BF61" s="38">
        <f t="shared" si="53"/>
        <v>7826</v>
      </c>
      <c r="BG61" s="38">
        <f t="shared" si="53"/>
        <v>0</v>
      </c>
      <c r="BH61" s="92">
        <f t="shared" si="54"/>
        <v>-1</v>
      </c>
      <c r="BI61" s="22"/>
      <c r="BJ61" s="28"/>
      <c r="BK61" s="61"/>
      <c r="BL61" s="61">
        <v>7826</v>
      </c>
      <c r="BM61" s="71" t="e">
        <f t="shared" si="55"/>
        <v>#DIV/0!</v>
      </c>
    </row>
    <row r="62" spans="1:68">
      <c r="A62" s="22" t="s">
        <v>27</v>
      </c>
      <c r="B62" s="80" t="s">
        <v>27</v>
      </c>
      <c r="C62" s="123" t="s">
        <v>149</v>
      </c>
      <c r="D62" s="122" t="s">
        <v>102</v>
      </c>
      <c r="E62" s="122" t="s">
        <v>102</v>
      </c>
      <c r="F62" s="122" t="s">
        <v>141</v>
      </c>
      <c r="G62" s="176" t="s">
        <v>148</v>
      </c>
      <c r="H62" s="33" t="s">
        <v>139</v>
      </c>
      <c r="I62" s="33"/>
      <c r="J62" s="61">
        <v>18336</v>
      </c>
      <c r="K62" s="61">
        <v>790</v>
      </c>
      <c r="L62" s="92">
        <f t="shared" si="40"/>
        <v>-0.95691535776614312</v>
      </c>
      <c r="M62" s="28">
        <v>5885</v>
      </c>
      <c r="N62" s="28"/>
      <c r="O62" s="92">
        <f t="shared" si="41"/>
        <v>-1</v>
      </c>
      <c r="P62" s="28">
        <f t="shared" si="42"/>
        <v>24221</v>
      </c>
      <c r="Q62" s="28">
        <f t="shared" si="42"/>
        <v>790</v>
      </c>
      <c r="R62" s="92">
        <f t="shared" si="43"/>
        <v>-0.96738367532306679</v>
      </c>
      <c r="S62" s="22">
        <v>9785</v>
      </c>
      <c r="T62" s="22">
        <v>9575</v>
      </c>
      <c r="U62" s="92">
        <f t="shared" si="30"/>
        <v>-2.1461420541645349E-2</v>
      </c>
      <c r="V62" s="22">
        <f t="shared" si="44"/>
        <v>34006</v>
      </c>
      <c r="W62" s="22">
        <f t="shared" si="45"/>
        <v>10365</v>
      </c>
      <c r="X62" s="92">
        <f t="shared" si="31"/>
        <v>-0.6952008469093689</v>
      </c>
      <c r="Y62" s="39">
        <v>20567</v>
      </c>
      <c r="Z62" s="39"/>
      <c r="AA62" s="92">
        <f t="shared" si="32"/>
        <v>-1</v>
      </c>
      <c r="AB62" s="22">
        <f t="shared" si="46"/>
        <v>54573</v>
      </c>
      <c r="AC62" s="22">
        <f t="shared" si="46"/>
        <v>10365</v>
      </c>
      <c r="AD62" s="92">
        <f t="shared" si="33"/>
        <v>-0.81007091418833488</v>
      </c>
      <c r="AE62" s="22"/>
      <c r="AF62" s="22"/>
      <c r="AG62" s="92" t="e">
        <f t="shared" si="34"/>
        <v>#DIV/0!</v>
      </c>
      <c r="AH62" s="22">
        <f t="shared" si="47"/>
        <v>54573</v>
      </c>
      <c r="AI62" s="22">
        <f t="shared" si="47"/>
        <v>10365</v>
      </c>
      <c r="AJ62" s="92">
        <f t="shared" si="35"/>
        <v>-0.81007091418833488</v>
      </c>
      <c r="AK62" s="101">
        <v>1580</v>
      </c>
      <c r="AL62" s="101"/>
      <c r="AM62" s="92">
        <f t="shared" si="36"/>
        <v>-1</v>
      </c>
      <c r="AN62" s="101">
        <f t="shared" si="48"/>
        <v>56153</v>
      </c>
      <c r="AO62" s="101">
        <f t="shared" si="48"/>
        <v>10365</v>
      </c>
      <c r="AP62" s="92">
        <f t="shared" si="56"/>
        <v>-0.81541502680177369</v>
      </c>
      <c r="AQ62" s="39"/>
      <c r="AR62" s="39"/>
      <c r="AS62" s="92" t="e">
        <f t="shared" si="37"/>
        <v>#DIV/0!</v>
      </c>
      <c r="AT62" s="39">
        <f t="shared" si="49"/>
        <v>56153</v>
      </c>
      <c r="AU62" s="39">
        <f t="shared" si="49"/>
        <v>10365</v>
      </c>
      <c r="AV62" s="92">
        <f t="shared" si="38"/>
        <v>-0.81541502680177369</v>
      </c>
      <c r="AW62" s="126"/>
      <c r="AX62" s="126"/>
      <c r="AY62" s="92" t="e">
        <f t="shared" si="50"/>
        <v>#DIV/0!</v>
      </c>
      <c r="AZ62" s="126">
        <f t="shared" si="51"/>
        <v>56153</v>
      </c>
      <c r="BA62" s="126">
        <f t="shared" si="51"/>
        <v>10365</v>
      </c>
      <c r="BB62" s="92">
        <f t="shared" si="39"/>
        <v>-0.81541502680177369</v>
      </c>
      <c r="BC62" s="38">
        <v>13071</v>
      </c>
      <c r="BD62" s="38"/>
      <c r="BE62" s="92">
        <f t="shared" si="52"/>
        <v>-1</v>
      </c>
      <c r="BF62" s="38">
        <f t="shared" si="53"/>
        <v>69224</v>
      </c>
      <c r="BG62" s="38">
        <f t="shared" si="53"/>
        <v>10365</v>
      </c>
      <c r="BH62" s="92">
        <f t="shared" si="54"/>
        <v>-0.8502686929388652</v>
      </c>
      <c r="BI62" s="22">
        <v>3556</v>
      </c>
      <c r="BJ62" s="28"/>
      <c r="BK62" s="61">
        <v>9136</v>
      </c>
      <c r="BL62" s="61">
        <v>81916</v>
      </c>
      <c r="BM62" s="71" t="e">
        <f t="shared" si="55"/>
        <v>#DIV/0!</v>
      </c>
    </row>
    <row r="63" spans="1:68">
      <c r="A63" s="22" t="s">
        <v>27</v>
      </c>
      <c r="B63" s="80" t="s">
        <v>27</v>
      </c>
      <c r="C63" s="123" t="s">
        <v>150</v>
      </c>
      <c r="D63" s="122" t="s">
        <v>61</v>
      </c>
      <c r="E63" s="122" t="s">
        <v>61</v>
      </c>
      <c r="F63" s="175" t="s">
        <v>135</v>
      </c>
      <c r="G63" s="176" t="s">
        <v>135</v>
      </c>
      <c r="H63" s="33" t="s">
        <v>136</v>
      </c>
      <c r="I63" s="33"/>
      <c r="J63" s="61"/>
      <c r="K63" s="61"/>
      <c r="L63" s="92" t="e">
        <f t="shared" si="40"/>
        <v>#DIV/0!</v>
      </c>
      <c r="M63" s="28"/>
      <c r="N63" s="28"/>
      <c r="O63" s="92" t="e">
        <f t="shared" si="41"/>
        <v>#DIV/0!</v>
      </c>
      <c r="P63" s="28">
        <f t="shared" si="42"/>
        <v>0</v>
      </c>
      <c r="Q63" s="28">
        <f t="shared" si="42"/>
        <v>0</v>
      </c>
      <c r="R63" s="92" t="e">
        <f t="shared" si="43"/>
        <v>#DIV/0!</v>
      </c>
      <c r="S63" s="22">
        <v>2896.82</v>
      </c>
      <c r="T63" s="22"/>
      <c r="U63" s="92">
        <f t="shared" si="30"/>
        <v>-1</v>
      </c>
      <c r="V63" s="22">
        <f t="shared" si="44"/>
        <v>2896.82</v>
      </c>
      <c r="W63" s="22">
        <f t="shared" si="45"/>
        <v>0</v>
      </c>
      <c r="X63" s="92">
        <f t="shared" si="31"/>
        <v>-1</v>
      </c>
      <c r="Y63" s="39"/>
      <c r="Z63" s="39"/>
      <c r="AA63" s="92" t="e">
        <f t="shared" si="32"/>
        <v>#DIV/0!</v>
      </c>
      <c r="AB63" s="22">
        <f t="shared" si="46"/>
        <v>2896.82</v>
      </c>
      <c r="AC63" s="22">
        <f t="shared" si="46"/>
        <v>0</v>
      </c>
      <c r="AD63" s="92">
        <f t="shared" si="33"/>
        <v>-1</v>
      </c>
      <c r="AE63" s="22"/>
      <c r="AF63" s="22"/>
      <c r="AG63" s="92" t="e">
        <f t="shared" si="34"/>
        <v>#DIV/0!</v>
      </c>
      <c r="AH63" s="22">
        <f t="shared" si="47"/>
        <v>2896.82</v>
      </c>
      <c r="AI63" s="22">
        <f t="shared" si="47"/>
        <v>0</v>
      </c>
      <c r="AJ63" s="92">
        <f t="shared" si="35"/>
        <v>-1</v>
      </c>
      <c r="AK63" s="101"/>
      <c r="AL63" s="101"/>
      <c r="AM63" s="92" t="e">
        <f t="shared" si="36"/>
        <v>#DIV/0!</v>
      </c>
      <c r="AN63" s="101">
        <f t="shared" si="48"/>
        <v>2896.82</v>
      </c>
      <c r="AO63" s="101">
        <f t="shared" si="48"/>
        <v>0</v>
      </c>
      <c r="AP63" s="92">
        <f t="shared" si="56"/>
        <v>-1</v>
      </c>
      <c r="AQ63" s="39"/>
      <c r="AR63" s="39"/>
      <c r="AS63" s="92" t="e">
        <f t="shared" si="37"/>
        <v>#DIV/0!</v>
      </c>
      <c r="AT63" s="39">
        <f t="shared" si="49"/>
        <v>2896.82</v>
      </c>
      <c r="AU63" s="39">
        <f t="shared" si="49"/>
        <v>0</v>
      </c>
      <c r="AV63" s="92">
        <f t="shared" si="38"/>
        <v>-1</v>
      </c>
      <c r="AW63" s="126"/>
      <c r="AX63" s="126"/>
      <c r="AY63" s="92" t="e">
        <f t="shared" si="50"/>
        <v>#DIV/0!</v>
      </c>
      <c r="AZ63" s="126">
        <f t="shared" si="51"/>
        <v>2896.82</v>
      </c>
      <c r="BA63" s="126">
        <f t="shared" si="51"/>
        <v>0</v>
      </c>
      <c r="BB63" s="92">
        <f t="shared" si="39"/>
        <v>-1</v>
      </c>
      <c r="BC63" s="38"/>
      <c r="BD63" s="38"/>
      <c r="BE63" s="92" t="e">
        <f t="shared" si="52"/>
        <v>#DIV/0!</v>
      </c>
      <c r="BF63" s="38">
        <f t="shared" si="53"/>
        <v>2896.82</v>
      </c>
      <c r="BG63" s="38">
        <f t="shared" si="53"/>
        <v>0</v>
      </c>
      <c r="BH63" s="92">
        <f t="shared" si="54"/>
        <v>-1</v>
      </c>
      <c r="BI63" s="22"/>
      <c r="BJ63" s="28"/>
      <c r="BK63" s="61"/>
      <c r="BL63" s="61">
        <v>2896.82</v>
      </c>
      <c r="BM63" s="71" t="e">
        <f t="shared" si="55"/>
        <v>#DIV/0!</v>
      </c>
    </row>
    <row r="64" spans="1:68">
      <c r="A64" s="22" t="s">
        <v>27</v>
      </c>
      <c r="B64" s="80" t="s">
        <v>27</v>
      </c>
      <c r="C64" s="123" t="s">
        <v>151</v>
      </c>
      <c r="D64" s="122" t="s">
        <v>61</v>
      </c>
      <c r="E64" s="122" t="s">
        <v>61</v>
      </c>
      <c r="F64" s="122" t="s">
        <v>135</v>
      </c>
      <c r="G64" s="33" t="s">
        <v>135</v>
      </c>
      <c r="H64" s="33" t="s">
        <v>136</v>
      </c>
      <c r="I64" s="33">
        <v>15</v>
      </c>
      <c r="J64" s="61">
        <v>20000</v>
      </c>
      <c r="K64" s="61"/>
      <c r="L64" s="92">
        <f t="shared" si="40"/>
        <v>-1</v>
      </c>
      <c r="M64" s="28"/>
      <c r="N64" s="28"/>
      <c r="O64" s="92" t="e">
        <f t="shared" si="41"/>
        <v>#DIV/0!</v>
      </c>
      <c r="P64" s="28">
        <f t="shared" si="42"/>
        <v>20000</v>
      </c>
      <c r="Q64" s="28">
        <f t="shared" si="42"/>
        <v>0</v>
      </c>
      <c r="R64" s="92">
        <f t="shared" si="43"/>
        <v>-1</v>
      </c>
      <c r="S64" s="22">
        <v>30000</v>
      </c>
      <c r="T64" s="22"/>
      <c r="U64" s="92">
        <f t="shared" si="30"/>
        <v>-1</v>
      </c>
      <c r="V64" s="22">
        <f t="shared" si="44"/>
        <v>50000</v>
      </c>
      <c r="W64" s="22">
        <f t="shared" si="45"/>
        <v>0</v>
      </c>
      <c r="X64" s="92">
        <f t="shared" si="31"/>
        <v>-1</v>
      </c>
      <c r="Y64" s="39"/>
      <c r="Z64" s="39"/>
      <c r="AA64" s="92" t="e">
        <f t="shared" si="32"/>
        <v>#DIV/0!</v>
      </c>
      <c r="AB64" s="22">
        <f t="shared" si="46"/>
        <v>50000</v>
      </c>
      <c r="AC64" s="22">
        <f t="shared" si="46"/>
        <v>0</v>
      </c>
      <c r="AD64" s="92">
        <f t="shared" si="33"/>
        <v>-1</v>
      </c>
      <c r="AE64" s="22"/>
      <c r="AF64" s="22"/>
      <c r="AG64" s="92" t="e">
        <f t="shared" si="34"/>
        <v>#DIV/0!</v>
      </c>
      <c r="AH64" s="22">
        <f t="shared" si="47"/>
        <v>50000</v>
      </c>
      <c r="AI64" s="22">
        <f t="shared" si="47"/>
        <v>0</v>
      </c>
      <c r="AJ64" s="92">
        <f t="shared" si="35"/>
        <v>-1</v>
      </c>
      <c r="AK64" s="101"/>
      <c r="AL64" s="101">
        <v>6167</v>
      </c>
      <c r="AM64" s="92" t="e">
        <f t="shared" si="36"/>
        <v>#DIV/0!</v>
      </c>
      <c r="AN64" s="101">
        <f t="shared" si="48"/>
        <v>50000</v>
      </c>
      <c r="AO64" s="101">
        <f t="shared" si="48"/>
        <v>6167</v>
      </c>
      <c r="AP64" s="92">
        <f t="shared" si="56"/>
        <v>-0.87665999999999999</v>
      </c>
      <c r="AQ64" s="39"/>
      <c r="AR64" s="39"/>
      <c r="AS64" s="92" t="e">
        <f t="shared" si="37"/>
        <v>#DIV/0!</v>
      </c>
      <c r="AT64" s="39">
        <f t="shared" si="49"/>
        <v>50000</v>
      </c>
      <c r="AU64" s="39">
        <f t="shared" si="49"/>
        <v>6167</v>
      </c>
      <c r="AV64" s="92">
        <f t="shared" si="38"/>
        <v>-0.87665999999999999</v>
      </c>
      <c r="AW64" s="126"/>
      <c r="AX64" s="126">
        <v>37.6</v>
      </c>
      <c r="AY64" s="92" t="e">
        <f t="shared" si="50"/>
        <v>#DIV/0!</v>
      </c>
      <c r="AZ64" s="126">
        <f t="shared" si="51"/>
        <v>50000</v>
      </c>
      <c r="BA64" s="126">
        <f t="shared" si="51"/>
        <v>6204.6</v>
      </c>
      <c r="BB64" s="92">
        <f t="shared" si="39"/>
        <v>-0.87590800000000002</v>
      </c>
      <c r="BC64" s="38"/>
      <c r="BD64" s="38">
        <v>30</v>
      </c>
      <c r="BE64" s="92" t="e">
        <f t="shared" si="52"/>
        <v>#DIV/0!</v>
      </c>
      <c r="BF64" s="38">
        <f t="shared" si="53"/>
        <v>50000</v>
      </c>
      <c r="BG64" s="38">
        <f t="shared" si="53"/>
        <v>6234.6</v>
      </c>
      <c r="BH64" s="92">
        <f t="shared" si="54"/>
        <v>-0.87530799999999997</v>
      </c>
      <c r="BI64" s="22">
        <v>9418</v>
      </c>
      <c r="BJ64" s="28"/>
      <c r="BK64" s="61"/>
      <c r="BL64" s="61">
        <v>59418</v>
      </c>
      <c r="BM64" s="71">
        <f t="shared" si="55"/>
        <v>4.1564000000000004E-2</v>
      </c>
    </row>
    <row r="65" spans="1:67">
      <c r="A65" s="22" t="s">
        <v>27</v>
      </c>
      <c r="B65" s="80" t="s">
        <v>27</v>
      </c>
      <c r="C65" s="123" t="s">
        <v>152</v>
      </c>
      <c r="D65" s="122" t="s">
        <v>61</v>
      </c>
      <c r="E65" s="122" t="s">
        <v>61</v>
      </c>
      <c r="F65" s="122" t="s">
        <v>135</v>
      </c>
      <c r="G65" s="33" t="s">
        <v>135</v>
      </c>
      <c r="H65" s="33" t="s">
        <v>136</v>
      </c>
      <c r="I65" s="33">
        <v>30</v>
      </c>
      <c r="J65" s="61">
        <v>26400</v>
      </c>
      <c r="K65" s="61"/>
      <c r="L65" s="92">
        <f t="shared" si="40"/>
        <v>-1</v>
      </c>
      <c r="M65" s="28"/>
      <c r="N65" s="28"/>
      <c r="O65" s="92" t="e">
        <f t="shared" si="41"/>
        <v>#DIV/0!</v>
      </c>
      <c r="P65" s="28">
        <f t="shared" si="42"/>
        <v>26400</v>
      </c>
      <c r="Q65" s="28">
        <f t="shared" si="42"/>
        <v>0</v>
      </c>
      <c r="R65" s="92">
        <f t="shared" si="43"/>
        <v>-1</v>
      </c>
      <c r="S65" s="22">
        <v>72600</v>
      </c>
      <c r="T65" s="22"/>
      <c r="U65" s="92">
        <f t="shared" si="30"/>
        <v>-1</v>
      </c>
      <c r="V65" s="22">
        <f t="shared" si="44"/>
        <v>99000</v>
      </c>
      <c r="W65" s="22">
        <f t="shared" si="45"/>
        <v>0</v>
      </c>
      <c r="X65" s="92">
        <f t="shared" si="31"/>
        <v>-1</v>
      </c>
      <c r="Y65" s="39"/>
      <c r="Z65" s="39"/>
      <c r="AA65" s="92" t="e">
        <f t="shared" si="32"/>
        <v>#DIV/0!</v>
      </c>
      <c r="AB65" s="22">
        <f t="shared" si="46"/>
        <v>99000</v>
      </c>
      <c r="AC65" s="22">
        <f t="shared" si="46"/>
        <v>0</v>
      </c>
      <c r="AD65" s="92">
        <f t="shared" si="33"/>
        <v>-1</v>
      </c>
      <c r="AE65" s="22"/>
      <c r="AF65" s="22"/>
      <c r="AG65" s="92" t="e">
        <f t="shared" si="34"/>
        <v>#DIV/0!</v>
      </c>
      <c r="AH65" s="22">
        <f t="shared" si="47"/>
        <v>99000</v>
      </c>
      <c r="AI65" s="22">
        <f t="shared" si="47"/>
        <v>0</v>
      </c>
      <c r="AJ65" s="92">
        <f t="shared" si="35"/>
        <v>-1</v>
      </c>
      <c r="AK65" s="101"/>
      <c r="AL65" s="101"/>
      <c r="AM65" s="92" t="e">
        <f t="shared" si="36"/>
        <v>#DIV/0!</v>
      </c>
      <c r="AN65" s="101">
        <f t="shared" si="48"/>
        <v>99000</v>
      </c>
      <c r="AO65" s="101">
        <f t="shared" si="48"/>
        <v>0</v>
      </c>
      <c r="AP65" s="92">
        <f t="shared" si="56"/>
        <v>-1</v>
      </c>
      <c r="AQ65" s="39"/>
      <c r="AR65" s="39"/>
      <c r="AS65" s="92" t="e">
        <f t="shared" si="37"/>
        <v>#DIV/0!</v>
      </c>
      <c r="AT65" s="39">
        <f t="shared" si="49"/>
        <v>99000</v>
      </c>
      <c r="AU65" s="39">
        <f t="shared" si="49"/>
        <v>0</v>
      </c>
      <c r="AV65" s="92">
        <f t="shared" si="38"/>
        <v>-1</v>
      </c>
      <c r="AW65" s="126">
        <v>10422</v>
      </c>
      <c r="AX65" s="126"/>
      <c r="AY65" s="92">
        <f t="shared" si="50"/>
        <v>-1</v>
      </c>
      <c r="AZ65" s="126">
        <f t="shared" si="51"/>
        <v>109422</v>
      </c>
      <c r="BA65" s="126">
        <f t="shared" si="51"/>
        <v>0</v>
      </c>
      <c r="BB65" s="92">
        <f t="shared" si="39"/>
        <v>-1</v>
      </c>
      <c r="BC65" s="38"/>
      <c r="BD65" s="38"/>
      <c r="BE65" s="92" t="e">
        <f t="shared" si="52"/>
        <v>#DIV/0!</v>
      </c>
      <c r="BF65" s="38">
        <f t="shared" si="53"/>
        <v>109422</v>
      </c>
      <c r="BG65" s="38">
        <f t="shared" si="53"/>
        <v>0</v>
      </c>
      <c r="BH65" s="92">
        <f t="shared" si="54"/>
        <v>-1</v>
      </c>
      <c r="BI65" s="22"/>
      <c r="BJ65" s="28"/>
      <c r="BK65" s="61">
        <v>76431</v>
      </c>
      <c r="BL65" s="61">
        <v>185853</v>
      </c>
      <c r="BM65" s="71">
        <f t="shared" si="55"/>
        <v>0</v>
      </c>
    </row>
    <row r="66" spans="1:67">
      <c r="A66" s="22" t="s">
        <v>27</v>
      </c>
      <c r="B66" s="80" t="s">
        <v>27</v>
      </c>
      <c r="C66" s="123" t="s">
        <v>153</v>
      </c>
      <c r="D66" s="122" t="s">
        <v>61</v>
      </c>
      <c r="E66" s="122" t="s">
        <v>61</v>
      </c>
      <c r="F66" s="122" t="s">
        <v>154</v>
      </c>
      <c r="G66" s="33" t="s">
        <v>154</v>
      </c>
      <c r="H66" s="33" t="s">
        <v>139</v>
      </c>
      <c r="I66" s="33"/>
      <c r="J66" s="61">
        <v>3600</v>
      </c>
      <c r="K66" s="61"/>
      <c r="L66" s="92">
        <f t="shared" si="40"/>
        <v>-1</v>
      </c>
      <c r="M66" s="28"/>
      <c r="N66" s="28"/>
      <c r="O66" s="92" t="e">
        <f t="shared" si="41"/>
        <v>#DIV/0!</v>
      </c>
      <c r="P66" s="28">
        <f t="shared" si="42"/>
        <v>3600</v>
      </c>
      <c r="Q66" s="28">
        <f t="shared" si="42"/>
        <v>0</v>
      </c>
      <c r="R66" s="92">
        <f t="shared" si="43"/>
        <v>-1</v>
      </c>
      <c r="S66" s="22"/>
      <c r="T66" s="22"/>
      <c r="U66" s="92" t="e">
        <f t="shared" si="30"/>
        <v>#DIV/0!</v>
      </c>
      <c r="V66" s="22">
        <f t="shared" si="44"/>
        <v>3600</v>
      </c>
      <c r="W66" s="22">
        <f t="shared" si="45"/>
        <v>0</v>
      </c>
      <c r="X66" s="92">
        <f t="shared" si="31"/>
        <v>-1</v>
      </c>
      <c r="Y66" s="39"/>
      <c r="Z66" s="39"/>
      <c r="AA66" s="92" t="e">
        <f t="shared" si="32"/>
        <v>#DIV/0!</v>
      </c>
      <c r="AB66" s="22">
        <f t="shared" si="46"/>
        <v>3600</v>
      </c>
      <c r="AC66" s="22">
        <f t="shared" si="46"/>
        <v>0</v>
      </c>
      <c r="AD66" s="92">
        <f t="shared" si="33"/>
        <v>-1</v>
      </c>
      <c r="AE66" s="22">
        <v>13074</v>
      </c>
      <c r="AF66" s="22"/>
      <c r="AG66" s="92">
        <f t="shared" si="34"/>
        <v>-1</v>
      </c>
      <c r="AH66" s="22">
        <f t="shared" si="47"/>
        <v>16674</v>
      </c>
      <c r="AI66" s="22">
        <f t="shared" si="47"/>
        <v>0</v>
      </c>
      <c r="AJ66" s="92">
        <f t="shared" si="35"/>
        <v>-1</v>
      </c>
      <c r="AK66" s="101"/>
      <c r="AL66" s="101"/>
      <c r="AM66" s="92" t="e">
        <f t="shared" si="36"/>
        <v>#DIV/0!</v>
      </c>
      <c r="AN66" s="101">
        <f t="shared" si="48"/>
        <v>16674</v>
      </c>
      <c r="AO66" s="101">
        <f t="shared" si="48"/>
        <v>0</v>
      </c>
      <c r="AP66" s="92">
        <f t="shared" si="56"/>
        <v>-1</v>
      </c>
      <c r="AQ66" s="39"/>
      <c r="AR66" s="39"/>
      <c r="AS66" s="92" t="e">
        <f t="shared" si="37"/>
        <v>#DIV/0!</v>
      </c>
      <c r="AT66" s="39">
        <f t="shared" si="49"/>
        <v>16674</v>
      </c>
      <c r="AU66" s="39">
        <f t="shared" si="49"/>
        <v>0</v>
      </c>
      <c r="AV66" s="92">
        <f t="shared" si="38"/>
        <v>-1</v>
      </c>
      <c r="AW66" s="126"/>
      <c r="AX66" s="126"/>
      <c r="AY66" s="92" t="e">
        <f t="shared" si="50"/>
        <v>#DIV/0!</v>
      </c>
      <c r="AZ66" s="126">
        <f t="shared" si="51"/>
        <v>16674</v>
      </c>
      <c r="BA66" s="126">
        <f t="shared" si="51"/>
        <v>0</v>
      </c>
      <c r="BB66" s="92">
        <f t="shared" si="39"/>
        <v>-1</v>
      </c>
      <c r="BC66" s="38"/>
      <c r="BD66" s="38"/>
      <c r="BE66" s="92" t="e">
        <f t="shared" si="52"/>
        <v>#DIV/0!</v>
      </c>
      <c r="BF66" s="38">
        <f t="shared" si="53"/>
        <v>16674</v>
      </c>
      <c r="BG66" s="38">
        <f t="shared" si="53"/>
        <v>0</v>
      </c>
      <c r="BH66" s="92">
        <f t="shared" si="54"/>
        <v>-1</v>
      </c>
      <c r="BI66" s="22"/>
      <c r="BJ66" s="28"/>
      <c r="BK66" s="61"/>
      <c r="BL66" s="61">
        <v>16674</v>
      </c>
      <c r="BM66" s="71" t="e">
        <f t="shared" si="55"/>
        <v>#DIV/0!</v>
      </c>
    </row>
    <row r="67" spans="1:67">
      <c r="A67" s="22" t="s">
        <v>27</v>
      </c>
      <c r="B67" s="80" t="s">
        <v>27</v>
      </c>
      <c r="C67" s="123" t="s">
        <v>155</v>
      </c>
      <c r="D67" s="122" t="s">
        <v>61</v>
      </c>
      <c r="E67" s="122" t="s">
        <v>61</v>
      </c>
      <c r="F67" s="122" t="s">
        <v>135</v>
      </c>
      <c r="G67" s="33" t="s">
        <v>135</v>
      </c>
      <c r="H67" s="33" t="s">
        <v>136</v>
      </c>
      <c r="I67" s="33"/>
      <c r="J67" s="61"/>
      <c r="K67" s="61"/>
      <c r="L67" s="92" t="e">
        <f t="shared" si="40"/>
        <v>#DIV/0!</v>
      </c>
      <c r="M67" s="28"/>
      <c r="N67" s="28"/>
      <c r="O67" s="92" t="e">
        <f t="shared" si="41"/>
        <v>#DIV/0!</v>
      </c>
      <c r="P67" s="28">
        <f t="shared" si="42"/>
        <v>0</v>
      </c>
      <c r="Q67" s="28">
        <f t="shared" si="42"/>
        <v>0</v>
      </c>
      <c r="R67" s="92" t="e">
        <f t="shared" si="43"/>
        <v>#DIV/0!</v>
      </c>
      <c r="S67" s="22"/>
      <c r="T67" s="22"/>
      <c r="U67" s="92" t="e">
        <f t="shared" si="30"/>
        <v>#DIV/0!</v>
      </c>
      <c r="V67" s="22">
        <f t="shared" si="44"/>
        <v>0</v>
      </c>
      <c r="W67" s="22">
        <f t="shared" si="45"/>
        <v>0</v>
      </c>
      <c r="X67" s="92" t="e">
        <f t="shared" si="31"/>
        <v>#DIV/0!</v>
      </c>
      <c r="Y67" s="39"/>
      <c r="Z67" s="39"/>
      <c r="AA67" s="92" t="e">
        <f t="shared" si="32"/>
        <v>#DIV/0!</v>
      </c>
      <c r="AB67" s="22">
        <f t="shared" si="46"/>
        <v>0</v>
      </c>
      <c r="AC67" s="22">
        <f t="shared" si="46"/>
        <v>0</v>
      </c>
      <c r="AD67" s="92" t="e">
        <f t="shared" si="33"/>
        <v>#DIV/0!</v>
      </c>
      <c r="AE67" s="22"/>
      <c r="AF67" s="22"/>
      <c r="AG67" s="92" t="e">
        <f t="shared" si="34"/>
        <v>#DIV/0!</v>
      </c>
      <c r="AH67" s="22">
        <f t="shared" si="47"/>
        <v>0</v>
      </c>
      <c r="AI67" s="22">
        <f t="shared" si="47"/>
        <v>0</v>
      </c>
      <c r="AJ67" s="92" t="e">
        <f t="shared" si="35"/>
        <v>#DIV/0!</v>
      </c>
      <c r="AK67" s="101"/>
      <c r="AL67" s="101"/>
      <c r="AM67" s="92" t="e">
        <f t="shared" si="36"/>
        <v>#DIV/0!</v>
      </c>
      <c r="AN67" s="101">
        <f t="shared" si="48"/>
        <v>0</v>
      </c>
      <c r="AO67" s="101">
        <f t="shared" si="48"/>
        <v>0</v>
      </c>
      <c r="AP67" s="92" t="e">
        <f t="shared" si="56"/>
        <v>#DIV/0!</v>
      </c>
      <c r="AQ67" s="39"/>
      <c r="AR67" s="39"/>
      <c r="AS67" s="92" t="e">
        <f t="shared" si="37"/>
        <v>#DIV/0!</v>
      </c>
      <c r="AT67" s="39">
        <f t="shared" si="49"/>
        <v>0</v>
      </c>
      <c r="AU67" s="39">
        <f t="shared" si="49"/>
        <v>0</v>
      </c>
      <c r="AV67" s="92" t="e">
        <f t="shared" si="38"/>
        <v>#DIV/0!</v>
      </c>
      <c r="AW67" s="126"/>
      <c r="AX67" s="126"/>
      <c r="AY67" s="92" t="e">
        <f t="shared" si="50"/>
        <v>#DIV/0!</v>
      </c>
      <c r="AZ67" s="126">
        <f t="shared" si="51"/>
        <v>0</v>
      </c>
      <c r="BA67" s="126">
        <f t="shared" si="51"/>
        <v>0</v>
      </c>
      <c r="BB67" s="92" t="e">
        <f t="shared" si="39"/>
        <v>#DIV/0!</v>
      </c>
      <c r="BC67" s="38"/>
      <c r="BD67" s="38"/>
      <c r="BE67" s="92" t="e">
        <f t="shared" si="52"/>
        <v>#DIV/0!</v>
      </c>
      <c r="BF67" s="38">
        <f t="shared" si="53"/>
        <v>0</v>
      </c>
      <c r="BG67" s="38">
        <f t="shared" si="53"/>
        <v>0</v>
      </c>
      <c r="BH67" s="92" t="e">
        <f t="shared" si="54"/>
        <v>#DIV/0!</v>
      </c>
      <c r="BI67" s="22"/>
      <c r="BJ67" s="28"/>
      <c r="BK67" s="61">
        <v>5688</v>
      </c>
      <c r="BL67" s="61">
        <v>5688</v>
      </c>
      <c r="BM67" s="71" t="e">
        <f t="shared" si="55"/>
        <v>#DIV/0!</v>
      </c>
    </row>
    <row r="68" spans="1:67">
      <c r="A68" s="22" t="s">
        <v>27</v>
      </c>
      <c r="B68" s="80" t="s">
        <v>27</v>
      </c>
      <c r="C68" s="123" t="s">
        <v>156</v>
      </c>
      <c r="D68" s="122" t="s">
        <v>102</v>
      </c>
      <c r="E68" s="122" t="s">
        <v>102</v>
      </c>
      <c r="F68" s="122" t="s">
        <v>141</v>
      </c>
      <c r="G68" s="33" t="s">
        <v>148</v>
      </c>
      <c r="H68" s="33" t="s">
        <v>139</v>
      </c>
      <c r="I68" s="33"/>
      <c r="J68" s="61">
        <v>3107</v>
      </c>
      <c r="K68" s="61"/>
      <c r="L68" s="92">
        <f t="shared" si="40"/>
        <v>-1</v>
      </c>
      <c r="M68" s="28"/>
      <c r="N68" s="28"/>
      <c r="O68" s="92" t="e">
        <f t="shared" si="41"/>
        <v>#DIV/0!</v>
      </c>
      <c r="P68" s="28">
        <f t="shared" si="42"/>
        <v>3107</v>
      </c>
      <c r="Q68" s="28">
        <f t="shared" si="42"/>
        <v>0</v>
      </c>
      <c r="R68" s="92">
        <f t="shared" si="43"/>
        <v>-1</v>
      </c>
      <c r="S68" s="22"/>
      <c r="T68" s="22"/>
      <c r="U68" s="92" t="e">
        <f t="shared" si="30"/>
        <v>#DIV/0!</v>
      </c>
      <c r="V68" s="22">
        <f t="shared" si="44"/>
        <v>3107</v>
      </c>
      <c r="W68" s="22">
        <f t="shared" si="45"/>
        <v>0</v>
      </c>
      <c r="X68" s="92">
        <f t="shared" si="31"/>
        <v>-1</v>
      </c>
      <c r="Y68" s="39">
        <v>4335</v>
      </c>
      <c r="Z68" s="39"/>
      <c r="AA68" s="92">
        <f t="shared" si="32"/>
        <v>-1</v>
      </c>
      <c r="AB68" s="22">
        <f t="shared" si="46"/>
        <v>7442</v>
      </c>
      <c r="AC68" s="22">
        <f t="shared" si="46"/>
        <v>0</v>
      </c>
      <c r="AD68" s="92">
        <f t="shared" si="33"/>
        <v>-1</v>
      </c>
      <c r="AE68" s="22"/>
      <c r="AF68" s="22"/>
      <c r="AG68" s="92" t="e">
        <f t="shared" si="34"/>
        <v>#DIV/0!</v>
      </c>
      <c r="AH68" s="22">
        <f t="shared" si="47"/>
        <v>7442</v>
      </c>
      <c r="AI68" s="22">
        <f t="shared" si="47"/>
        <v>0</v>
      </c>
      <c r="AJ68" s="92">
        <f t="shared" si="35"/>
        <v>-1</v>
      </c>
      <c r="AK68" s="101"/>
      <c r="AL68" s="101"/>
      <c r="AM68" s="92" t="e">
        <f t="shared" si="36"/>
        <v>#DIV/0!</v>
      </c>
      <c r="AN68" s="101">
        <f t="shared" si="48"/>
        <v>7442</v>
      </c>
      <c r="AO68" s="101">
        <f t="shared" si="48"/>
        <v>0</v>
      </c>
      <c r="AP68" s="92">
        <f t="shared" si="56"/>
        <v>-1</v>
      </c>
      <c r="AQ68" s="39"/>
      <c r="AR68" s="39"/>
      <c r="AS68" s="92" t="e">
        <f t="shared" si="37"/>
        <v>#DIV/0!</v>
      </c>
      <c r="AT68" s="39">
        <f t="shared" si="49"/>
        <v>7442</v>
      </c>
      <c r="AU68" s="39">
        <f t="shared" si="49"/>
        <v>0</v>
      </c>
      <c r="AV68" s="92">
        <f t="shared" si="38"/>
        <v>-1</v>
      </c>
      <c r="AW68" s="126"/>
      <c r="AX68" s="126"/>
      <c r="AY68" s="92" t="e">
        <f t="shared" si="50"/>
        <v>#DIV/0!</v>
      </c>
      <c r="AZ68" s="126">
        <f t="shared" si="51"/>
        <v>7442</v>
      </c>
      <c r="BA68" s="126">
        <f t="shared" si="51"/>
        <v>0</v>
      </c>
      <c r="BB68" s="92">
        <f t="shared" si="39"/>
        <v>-1</v>
      </c>
      <c r="BC68" s="38"/>
      <c r="BD68" s="38"/>
      <c r="BE68" s="92" t="e">
        <f t="shared" si="52"/>
        <v>#DIV/0!</v>
      </c>
      <c r="BF68" s="38">
        <f t="shared" si="53"/>
        <v>7442</v>
      </c>
      <c r="BG68" s="38">
        <f t="shared" si="53"/>
        <v>0</v>
      </c>
      <c r="BH68" s="92">
        <f t="shared" si="54"/>
        <v>-1</v>
      </c>
      <c r="BI68" s="22"/>
      <c r="BJ68" s="28"/>
      <c r="BK68" s="61"/>
      <c r="BL68" s="61">
        <v>7442</v>
      </c>
      <c r="BM68" s="71" t="e">
        <f t="shared" si="55"/>
        <v>#DIV/0!</v>
      </c>
    </row>
    <row r="69" spans="1:67">
      <c r="A69" s="22" t="s">
        <v>27</v>
      </c>
      <c r="B69" s="80" t="s">
        <v>27</v>
      </c>
      <c r="C69" s="123" t="s">
        <v>157</v>
      </c>
      <c r="D69" s="122" t="s">
        <v>61</v>
      </c>
      <c r="E69" s="122" t="s">
        <v>61</v>
      </c>
      <c r="F69" s="122" t="s">
        <v>135</v>
      </c>
      <c r="G69" s="33" t="s">
        <v>135</v>
      </c>
      <c r="H69" s="33" t="s">
        <v>136</v>
      </c>
      <c r="I69" s="33"/>
      <c r="J69" s="61">
        <v>4789</v>
      </c>
      <c r="K69" s="61"/>
      <c r="L69" s="92">
        <f t="shared" si="40"/>
        <v>-1</v>
      </c>
      <c r="M69" s="28"/>
      <c r="N69" s="28"/>
      <c r="O69" s="92" t="e">
        <f t="shared" si="41"/>
        <v>#DIV/0!</v>
      </c>
      <c r="P69" s="28">
        <f t="shared" si="42"/>
        <v>4789</v>
      </c>
      <c r="Q69" s="28">
        <f t="shared" si="42"/>
        <v>0</v>
      </c>
      <c r="R69" s="92">
        <f t="shared" si="43"/>
        <v>-1</v>
      </c>
      <c r="S69" s="22">
        <v>7800</v>
      </c>
      <c r="T69" s="22"/>
      <c r="U69" s="92">
        <f t="shared" si="30"/>
        <v>-1</v>
      </c>
      <c r="V69" s="22">
        <f t="shared" si="44"/>
        <v>12589</v>
      </c>
      <c r="W69" s="22">
        <f t="shared" si="45"/>
        <v>0</v>
      </c>
      <c r="X69" s="92">
        <f t="shared" si="31"/>
        <v>-1</v>
      </c>
      <c r="Y69" s="40"/>
      <c r="Z69" s="40"/>
      <c r="AA69" s="92" t="e">
        <f t="shared" si="32"/>
        <v>#DIV/0!</v>
      </c>
      <c r="AB69" s="22">
        <f t="shared" si="46"/>
        <v>12589</v>
      </c>
      <c r="AC69" s="22">
        <f t="shared" si="46"/>
        <v>0</v>
      </c>
      <c r="AD69" s="92">
        <f t="shared" si="33"/>
        <v>-1</v>
      </c>
      <c r="AE69" s="22"/>
      <c r="AF69" s="22"/>
      <c r="AG69" s="92" t="e">
        <f t="shared" si="34"/>
        <v>#DIV/0!</v>
      </c>
      <c r="AH69" s="22">
        <f t="shared" si="47"/>
        <v>12589</v>
      </c>
      <c r="AI69" s="22">
        <f t="shared" si="47"/>
        <v>0</v>
      </c>
      <c r="AJ69" s="92">
        <f t="shared" si="35"/>
        <v>-1</v>
      </c>
      <c r="AK69" s="101"/>
      <c r="AL69" s="101"/>
      <c r="AM69" s="92" t="e">
        <f t="shared" si="36"/>
        <v>#DIV/0!</v>
      </c>
      <c r="AN69" s="101">
        <f t="shared" si="48"/>
        <v>12589</v>
      </c>
      <c r="AO69" s="101">
        <f t="shared" si="48"/>
        <v>0</v>
      </c>
      <c r="AP69" s="92">
        <f t="shared" si="56"/>
        <v>-1</v>
      </c>
      <c r="AQ69" s="39"/>
      <c r="AR69" s="39"/>
      <c r="AS69" s="92" t="e">
        <f t="shared" si="37"/>
        <v>#DIV/0!</v>
      </c>
      <c r="AT69" s="39">
        <f t="shared" si="49"/>
        <v>12589</v>
      </c>
      <c r="AU69" s="39">
        <f t="shared" si="49"/>
        <v>0</v>
      </c>
      <c r="AV69" s="92">
        <f t="shared" si="38"/>
        <v>-1</v>
      </c>
      <c r="AW69" s="126"/>
      <c r="AX69" s="126"/>
      <c r="AY69" s="92" t="e">
        <f t="shared" si="50"/>
        <v>#DIV/0!</v>
      </c>
      <c r="AZ69" s="126">
        <f t="shared" si="51"/>
        <v>12589</v>
      </c>
      <c r="BA69" s="126">
        <f t="shared" si="51"/>
        <v>0</v>
      </c>
      <c r="BB69" s="92">
        <f t="shared" si="39"/>
        <v>-1</v>
      </c>
      <c r="BC69" s="38"/>
      <c r="BD69" s="38"/>
      <c r="BE69" s="92" t="e">
        <f t="shared" si="52"/>
        <v>#DIV/0!</v>
      </c>
      <c r="BF69" s="38">
        <f t="shared" si="53"/>
        <v>12589</v>
      </c>
      <c r="BG69" s="38">
        <f t="shared" si="53"/>
        <v>0</v>
      </c>
      <c r="BH69" s="92">
        <f t="shared" si="54"/>
        <v>-1</v>
      </c>
      <c r="BI69" s="22"/>
      <c r="BJ69" s="28"/>
      <c r="BK69" s="61"/>
      <c r="BL69" s="61">
        <v>12589</v>
      </c>
      <c r="BM69" s="71" t="e">
        <f t="shared" si="55"/>
        <v>#DIV/0!</v>
      </c>
    </row>
    <row r="70" spans="1:67" ht="28">
      <c r="A70" s="22" t="s">
        <v>27</v>
      </c>
      <c r="B70" s="80" t="s">
        <v>27</v>
      </c>
      <c r="C70" s="124" t="s">
        <v>158</v>
      </c>
      <c r="D70" s="122" t="s">
        <v>61</v>
      </c>
      <c r="E70" s="122" t="s">
        <v>61</v>
      </c>
      <c r="F70" s="122" t="s">
        <v>141</v>
      </c>
      <c r="G70" s="33" t="s">
        <v>80</v>
      </c>
      <c r="H70" s="33" t="s">
        <v>142</v>
      </c>
      <c r="I70" s="33"/>
      <c r="J70" s="61">
        <v>10000</v>
      </c>
      <c r="K70" s="61"/>
      <c r="L70" s="92">
        <f t="shared" si="40"/>
        <v>-1</v>
      </c>
      <c r="M70" s="28"/>
      <c r="N70" s="28">
        <v>30820</v>
      </c>
      <c r="O70" s="92" t="e">
        <f t="shared" si="41"/>
        <v>#DIV/0!</v>
      </c>
      <c r="P70" s="28">
        <f t="shared" si="42"/>
        <v>10000</v>
      </c>
      <c r="Q70" s="28">
        <f t="shared" si="42"/>
        <v>30820</v>
      </c>
      <c r="R70" s="92">
        <f t="shared" si="43"/>
        <v>2.0819999999999999</v>
      </c>
      <c r="S70" s="22"/>
      <c r="T70" s="22">
        <v>9744</v>
      </c>
      <c r="U70" s="92" t="e">
        <f t="shared" si="30"/>
        <v>#DIV/0!</v>
      </c>
      <c r="V70" s="22">
        <f t="shared" si="44"/>
        <v>10000</v>
      </c>
      <c r="W70" s="22">
        <f t="shared" si="45"/>
        <v>40564</v>
      </c>
      <c r="X70" s="92">
        <f t="shared" si="31"/>
        <v>3.0564</v>
      </c>
      <c r="Y70" s="40"/>
      <c r="Z70" s="40"/>
      <c r="AA70" s="92" t="e">
        <f t="shared" si="32"/>
        <v>#DIV/0!</v>
      </c>
      <c r="AB70" s="22">
        <f t="shared" si="46"/>
        <v>10000</v>
      </c>
      <c r="AC70" s="22">
        <f t="shared" si="46"/>
        <v>40564</v>
      </c>
      <c r="AD70" s="92">
        <f t="shared" si="33"/>
        <v>3.0564</v>
      </c>
      <c r="AE70" s="22"/>
      <c r="AF70" s="22">
        <v>32390</v>
      </c>
      <c r="AG70" s="92" t="e">
        <f t="shared" si="34"/>
        <v>#DIV/0!</v>
      </c>
      <c r="AH70" s="22">
        <f t="shared" si="47"/>
        <v>10000</v>
      </c>
      <c r="AI70" s="22">
        <f t="shared" si="47"/>
        <v>72954</v>
      </c>
      <c r="AJ70" s="92">
        <f t="shared" si="35"/>
        <v>6.2953999999999999</v>
      </c>
      <c r="AK70" s="101"/>
      <c r="AL70" s="101">
        <v>21149</v>
      </c>
      <c r="AM70" s="92" t="e">
        <f t="shared" si="36"/>
        <v>#DIV/0!</v>
      </c>
      <c r="AN70" s="101">
        <f t="shared" si="48"/>
        <v>10000</v>
      </c>
      <c r="AO70" s="101">
        <f t="shared" si="48"/>
        <v>94103</v>
      </c>
      <c r="AP70" s="92">
        <f t="shared" si="56"/>
        <v>8.4102999999999994</v>
      </c>
      <c r="AQ70" s="39">
        <v>24563</v>
      </c>
      <c r="AR70" s="39">
        <v>24595</v>
      </c>
      <c r="AS70" s="92">
        <f t="shared" si="37"/>
        <v>1.3027724626470949E-3</v>
      </c>
      <c r="AT70" s="39">
        <f t="shared" si="49"/>
        <v>34563</v>
      </c>
      <c r="AU70" s="39">
        <f t="shared" si="49"/>
        <v>118698</v>
      </c>
      <c r="AV70" s="92">
        <f t="shared" si="38"/>
        <v>2.4342504990886207</v>
      </c>
      <c r="AW70" s="126"/>
      <c r="AX70" s="126">
        <v>10998</v>
      </c>
      <c r="AY70" s="92" t="e">
        <f t="shared" si="50"/>
        <v>#DIV/0!</v>
      </c>
      <c r="AZ70" s="126">
        <f t="shared" si="51"/>
        <v>34563</v>
      </c>
      <c r="BA70" s="126">
        <f t="shared" si="51"/>
        <v>129696</v>
      </c>
      <c r="BB70" s="92">
        <f t="shared" si="39"/>
        <v>2.7524520440933946</v>
      </c>
      <c r="BC70" s="38"/>
      <c r="BD70" s="38">
        <v>5664</v>
      </c>
      <c r="BE70" s="92" t="e">
        <f t="shared" si="52"/>
        <v>#DIV/0!</v>
      </c>
      <c r="BF70" s="38">
        <f t="shared" si="53"/>
        <v>34563</v>
      </c>
      <c r="BG70" s="38">
        <f t="shared" si="53"/>
        <v>135360</v>
      </c>
      <c r="BH70" s="92">
        <f t="shared" si="54"/>
        <v>2.9163267077510633</v>
      </c>
      <c r="BI70" s="22"/>
      <c r="BJ70" s="28"/>
      <c r="BK70" s="61">
        <v>25066</v>
      </c>
      <c r="BL70" s="61">
        <v>59629</v>
      </c>
      <c r="BM70" s="71" t="e">
        <f t="shared" si="55"/>
        <v>#DIV/0!</v>
      </c>
    </row>
    <row r="71" spans="1:67">
      <c r="A71" s="22" t="s">
        <v>27</v>
      </c>
      <c r="B71" s="80" t="s">
        <v>27</v>
      </c>
      <c r="C71" s="123" t="s">
        <v>159</v>
      </c>
      <c r="D71" s="122" t="s">
        <v>61</v>
      </c>
      <c r="E71" s="122" t="s">
        <v>61</v>
      </c>
      <c r="F71" s="122" t="s">
        <v>141</v>
      </c>
      <c r="G71" s="33" t="s">
        <v>80</v>
      </c>
      <c r="H71" s="33" t="s">
        <v>139</v>
      </c>
      <c r="I71" s="33"/>
      <c r="J71" s="61"/>
      <c r="K71" s="61"/>
      <c r="L71" s="92" t="e">
        <f t="shared" si="40"/>
        <v>#DIV/0!</v>
      </c>
      <c r="M71" s="28"/>
      <c r="N71" s="28"/>
      <c r="O71" s="92" t="e">
        <f t="shared" si="41"/>
        <v>#DIV/0!</v>
      </c>
      <c r="P71" s="28">
        <f t="shared" si="42"/>
        <v>0</v>
      </c>
      <c r="Q71" s="28">
        <f t="shared" si="42"/>
        <v>0</v>
      </c>
      <c r="R71" s="92" t="e">
        <f t="shared" si="43"/>
        <v>#DIV/0!</v>
      </c>
      <c r="S71" s="22">
        <v>2962</v>
      </c>
      <c r="T71" s="22"/>
      <c r="U71" s="92">
        <f t="shared" si="30"/>
        <v>-1</v>
      </c>
      <c r="V71" s="22">
        <f t="shared" si="44"/>
        <v>2962</v>
      </c>
      <c r="W71" s="22">
        <f t="shared" si="45"/>
        <v>0</v>
      </c>
      <c r="X71" s="92">
        <f t="shared" si="31"/>
        <v>-1</v>
      </c>
      <c r="Y71" s="40"/>
      <c r="Z71" s="40"/>
      <c r="AA71" s="92" t="e">
        <f t="shared" si="32"/>
        <v>#DIV/0!</v>
      </c>
      <c r="AB71" s="22">
        <f t="shared" si="46"/>
        <v>2962</v>
      </c>
      <c r="AC71" s="22">
        <f t="shared" si="46"/>
        <v>0</v>
      </c>
      <c r="AD71" s="92">
        <f t="shared" si="33"/>
        <v>-1</v>
      </c>
      <c r="AE71" s="22"/>
      <c r="AF71" s="22"/>
      <c r="AG71" s="92" t="e">
        <f t="shared" si="34"/>
        <v>#DIV/0!</v>
      </c>
      <c r="AH71" s="22">
        <f t="shared" si="47"/>
        <v>2962</v>
      </c>
      <c r="AI71" s="22">
        <f t="shared" si="47"/>
        <v>0</v>
      </c>
      <c r="AJ71" s="92">
        <f t="shared" si="35"/>
        <v>-1</v>
      </c>
      <c r="AK71" s="101"/>
      <c r="AL71" s="101"/>
      <c r="AM71" s="92" t="e">
        <f t="shared" si="36"/>
        <v>#DIV/0!</v>
      </c>
      <c r="AN71" s="101">
        <f t="shared" si="48"/>
        <v>2962</v>
      </c>
      <c r="AO71" s="101">
        <f t="shared" si="48"/>
        <v>0</v>
      </c>
      <c r="AP71" s="92">
        <f t="shared" si="56"/>
        <v>-1</v>
      </c>
      <c r="AQ71" s="39"/>
      <c r="AR71" s="39"/>
      <c r="AS71" s="92" t="e">
        <f t="shared" si="37"/>
        <v>#DIV/0!</v>
      </c>
      <c r="AT71" s="39">
        <f t="shared" si="49"/>
        <v>2962</v>
      </c>
      <c r="AU71" s="39">
        <f t="shared" si="49"/>
        <v>0</v>
      </c>
      <c r="AV71" s="92">
        <f t="shared" si="38"/>
        <v>-1</v>
      </c>
      <c r="AW71" s="126"/>
      <c r="AX71" s="126"/>
      <c r="AY71" s="92" t="e">
        <f t="shared" si="50"/>
        <v>#DIV/0!</v>
      </c>
      <c r="AZ71" s="126">
        <f t="shared" si="51"/>
        <v>2962</v>
      </c>
      <c r="BA71" s="126">
        <f t="shared" si="51"/>
        <v>0</v>
      </c>
      <c r="BB71" s="92">
        <f t="shared" si="39"/>
        <v>-1</v>
      </c>
      <c r="BC71" s="38"/>
      <c r="BD71" s="38"/>
      <c r="BE71" s="92" t="e">
        <f t="shared" si="52"/>
        <v>#DIV/0!</v>
      </c>
      <c r="BF71" s="38">
        <f t="shared" si="53"/>
        <v>2962</v>
      </c>
      <c r="BG71" s="38">
        <f t="shared" si="53"/>
        <v>0</v>
      </c>
      <c r="BH71" s="92">
        <f t="shared" si="54"/>
        <v>-1</v>
      </c>
      <c r="BI71" s="22"/>
      <c r="BJ71" s="28"/>
      <c r="BK71" s="61"/>
      <c r="BL71" s="61">
        <v>2962</v>
      </c>
      <c r="BM71" s="71" t="e">
        <f t="shared" si="55"/>
        <v>#DIV/0!</v>
      </c>
    </row>
    <row r="72" spans="1:67">
      <c r="A72" s="22" t="s">
        <v>27</v>
      </c>
      <c r="B72" s="80" t="s">
        <v>27</v>
      </c>
      <c r="C72" s="123" t="s">
        <v>119</v>
      </c>
      <c r="D72" s="122" t="s">
        <v>61</v>
      </c>
      <c r="E72" s="122" t="s">
        <v>61</v>
      </c>
      <c r="F72" s="122" t="s">
        <v>141</v>
      </c>
      <c r="G72" s="33" t="s">
        <v>80</v>
      </c>
      <c r="H72" s="33" t="s">
        <v>139</v>
      </c>
      <c r="I72" s="33"/>
      <c r="J72" s="61"/>
      <c r="K72" s="61"/>
      <c r="L72" s="92" t="e">
        <f t="shared" si="40"/>
        <v>#DIV/0!</v>
      </c>
      <c r="M72" s="28"/>
      <c r="N72" s="28">
        <v>1736.04</v>
      </c>
      <c r="O72" s="92" t="e">
        <f t="shared" si="41"/>
        <v>#DIV/0!</v>
      </c>
      <c r="P72" s="28">
        <f t="shared" si="42"/>
        <v>0</v>
      </c>
      <c r="Q72" s="28">
        <f t="shared" si="42"/>
        <v>1736.04</v>
      </c>
      <c r="R72" s="92" t="e">
        <f t="shared" si="43"/>
        <v>#DIV/0!</v>
      </c>
      <c r="S72" s="22"/>
      <c r="T72" s="22"/>
      <c r="U72" s="92" t="e">
        <f t="shared" si="30"/>
        <v>#DIV/0!</v>
      </c>
      <c r="V72" s="22">
        <f t="shared" si="44"/>
        <v>0</v>
      </c>
      <c r="W72" s="22">
        <f t="shared" si="45"/>
        <v>1736.04</v>
      </c>
      <c r="X72" s="92" t="e">
        <f t="shared" si="31"/>
        <v>#DIV/0!</v>
      </c>
      <c r="Y72" s="40"/>
      <c r="Z72" s="40">
        <v>3472.08</v>
      </c>
      <c r="AA72" s="92" t="e">
        <f t="shared" si="32"/>
        <v>#DIV/0!</v>
      </c>
      <c r="AB72" s="22">
        <f t="shared" si="46"/>
        <v>0</v>
      </c>
      <c r="AC72" s="22">
        <f t="shared" si="46"/>
        <v>5208.12</v>
      </c>
      <c r="AD72" s="92" t="e">
        <f t="shared" si="33"/>
        <v>#DIV/0!</v>
      </c>
      <c r="AE72" s="22"/>
      <c r="AF72" s="22"/>
      <c r="AG72" s="92" t="e">
        <f t="shared" si="34"/>
        <v>#DIV/0!</v>
      </c>
      <c r="AH72" s="22">
        <f t="shared" si="47"/>
        <v>0</v>
      </c>
      <c r="AI72" s="22">
        <f t="shared" si="47"/>
        <v>5208.12</v>
      </c>
      <c r="AJ72" s="92" t="e">
        <f t="shared" si="35"/>
        <v>#DIV/0!</v>
      </c>
      <c r="AK72" s="101"/>
      <c r="AL72" s="101"/>
      <c r="AM72" s="92" t="e">
        <f t="shared" si="36"/>
        <v>#DIV/0!</v>
      </c>
      <c r="AN72" s="101">
        <f t="shared" si="48"/>
        <v>0</v>
      </c>
      <c r="AO72" s="101">
        <f t="shared" si="48"/>
        <v>5208.12</v>
      </c>
      <c r="AP72" s="92" t="e">
        <f t="shared" si="56"/>
        <v>#DIV/0!</v>
      </c>
      <c r="AQ72" s="39"/>
      <c r="AR72" s="39"/>
      <c r="AS72" s="92" t="e">
        <f t="shared" si="37"/>
        <v>#DIV/0!</v>
      </c>
      <c r="AT72" s="39">
        <f t="shared" si="49"/>
        <v>0</v>
      </c>
      <c r="AU72" s="39">
        <f t="shared" si="49"/>
        <v>5208.12</v>
      </c>
      <c r="AV72" s="92" t="e">
        <f t="shared" si="38"/>
        <v>#DIV/0!</v>
      </c>
      <c r="AW72" s="126">
        <v>11930.56</v>
      </c>
      <c r="AX72" s="126"/>
      <c r="AY72" s="92">
        <f t="shared" si="50"/>
        <v>-1</v>
      </c>
      <c r="AZ72" s="126">
        <f t="shared" si="51"/>
        <v>11930.56</v>
      </c>
      <c r="BA72" s="126">
        <f t="shared" si="51"/>
        <v>5208.12</v>
      </c>
      <c r="BB72" s="92">
        <f t="shared" si="39"/>
        <v>-0.56346391116594696</v>
      </c>
      <c r="BC72" s="38"/>
      <c r="BD72" s="38"/>
      <c r="BE72" s="92" t="e">
        <f t="shared" si="52"/>
        <v>#DIV/0!</v>
      </c>
      <c r="BF72" s="38">
        <f t="shared" si="53"/>
        <v>11930.56</v>
      </c>
      <c r="BG72" s="38">
        <f t="shared" si="53"/>
        <v>5208.12</v>
      </c>
      <c r="BH72" s="92">
        <f t="shared" si="54"/>
        <v>-0.56346391116594696</v>
      </c>
      <c r="BI72" s="22">
        <v>2982.64</v>
      </c>
      <c r="BJ72" s="28"/>
      <c r="BK72" s="61">
        <v>10047.32</v>
      </c>
      <c r="BL72" s="61">
        <v>24960.52</v>
      </c>
      <c r="BM72" s="71" t="e">
        <f t="shared" si="55"/>
        <v>#DIV/0!</v>
      </c>
    </row>
    <row r="73" spans="1:67">
      <c r="A73" s="22" t="s">
        <v>27</v>
      </c>
      <c r="B73" s="80" t="s">
        <v>27</v>
      </c>
      <c r="C73" s="123" t="s">
        <v>160</v>
      </c>
      <c r="D73" s="122" t="s">
        <v>61</v>
      </c>
      <c r="E73" s="122" t="s">
        <v>61</v>
      </c>
      <c r="F73" s="175" t="s">
        <v>138</v>
      </c>
      <c r="G73" s="33" t="s">
        <v>80</v>
      </c>
      <c r="H73" s="33" t="s">
        <v>139</v>
      </c>
      <c r="I73" s="33">
        <v>60</v>
      </c>
      <c r="J73" s="61"/>
      <c r="K73" s="61"/>
      <c r="L73" s="92"/>
      <c r="M73" s="28"/>
      <c r="N73" s="28"/>
      <c r="O73" s="92"/>
      <c r="P73" s="28"/>
      <c r="Q73" s="28"/>
      <c r="R73" s="92"/>
      <c r="S73" s="22"/>
      <c r="T73" s="22"/>
      <c r="U73" s="92"/>
      <c r="V73" s="22"/>
      <c r="W73" s="22"/>
      <c r="X73" s="92"/>
      <c r="Y73" s="40"/>
      <c r="Z73" s="40"/>
      <c r="AA73" s="92"/>
      <c r="AB73" s="22"/>
      <c r="AC73" s="22"/>
      <c r="AD73" s="92"/>
      <c r="AE73" s="22"/>
      <c r="AF73" s="22">
        <v>116732</v>
      </c>
      <c r="AG73" s="92" t="e">
        <f t="shared" si="34"/>
        <v>#DIV/0!</v>
      </c>
      <c r="AH73" s="22">
        <f t="shared" si="47"/>
        <v>0</v>
      </c>
      <c r="AI73" s="22">
        <f t="shared" si="47"/>
        <v>116732</v>
      </c>
      <c r="AJ73" s="92" t="e">
        <f t="shared" si="35"/>
        <v>#DIV/0!</v>
      </c>
      <c r="AK73" s="101"/>
      <c r="AL73" s="101">
        <v>3088</v>
      </c>
      <c r="AM73" s="92" t="e">
        <f t="shared" si="36"/>
        <v>#DIV/0!</v>
      </c>
      <c r="AN73" s="101">
        <f t="shared" si="48"/>
        <v>0</v>
      </c>
      <c r="AO73" s="101">
        <f t="shared" si="48"/>
        <v>119820</v>
      </c>
      <c r="AP73" s="92" t="e">
        <f t="shared" si="56"/>
        <v>#DIV/0!</v>
      </c>
      <c r="AQ73" s="39"/>
      <c r="AR73" s="39">
        <v>10000</v>
      </c>
      <c r="AS73" s="92" t="e">
        <f t="shared" si="37"/>
        <v>#DIV/0!</v>
      </c>
      <c r="AT73" s="39">
        <f t="shared" si="49"/>
        <v>0</v>
      </c>
      <c r="AU73" s="39">
        <f t="shared" si="49"/>
        <v>129820</v>
      </c>
      <c r="AV73" s="92" t="e">
        <f t="shared" si="38"/>
        <v>#DIV/0!</v>
      </c>
      <c r="AW73" s="126"/>
      <c r="AX73" s="126"/>
      <c r="AY73" s="92" t="e">
        <f t="shared" si="50"/>
        <v>#DIV/0!</v>
      </c>
      <c r="AZ73" s="126">
        <f t="shared" si="51"/>
        <v>0</v>
      </c>
      <c r="BA73" s="126">
        <f t="shared" si="51"/>
        <v>129820</v>
      </c>
      <c r="BB73" s="92" t="e">
        <f t="shared" si="39"/>
        <v>#DIV/0!</v>
      </c>
      <c r="BC73" s="38"/>
      <c r="BD73" s="38">
        <v>2322</v>
      </c>
      <c r="BE73" s="92" t="e">
        <f t="shared" si="52"/>
        <v>#DIV/0!</v>
      </c>
      <c r="BF73" s="38">
        <f t="shared" si="53"/>
        <v>0</v>
      </c>
      <c r="BG73" s="38">
        <f t="shared" si="53"/>
        <v>132142</v>
      </c>
      <c r="BH73" s="92" t="e">
        <f t="shared" si="54"/>
        <v>#DIV/0!</v>
      </c>
      <c r="BI73" s="22"/>
      <c r="BJ73" s="28"/>
      <c r="BK73" s="61"/>
      <c r="BL73" s="61"/>
      <c r="BM73" s="71">
        <f t="shared" si="55"/>
        <v>0.22023666666666666</v>
      </c>
    </row>
    <row r="74" spans="1:67">
      <c r="A74" s="22" t="s">
        <v>27</v>
      </c>
      <c r="B74" s="80" t="s">
        <v>27</v>
      </c>
      <c r="C74" s="123" t="s">
        <v>115</v>
      </c>
      <c r="D74" s="122" t="s">
        <v>114</v>
      </c>
      <c r="E74" s="122" t="s">
        <v>114</v>
      </c>
      <c r="F74" s="122" t="s">
        <v>141</v>
      </c>
      <c r="G74" s="33"/>
      <c r="H74" s="33" t="s">
        <v>139</v>
      </c>
      <c r="I74" s="33"/>
      <c r="J74" s="61"/>
      <c r="K74" s="61"/>
      <c r="L74" s="92"/>
      <c r="M74" s="28"/>
      <c r="N74" s="28"/>
      <c r="O74" s="92"/>
      <c r="P74" s="28"/>
      <c r="Q74" s="28"/>
      <c r="R74" s="92"/>
      <c r="S74" s="22"/>
      <c r="T74" s="22"/>
      <c r="U74" s="92"/>
      <c r="V74" s="22"/>
      <c r="W74" s="22"/>
      <c r="X74" s="92"/>
      <c r="Y74" s="40"/>
      <c r="Z74" s="40"/>
      <c r="AA74" s="92"/>
      <c r="AB74" s="22"/>
      <c r="AC74" s="22"/>
      <c r="AD74" s="92"/>
      <c r="AE74" s="22"/>
      <c r="AF74" s="22"/>
      <c r="AG74" s="92"/>
      <c r="AH74" s="22"/>
      <c r="AI74" s="22"/>
      <c r="AJ74" s="92"/>
      <c r="AK74" s="101"/>
      <c r="AL74" s="101">
        <v>3344</v>
      </c>
      <c r="AM74" s="92" t="e">
        <f t="shared" si="36"/>
        <v>#DIV/0!</v>
      </c>
      <c r="AN74" s="101">
        <f t="shared" si="48"/>
        <v>0</v>
      </c>
      <c r="AO74" s="101">
        <f t="shared" si="48"/>
        <v>3344</v>
      </c>
      <c r="AP74" s="92" t="e">
        <f t="shared" si="56"/>
        <v>#DIV/0!</v>
      </c>
      <c r="AQ74" s="39"/>
      <c r="AR74" s="39"/>
      <c r="AS74" s="92" t="e">
        <f t="shared" si="37"/>
        <v>#DIV/0!</v>
      </c>
      <c r="AT74" s="39">
        <f t="shared" si="49"/>
        <v>0</v>
      </c>
      <c r="AU74" s="39">
        <f t="shared" si="49"/>
        <v>3344</v>
      </c>
      <c r="AV74" s="92" t="e">
        <f t="shared" si="38"/>
        <v>#DIV/0!</v>
      </c>
      <c r="AW74" s="126"/>
      <c r="AX74" s="126"/>
      <c r="AY74" s="92" t="e">
        <f t="shared" si="50"/>
        <v>#DIV/0!</v>
      </c>
      <c r="AZ74" s="126">
        <f t="shared" si="51"/>
        <v>0</v>
      </c>
      <c r="BA74" s="126">
        <f t="shared" si="51"/>
        <v>3344</v>
      </c>
      <c r="BB74" s="92" t="e">
        <f t="shared" si="39"/>
        <v>#DIV/0!</v>
      </c>
      <c r="BC74" s="38"/>
      <c r="BD74" s="38"/>
      <c r="BE74" s="92" t="e">
        <f t="shared" si="52"/>
        <v>#DIV/0!</v>
      </c>
      <c r="BF74" s="38">
        <f t="shared" si="53"/>
        <v>0</v>
      </c>
      <c r="BG74" s="38">
        <f t="shared" si="53"/>
        <v>3344</v>
      </c>
      <c r="BH74" s="92" t="e">
        <f t="shared" si="54"/>
        <v>#DIV/0!</v>
      </c>
      <c r="BI74" s="22"/>
      <c r="BJ74" s="28"/>
      <c r="BK74" s="61"/>
      <c r="BL74" s="61"/>
      <c r="BM74" s="71" t="e">
        <f t="shared" si="55"/>
        <v>#DIV/0!</v>
      </c>
    </row>
    <row r="75" spans="1:67">
      <c r="A75" s="22"/>
      <c r="B75" s="80">
        <v>19</v>
      </c>
      <c r="C75" s="81" t="s">
        <v>36</v>
      </c>
      <c r="D75" s="33"/>
      <c r="E75" s="33"/>
      <c r="F75" s="33"/>
      <c r="G75" s="33"/>
      <c r="H75" s="33"/>
      <c r="I75" s="22">
        <f>SUBTOTAL(9,I55:I74)</f>
        <v>865</v>
      </c>
      <c r="J75" s="22">
        <f>SUBTOTAL(9,J55:J74)</f>
        <v>578458.28</v>
      </c>
      <c r="K75" s="22">
        <f>SUBTOTAL(9,K55:K74)</f>
        <v>474052</v>
      </c>
      <c r="L75" s="92">
        <f>K75/J75-1</f>
        <v>-0.18049059648692389</v>
      </c>
      <c r="M75" s="22">
        <f>SUBTOTAL(9,M55:M74)</f>
        <v>382921</v>
      </c>
      <c r="N75" s="22">
        <f>SUBTOTAL(9,N55:N74)</f>
        <v>390891.04</v>
      </c>
      <c r="O75" s="92">
        <f>N75/M75-1</f>
        <v>2.0813797101751907E-2</v>
      </c>
      <c r="P75" s="22">
        <f>SUBTOTAL(9,P55:P74)</f>
        <v>961379.28</v>
      </c>
      <c r="Q75" s="22">
        <f>SUBTOTAL(9,Q55:Q74)</f>
        <v>864943.04</v>
      </c>
      <c r="R75" s="92">
        <f>Q75/P75-1</f>
        <v>-0.10031029584910545</v>
      </c>
      <c r="S75" s="22">
        <f>SUBTOTAL(9,S55:S74)</f>
        <v>427042.28</v>
      </c>
      <c r="T75" s="22">
        <f>SUBTOTAL(9,T55:T74)</f>
        <v>414836.06</v>
      </c>
      <c r="U75" s="92">
        <f>T75/S75-1</f>
        <v>-2.8583165114236531E-2</v>
      </c>
      <c r="V75" s="22">
        <f>SUBTOTAL(9,V55:V74)</f>
        <v>1388421.56</v>
      </c>
      <c r="W75" s="22">
        <f>SUBTOTAL(9,W55:W74)</f>
        <v>1279779.1000000001</v>
      </c>
      <c r="X75" s="92">
        <f>W75/V75-1</f>
        <v>-7.8248900139522459E-2</v>
      </c>
      <c r="Y75" s="22">
        <f>SUBTOTAL(9,Y55:Y74)</f>
        <v>399949</v>
      </c>
      <c r="Z75" s="22">
        <f>SUBTOTAL(9,Z55:Z74)</f>
        <v>411808.08</v>
      </c>
      <c r="AA75" s="92">
        <f>Z75/Y75-1</f>
        <v>2.9651480563771981E-2</v>
      </c>
      <c r="AB75" s="22">
        <f>SUBTOTAL(9,AB55:AB74)</f>
        <v>1788370.56</v>
      </c>
      <c r="AC75" s="22">
        <f>SUBTOTAL(9,AC55:AC74)</f>
        <v>1691587.1800000002</v>
      </c>
      <c r="AD75" s="92">
        <f>AC75/AB75-1</f>
        <v>-5.4118191254501458E-2</v>
      </c>
      <c r="AE75" s="22">
        <f>SUBTOTAL(9,AE55:AE74)</f>
        <v>597544</v>
      </c>
      <c r="AF75" s="22">
        <f>SUBTOTAL(9,AF55:AF74)</f>
        <v>404990</v>
      </c>
      <c r="AG75" s="92">
        <f>AF75/AE75-1</f>
        <v>-0.32224237880390394</v>
      </c>
      <c r="AH75" s="22">
        <f>SUBTOTAL(9,AH55:AH74)</f>
        <v>2385914.56</v>
      </c>
      <c r="AI75" s="22">
        <f>SUBTOTAL(9,AI55:AI74)</f>
        <v>2096577.1800000002</v>
      </c>
      <c r="AJ75" s="92">
        <f>AI75/AH75-1</f>
        <v>-0.1212689611148523</v>
      </c>
      <c r="AK75" s="22">
        <f>SUBTOTAL(9,AK55:AK74)</f>
        <v>442447</v>
      </c>
      <c r="AL75" s="22">
        <f t="shared" ref="AL75:AR75" si="57">SUBTOTAL(9,AL55:AL74)</f>
        <v>273945</v>
      </c>
      <c r="AM75" s="92">
        <f t="shared" si="36"/>
        <v>-0.38084109509161546</v>
      </c>
      <c r="AN75" s="22">
        <f t="shared" si="57"/>
        <v>2828361.56</v>
      </c>
      <c r="AO75" s="22">
        <f t="shared" si="57"/>
        <v>2370522.1800000002</v>
      </c>
      <c r="AP75" s="92">
        <f t="shared" si="56"/>
        <v>-0.16187441749844733</v>
      </c>
      <c r="AQ75" s="22">
        <f t="shared" si="57"/>
        <v>267076.26</v>
      </c>
      <c r="AR75" s="22">
        <f t="shared" si="57"/>
        <v>314396</v>
      </c>
      <c r="AS75" s="92">
        <f t="shared" si="37"/>
        <v>0.17717688573293633</v>
      </c>
      <c r="AT75" s="22">
        <f t="shared" ref="AT75:AX75" si="58">SUBTOTAL(9,AT55:AT74)</f>
        <v>3095437.82</v>
      </c>
      <c r="AU75" s="22">
        <f t="shared" si="58"/>
        <v>2684918.18</v>
      </c>
      <c r="AV75" s="92">
        <f t="shared" si="38"/>
        <v>-0.13262086459872735</v>
      </c>
      <c r="AW75" s="128">
        <v>297074.56</v>
      </c>
      <c r="AX75" s="22">
        <f t="shared" si="58"/>
        <v>301382.59999999998</v>
      </c>
      <c r="AY75" s="92">
        <f t="shared" si="50"/>
        <v>1.4501544662727017E-2</v>
      </c>
      <c r="AZ75" s="22">
        <f t="shared" ref="AZ75:BD75" si="59">SUBTOTAL(9,AZ55:AZ74)</f>
        <v>3392512.38</v>
      </c>
      <c r="BA75" s="22">
        <f t="shared" si="59"/>
        <v>2986300.7800000003</v>
      </c>
      <c r="BB75" s="92">
        <f t="shared" si="39"/>
        <v>-0.11973769127409928</v>
      </c>
      <c r="BC75" s="22">
        <f t="shared" si="59"/>
        <v>493686.14</v>
      </c>
      <c r="BD75" s="22">
        <f t="shared" si="59"/>
        <v>220016</v>
      </c>
      <c r="BE75" s="92">
        <f t="shared" si="52"/>
        <v>-0.55434033452914033</v>
      </c>
      <c r="BF75" s="22">
        <f>SUBTOTAL(9,BF55:BF74)</f>
        <v>3886198.5200000005</v>
      </c>
      <c r="BG75" s="22">
        <f>SUBTOTAL(9,BG55:BG74)</f>
        <v>3206316.7800000003</v>
      </c>
      <c r="BH75" s="92">
        <f t="shared" si="54"/>
        <v>-0.17494776360524167</v>
      </c>
      <c r="BI75" s="130">
        <v>594994.64</v>
      </c>
      <c r="BJ75" s="130">
        <v>779689</v>
      </c>
      <c r="BK75" s="131">
        <v>1367682.32</v>
      </c>
      <c r="BL75" s="131">
        <v>6628564.4800000004</v>
      </c>
      <c r="BM75" s="71">
        <f t="shared" si="55"/>
        <v>0.37067246011560695</v>
      </c>
    </row>
    <row r="79" spans="1:67">
      <c r="A79" s="250" t="s">
        <v>44</v>
      </c>
      <c r="B79" s="252" t="s">
        <v>45</v>
      </c>
      <c r="C79" s="208" t="s">
        <v>161</v>
      </c>
      <c r="D79" s="210" t="s">
        <v>47</v>
      </c>
      <c r="E79" s="211" t="s">
        <v>48</v>
      </c>
      <c r="F79" s="212" t="s">
        <v>49</v>
      </c>
      <c r="G79" s="213" t="s">
        <v>50</v>
      </c>
      <c r="H79" s="215" t="s">
        <v>51</v>
      </c>
      <c r="I79" s="215" t="s">
        <v>38</v>
      </c>
      <c r="J79" s="216" t="s">
        <v>3</v>
      </c>
      <c r="K79" s="206"/>
      <c r="L79" s="203" t="s">
        <v>4</v>
      </c>
      <c r="M79" s="197" t="s">
        <v>5</v>
      </c>
      <c r="N79" s="197"/>
      <c r="O79" s="196" t="s">
        <v>4</v>
      </c>
      <c r="P79" s="197" t="s">
        <v>39</v>
      </c>
      <c r="Q79" s="197"/>
      <c r="R79" s="196" t="s">
        <v>4</v>
      </c>
      <c r="S79" s="197" t="s">
        <v>6</v>
      </c>
      <c r="T79" s="197"/>
      <c r="U79" s="196" t="s">
        <v>4</v>
      </c>
      <c r="V79" s="197" t="s">
        <v>7</v>
      </c>
      <c r="W79" s="197"/>
      <c r="X79" s="196" t="s">
        <v>4</v>
      </c>
      <c r="Y79" s="197" t="s">
        <v>8</v>
      </c>
      <c r="Z79" s="197"/>
      <c r="AA79" s="196" t="s">
        <v>4</v>
      </c>
      <c r="AB79" s="197" t="s">
        <v>9</v>
      </c>
      <c r="AC79" s="197"/>
      <c r="AD79" s="196" t="s">
        <v>4</v>
      </c>
      <c r="AE79" s="197" t="s">
        <v>10</v>
      </c>
      <c r="AF79" s="197"/>
      <c r="AG79" s="196" t="s">
        <v>4</v>
      </c>
      <c r="AH79" s="197" t="s">
        <v>11</v>
      </c>
      <c r="AI79" s="197"/>
      <c r="AJ79" s="196" t="s">
        <v>4</v>
      </c>
      <c r="AK79" s="197" t="s">
        <v>12</v>
      </c>
      <c r="AL79" s="197"/>
      <c r="AM79" s="196" t="s">
        <v>4</v>
      </c>
      <c r="AN79" s="197" t="s">
        <v>13</v>
      </c>
      <c r="AO79" s="197"/>
      <c r="AP79" s="196" t="s">
        <v>4</v>
      </c>
      <c r="AQ79" s="197" t="s">
        <v>14</v>
      </c>
      <c r="AR79" s="197"/>
      <c r="AS79" s="196" t="s">
        <v>4</v>
      </c>
      <c r="AT79" s="197" t="s">
        <v>15</v>
      </c>
      <c r="AU79" s="197"/>
      <c r="AV79" s="187" t="s">
        <v>4</v>
      </c>
      <c r="AW79" s="197" t="s">
        <v>16</v>
      </c>
      <c r="AX79" s="197"/>
      <c r="AY79" s="196" t="s">
        <v>4</v>
      </c>
      <c r="AZ79" s="197" t="s">
        <v>17</v>
      </c>
      <c r="BA79" s="197"/>
      <c r="BB79" s="187" t="s">
        <v>4</v>
      </c>
      <c r="BC79" s="191" t="s">
        <v>18</v>
      </c>
      <c r="BD79" s="192"/>
      <c r="BE79" s="187" t="s">
        <v>4</v>
      </c>
      <c r="BF79" s="191" t="s">
        <v>19</v>
      </c>
      <c r="BG79" s="192"/>
      <c r="BH79" s="187" t="s">
        <v>4</v>
      </c>
      <c r="BI79" s="119" t="s">
        <v>40</v>
      </c>
      <c r="BJ79" s="119" t="s">
        <v>41</v>
      </c>
      <c r="BK79" s="119" t="s">
        <v>42</v>
      </c>
      <c r="BL79" s="78" t="s">
        <v>133</v>
      </c>
      <c r="BM79" s="207" t="s">
        <v>20</v>
      </c>
      <c r="BN79" s="40"/>
      <c r="BO79" s="40"/>
    </row>
    <row r="80" spans="1:67">
      <c r="A80" s="251"/>
      <c r="B80" s="253"/>
      <c r="C80" s="209"/>
      <c r="D80" s="210"/>
      <c r="E80" s="211"/>
      <c r="F80" s="212"/>
      <c r="G80" s="214"/>
      <c r="H80" s="212"/>
      <c r="I80" s="212"/>
      <c r="J80" s="64" t="s">
        <v>21</v>
      </c>
      <c r="K80" s="64" t="s">
        <v>22</v>
      </c>
      <c r="L80" s="204"/>
      <c r="M80" s="35" t="s">
        <v>21</v>
      </c>
      <c r="N80" s="35" t="s">
        <v>22</v>
      </c>
      <c r="O80" s="196"/>
      <c r="P80" s="35" t="s">
        <v>21</v>
      </c>
      <c r="Q80" s="35" t="s">
        <v>22</v>
      </c>
      <c r="R80" s="196"/>
      <c r="S80" s="35" t="s">
        <v>21</v>
      </c>
      <c r="T80" s="35" t="s">
        <v>22</v>
      </c>
      <c r="U80" s="196"/>
      <c r="V80" s="35" t="s">
        <v>21</v>
      </c>
      <c r="W80" s="35" t="s">
        <v>22</v>
      </c>
      <c r="X80" s="196"/>
      <c r="Y80" s="35" t="s">
        <v>21</v>
      </c>
      <c r="Z80" s="35" t="s">
        <v>22</v>
      </c>
      <c r="AA80" s="196"/>
      <c r="AB80" s="35" t="s">
        <v>21</v>
      </c>
      <c r="AC80" s="35" t="s">
        <v>22</v>
      </c>
      <c r="AD80" s="196"/>
      <c r="AE80" s="35" t="s">
        <v>21</v>
      </c>
      <c r="AF80" s="35" t="s">
        <v>22</v>
      </c>
      <c r="AG80" s="196"/>
      <c r="AH80" s="35" t="s">
        <v>21</v>
      </c>
      <c r="AI80" s="35" t="s">
        <v>22</v>
      </c>
      <c r="AJ80" s="196"/>
      <c r="AK80" s="35" t="s">
        <v>21</v>
      </c>
      <c r="AL80" s="35" t="s">
        <v>22</v>
      </c>
      <c r="AM80" s="196"/>
      <c r="AN80" s="35" t="s">
        <v>21</v>
      </c>
      <c r="AO80" s="35" t="s">
        <v>22</v>
      </c>
      <c r="AP80" s="196"/>
      <c r="AQ80" s="35" t="s">
        <v>21</v>
      </c>
      <c r="AR80" s="35" t="s">
        <v>22</v>
      </c>
      <c r="AS80" s="196"/>
      <c r="AT80" s="35" t="s">
        <v>21</v>
      </c>
      <c r="AU80" s="35" t="s">
        <v>22</v>
      </c>
      <c r="AV80" s="187"/>
      <c r="AW80" s="35" t="s">
        <v>21</v>
      </c>
      <c r="AX80" s="35" t="s">
        <v>22</v>
      </c>
      <c r="AY80" s="196"/>
      <c r="AZ80" s="35" t="s">
        <v>21</v>
      </c>
      <c r="BA80" s="35" t="s">
        <v>22</v>
      </c>
      <c r="BB80" s="187"/>
      <c r="BC80" s="35" t="s">
        <v>21</v>
      </c>
      <c r="BD80" s="35" t="s">
        <v>22</v>
      </c>
      <c r="BE80" s="187"/>
      <c r="BF80" s="35" t="s">
        <v>21</v>
      </c>
      <c r="BG80" s="35" t="s">
        <v>22</v>
      </c>
      <c r="BH80" s="187"/>
      <c r="BI80" s="22" t="s">
        <v>21</v>
      </c>
      <c r="BJ80" s="22" t="s">
        <v>21</v>
      </c>
      <c r="BK80" s="22" t="s">
        <v>21</v>
      </c>
      <c r="BL80" s="22" t="s">
        <v>21</v>
      </c>
      <c r="BM80" s="207"/>
      <c r="BN80" s="42" t="s">
        <v>162</v>
      </c>
      <c r="BO80" s="42" t="s">
        <v>163</v>
      </c>
    </row>
    <row r="81" spans="1:67">
      <c r="A81" s="22" t="s">
        <v>164</v>
      </c>
      <c r="B81" s="78" t="s">
        <v>164</v>
      </c>
      <c r="C81" s="33" t="s">
        <v>165</v>
      </c>
      <c r="D81" s="114" t="s">
        <v>65</v>
      </c>
      <c r="E81" s="114" t="s">
        <v>65</v>
      </c>
      <c r="F81" s="33" t="s">
        <v>166</v>
      </c>
      <c r="G81" s="33" t="s">
        <v>166</v>
      </c>
      <c r="H81" s="39" t="s">
        <v>167</v>
      </c>
      <c r="I81" s="39">
        <v>220</v>
      </c>
      <c r="J81" s="22">
        <v>365000</v>
      </c>
      <c r="K81" s="22">
        <f>73000+11500</f>
        <v>84500</v>
      </c>
      <c r="L81" s="92">
        <f>K81/J81-1</f>
        <v>-0.76849315068493151</v>
      </c>
      <c r="M81" s="105">
        <v>30000</v>
      </c>
      <c r="N81" s="105">
        <f>15000+21876</f>
        <v>36876</v>
      </c>
      <c r="O81" s="92">
        <f t="shared" ref="O81:O103" si="60">N81/M81-1</f>
        <v>0.22920000000000007</v>
      </c>
      <c r="P81" s="105">
        <f>M81+J81</f>
        <v>395000</v>
      </c>
      <c r="Q81" s="105">
        <f>N81+K81</f>
        <v>121376</v>
      </c>
      <c r="R81" s="92">
        <f t="shared" ref="R81:R103" si="61">Q81/P81-1</f>
        <v>-0.69271898734177217</v>
      </c>
      <c r="S81" s="39">
        <v>148000</v>
      </c>
      <c r="T81" s="39">
        <f>38155.54+91496-15078</f>
        <v>114573.54000000001</v>
      </c>
      <c r="U81" s="92">
        <f t="shared" ref="U81:U103" si="62">T81/S81-1</f>
        <v>-0.22585445945945937</v>
      </c>
      <c r="V81" s="38">
        <f>S81+P81</f>
        <v>543000</v>
      </c>
      <c r="W81" s="38">
        <f>T81+Q81</f>
        <v>235949.54</v>
      </c>
      <c r="X81" s="92">
        <f>W81/V81-1</f>
        <v>-0.56547046040515658</v>
      </c>
      <c r="Y81" s="39">
        <v>115000</v>
      </c>
      <c r="Z81" s="39">
        <v>156103</v>
      </c>
      <c r="AA81" s="92">
        <f t="shared" ref="AA81:AA103" si="63">Z81/Y81-1</f>
        <v>0.35741739130434791</v>
      </c>
      <c r="AB81" s="39">
        <f>Y81+V81</f>
        <v>658000</v>
      </c>
      <c r="AC81" s="39">
        <f>Z81+W81</f>
        <v>392052.54000000004</v>
      </c>
      <c r="AD81" s="92">
        <f>AC81/AB81-1</f>
        <v>-0.40417547112462004</v>
      </c>
      <c r="AE81" s="39">
        <v>171600</v>
      </c>
      <c r="AF81" s="39">
        <v>51953</v>
      </c>
      <c r="AG81" s="92">
        <f>AF81/AE81-1</f>
        <v>-0.6972435897435898</v>
      </c>
      <c r="AH81" s="39">
        <f>AE81+AB81</f>
        <v>829600</v>
      </c>
      <c r="AI81" s="39">
        <f>AF81+AC81</f>
        <v>444005.54000000004</v>
      </c>
      <c r="AJ81" s="92">
        <f>AI81/AH81-1</f>
        <v>-0.46479563645130184</v>
      </c>
      <c r="AK81" s="38">
        <v>165430.29999999999</v>
      </c>
      <c r="AL81" s="38">
        <v>113309</v>
      </c>
      <c r="AM81" s="92">
        <f>AL81/AK81-1</f>
        <v>-0.31506501529647224</v>
      </c>
      <c r="AN81" s="38">
        <f>AK81+AH81</f>
        <v>995030.3</v>
      </c>
      <c r="AO81" s="38">
        <f>AL81+AI81</f>
        <v>557314.54</v>
      </c>
      <c r="AP81" s="92">
        <f>AO81/AN81-1</f>
        <v>-0.43990194067457045</v>
      </c>
      <c r="AQ81" s="39">
        <v>130000</v>
      </c>
      <c r="AR81" s="39">
        <v>18500</v>
      </c>
      <c r="AS81" s="92">
        <f t="shared" ref="AS81:AS107" si="64">AR81/AQ81-1</f>
        <v>-0.85769230769230775</v>
      </c>
      <c r="AT81" s="39">
        <f>AQ81+AN81</f>
        <v>1125030.3</v>
      </c>
      <c r="AU81" s="39">
        <f>AR81+AO81</f>
        <v>575814.54</v>
      </c>
      <c r="AV81" s="92">
        <f>AU81/AT81-1</f>
        <v>-0.4881786383886727</v>
      </c>
      <c r="AW81" s="39">
        <v>110000</v>
      </c>
      <c r="AX81" s="39">
        <v>80100</v>
      </c>
      <c r="AY81" s="92">
        <f>AX81/AW81-1</f>
        <v>-0.27181818181818185</v>
      </c>
      <c r="AZ81" s="39">
        <f>AW81+AT81</f>
        <v>1235030.3</v>
      </c>
      <c r="BA81" s="39">
        <f>AX81+AU81</f>
        <v>655914.54</v>
      </c>
      <c r="BB81" s="92">
        <f>BA81/AZ81-1</f>
        <v>-0.46890813933876763</v>
      </c>
      <c r="BC81" s="38">
        <v>220362</v>
      </c>
      <c r="BD81" s="38">
        <f>2800+58867</f>
        <v>61667</v>
      </c>
      <c r="BE81" s="92">
        <f>BD81/BC81-1</f>
        <v>-0.72015592525027006</v>
      </c>
      <c r="BF81" s="38">
        <f>BC81+AZ81</f>
        <v>1455392.3</v>
      </c>
      <c r="BG81" s="38">
        <f>BD81+BA81</f>
        <v>717581.54</v>
      </c>
      <c r="BH81" s="92">
        <f>BG81/BF81-1</f>
        <v>-0.50694974818816885</v>
      </c>
      <c r="BI81" s="28">
        <v>194142</v>
      </c>
      <c r="BJ81" s="28">
        <v>187500</v>
      </c>
      <c r="BK81" s="28">
        <v>177140</v>
      </c>
      <c r="BL81" s="28">
        <v>2014174.3</v>
      </c>
      <c r="BM81" s="29">
        <f>BG81/10000/I81</f>
        <v>0.3261734272727273</v>
      </c>
      <c r="BN81" s="42">
        <v>63600</v>
      </c>
      <c r="BO81" s="40"/>
    </row>
    <row r="82" spans="1:67" ht="15">
      <c r="A82" s="22" t="s">
        <v>164</v>
      </c>
      <c r="B82" s="78" t="s">
        <v>168</v>
      </c>
      <c r="C82" s="115" t="s">
        <v>169</v>
      </c>
      <c r="D82" s="114" t="s">
        <v>56</v>
      </c>
      <c r="E82" s="114" t="s">
        <v>56</v>
      </c>
      <c r="F82" s="33" t="s">
        <v>170</v>
      </c>
      <c r="G82" s="33" t="s">
        <v>171</v>
      </c>
      <c r="H82" s="39" t="s">
        <v>172</v>
      </c>
      <c r="I82" s="117">
        <v>200</v>
      </c>
      <c r="J82" s="22">
        <v>203140.4</v>
      </c>
      <c r="K82" s="22">
        <v>211568</v>
      </c>
      <c r="L82" s="92">
        <f t="shared" ref="L82:L103" si="65">K82/J82-1</f>
        <v>4.1486577756074228E-2</v>
      </c>
      <c r="M82" s="105">
        <v>108325</v>
      </c>
      <c r="N82" s="105">
        <v>126251</v>
      </c>
      <c r="O82" s="92">
        <f t="shared" si="60"/>
        <v>0.1654834987306717</v>
      </c>
      <c r="P82" s="105">
        <f t="shared" ref="P82:Q103" si="66">M82+J82</f>
        <v>311465.40000000002</v>
      </c>
      <c r="Q82" s="105">
        <f t="shared" si="66"/>
        <v>337819</v>
      </c>
      <c r="R82" s="92">
        <f t="shared" si="61"/>
        <v>8.4611645466879937E-2</v>
      </c>
      <c r="S82" s="39">
        <v>64094</v>
      </c>
      <c r="T82" s="39">
        <v>164562</v>
      </c>
      <c r="U82" s="92">
        <f t="shared" si="62"/>
        <v>1.5675102193653072</v>
      </c>
      <c r="V82" s="38">
        <f t="shared" ref="V82:W103" si="67">S82+P82</f>
        <v>375559.4</v>
      </c>
      <c r="W82" s="38">
        <f t="shared" si="67"/>
        <v>502381</v>
      </c>
      <c r="X82" s="92">
        <f t="shared" ref="X82:X103" si="68">W82/V82-1</f>
        <v>0.33768719408966996</v>
      </c>
      <c r="Y82" s="39">
        <v>66218</v>
      </c>
      <c r="Z82" s="39">
        <v>103867</v>
      </c>
      <c r="AA82" s="92">
        <f t="shared" si="63"/>
        <v>0.56856141834546503</v>
      </c>
      <c r="AB82" s="39">
        <f t="shared" ref="AB82:AC103" si="69">Y82+V82</f>
        <v>441777.4</v>
      </c>
      <c r="AC82" s="39">
        <f t="shared" si="69"/>
        <v>606248</v>
      </c>
      <c r="AD82" s="92">
        <f t="shared" ref="AD82:AD103" si="70">AC82/AB82-1</f>
        <v>0.37229292399294289</v>
      </c>
      <c r="AE82" s="39">
        <v>62805</v>
      </c>
      <c r="AF82" s="39">
        <f>95846+40500</f>
        <v>136346</v>
      </c>
      <c r="AG82" s="92">
        <f t="shared" ref="AG82:AG107" si="71">AF82/AE82-1</f>
        <v>1.1709418039964969</v>
      </c>
      <c r="AH82" s="39">
        <f t="shared" ref="AH82:AI107" si="72">AE82+AB82</f>
        <v>504582.40000000002</v>
      </c>
      <c r="AI82" s="39">
        <f t="shared" si="72"/>
        <v>742594</v>
      </c>
      <c r="AJ82" s="92">
        <f t="shared" ref="AJ82:AJ107" si="73">AI82/AH82-1</f>
        <v>0.47170016235207557</v>
      </c>
      <c r="AK82" s="38">
        <v>109740</v>
      </c>
      <c r="AL82" s="38">
        <v>208633</v>
      </c>
      <c r="AM82" s="92">
        <f t="shared" ref="AM82:AM107" si="74">AL82/AK82-1</f>
        <v>0.90115728084563518</v>
      </c>
      <c r="AN82" s="38">
        <f t="shared" ref="AN82:AO107" si="75">AK82+AH82</f>
        <v>614322.4</v>
      </c>
      <c r="AO82" s="38">
        <f t="shared" si="75"/>
        <v>951227</v>
      </c>
      <c r="AP82" s="92">
        <f t="shared" ref="AP82:AP107" si="76">AO82/AN82-1</f>
        <v>0.54841659688788802</v>
      </c>
      <c r="AQ82" s="39">
        <v>81839</v>
      </c>
      <c r="AR82" s="39">
        <v>124398</v>
      </c>
      <c r="AS82" s="92">
        <f t="shared" si="64"/>
        <v>0.52003323598773199</v>
      </c>
      <c r="AT82" s="39">
        <f t="shared" ref="AT82:AU107" si="77">AQ82+AN82</f>
        <v>696161.4</v>
      </c>
      <c r="AU82" s="39">
        <f t="shared" si="77"/>
        <v>1075625</v>
      </c>
      <c r="AV82" s="92">
        <f t="shared" ref="AV82:AV107" si="78">AU82/AT82-1</f>
        <v>0.54507991968529135</v>
      </c>
      <c r="AW82" s="39">
        <v>111235</v>
      </c>
      <c r="AX82" s="39">
        <v>61741</v>
      </c>
      <c r="AY82" s="92">
        <f t="shared" ref="AY82:AY107" si="79">AX82/AW82-1</f>
        <v>-0.44494988088281562</v>
      </c>
      <c r="AZ82" s="39">
        <f t="shared" ref="AZ82:BA107" si="80">AW82+AT82</f>
        <v>807396.4</v>
      </c>
      <c r="BA82" s="39">
        <f t="shared" si="80"/>
        <v>1137366</v>
      </c>
      <c r="BB82" s="92">
        <f t="shared" ref="BB82:BB107" si="81">BA82/AZ82-1</f>
        <v>0.40868351654775759</v>
      </c>
      <c r="BC82" s="38">
        <v>85147</v>
      </c>
      <c r="BD82" s="38">
        <f>88360+20000</f>
        <v>108360</v>
      </c>
      <c r="BE82" s="92">
        <f t="shared" ref="BE82:BE110" si="82">BD82/BC82-1</f>
        <v>0.27262264084465682</v>
      </c>
      <c r="BF82" s="38">
        <f t="shared" ref="BF82:BG109" si="83">BC82+AZ82</f>
        <v>892543.4</v>
      </c>
      <c r="BG82" s="38">
        <f t="shared" si="83"/>
        <v>1245726</v>
      </c>
      <c r="BH82" s="92">
        <f t="shared" ref="BH82:BH110" si="84">BG82/BF82-1</f>
        <v>0.39570355906502686</v>
      </c>
      <c r="BI82" s="28">
        <v>232045</v>
      </c>
      <c r="BJ82" s="28">
        <v>330393</v>
      </c>
      <c r="BK82" s="28">
        <v>298629</v>
      </c>
      <c r="BL82" s="28">
        <v>1753610.4</v>
      </c>
      <c r="BM82" s="29">
        <f t="shared" ref="BM82:BM110" si="85">BG82/10000/I82</f>
        <v>0.62286299999999994</v>
      </c>
      <c r="BN82" s="42"/>
      <c r="BO82" s="40">
        <f>20500+20000+20000</f>
        <v>60500</v>
      </c>
    </row>
    <row r="83" spans="1:67">
      <c r="A83" s="22" t="s">
        <v>164</v>
      </c>
      <c r="B83" s="78" t="s">
        <v>164</v>
      </c>
      <c r="C83" s="116" t="s">
        <v>173</v>
      </c>
      <c r="D83" s="114" t="s">
        <v>79</v>
      </c>
      <c r="E83" s="114" t="s">
        <v>79</v>
      </c>
      <c r="F83" s="33" t="s">
        <v>174</v>
      </c>
      <c r="G83" s="33" t="s">
        <v>80</v>
      </c>
      <c r="H83" s="39" t="s">
        <v>175</v>
      </c>
      <c r="I83" s="39"/>
      <c r="J83" s="22">
        <v>97567.31</v>
      </c>
      <c r="K83" s="22">
        <v>170180.19</v>
      </c>
      <c r="L83" s="92">
        <f t="shared" si="65"/>
        <v>0.74423369876652345</v>
      </c>
      <c r="M83" s="105"/>
      <c r="N83" s="105">
        <v>33500.800000000003</v>
      </c>
      <c r="O83" s="92" t="e">
        <f t="shared" si="60"/>
        <v>#DIV/0!</v>
      </c>
      <c r="P83" s="105">
        <f t="shared" si="66"/>
        <v>97567.31</v>
      </c>
      <c r="Q83" s="105">
        <f t="shared" si="66"/>
        <v>203680.99</v>
      </c>
      <c r="R83" s="92">
        <f t="shared" si="61"/>
        <v>1.0875946052012706</v>
      </c>
      <c r="S83" s="39"/>
      <c r="T83" s="39">
        <v>337846.67</v>
      </c>
      <c r="U83" s="92" t="e">
        <f t="shared" si="62"/>
        <v>#DIV/0!</v>
      </c>
      <c r="V83" s="38">
        <f t="shared" si="67"/>
        <v>97567.31</v>
      </c>
      <c r="W83" s="38">
        <f t="shared" si="67"/>
        <v>541527.65999999992</v>
      </c>
      <c r="X83" s="92">
        <f t="shared" si="68"/>
        <v>4.5502981480169939</v>
      </c>
      <c r="Y83" s="39">
        <v>240583.45</v>
      </c>
      <c r="Z83" s="39">
        <f>204513.1+40000</f>
        <v>244513.1</v>
      </c>
      <c r="AA83" s="92">
        <f t="shared" si="63"/>
        <v>1.6333833437004897E-2</v>
      </c>
      <c r="AB83" s="39">
        <f t="shared" si="69"/>
        <v>338150.76</v>
      </c>
      <c r="AC83" s="39">
        <f t="shared" si="69"/>
        <v>786040.75999999989</v>
      </c>
      <c r="AD83" s="92">
        <f t="shared" si="70"/>
        <v>1.3245275568802501</v>
      </c>
      <c r="AE83" s="39">
        <v>100835.81</v>
      </c>
      <c r="AF83" s="39">
        <f>177019.03+16000</f>
        <v>193019.03</v>
      </c>
      <c r="AG83" s="92">
        <f t="shared" si="71"/>
        <v>0.91419129771457186</v>
      </c>
      <c r="AH83" s="39">
        <f t="shared" si="72"/>
        <v>438986.57</v>
      </c>
      <c r="AI83" s="39">
        <f t="shared" si="72"/>
        <v>979059.78999999992</v>
      </c>
      <c r="AJ83" s="92">
        <f t="shared" si="73"/>
        <v>1.2302727621029499</v>
      </c>
      <c r="AK83" s="38">
        <v>64337.91</v>
      </c>
      <c r="AL83" s="38">
        <v>241756.98</v>
      </c>
      <c r="AM83" s="92">
        <f t="shared" si="74"/>
        <v>2.7576132019209205</v>
      </c>
      <c r="AN83" s="38">
        <f t="shared" si="75"/>
        <v>503324.48</v>
      </c>
      <c r="AO83" s="38">
        <f t="shared" si="75"/>
        <v>1220816.77</v>
      </c>
      <c r="AP83" s="92">
        <f t="shared" si="76"/>
        <v>1.4255064446696495</v>
      </c>
      <c r="AQ83" s="39">
        <v>130913.08</v>
      </c>
      <c r="AR83" s="39">
        <v>124862.42</v>
      </c>
      <c r="AS83" s="92">
        <f t="shared" si="64"/>
        <v>-4.6218911051515987E-2</v>
      </c>
      <c r="AT83" s="39">
        <f t="shared" si="77"/>
        <v>634237.55999999994</v>
      </c>
      <c r="AU83" s="39">
        <f t="shared" si="77"/>
        <v>1345679.19</v>
      </c>
      <c r="AV83" s="92">
        <f t="shared" si="78"/>
        <v>1.1217273697886956</v>
      </c>
      <c r="AW83" s="39">
        <v>41058.21</v>
      </c>
      <c r="AX83" s="39"/>
      <c r="AY83" s="92">
        <f t="shared" si="79"/>
        <v>-1</v>
      </c>
      <c r="AZ83" s="39">
        <f t="shared" si="80"/>
        <v>675295.7699999999</v>
      </c>
      <c r="BA83" s="39">
        <f t="shared" si="80"/>
        <v>1345679.19</v>
      </c>
      <c r="BB83" s="92">
        <f t="shared" si="81"/>
        <v>0.99272563191088858</v>
      </c>
      <c r="BC83" s="38">
        <v>115479.03999999999</v>
      </c>
      <c r="BD83" s="38">
        <v>10000</v>
      </c>
      <c r="BE83" s="92">
        <f t="shared" si="82"/>
        <v>-0.91340419871865919</v>
      </c>
      <c r="BF83" s="38">
        <f t="shared" si="83"/>
        <v>790774.80999999994</v>
      </c>
      <c r="BG83" s="38">
        <f t="shared" si="83"/>
        <v>1355679.19</v>
      </c>
      <c r="BH83" s="92">
        <f t="shared" si="84"/>
        <v>0.71436820300333048</v>
      </c>
      <c r="BI83" s="28">
        <v>171817.37</v>
      </c>
      <c r="BJ83" s="28">
        <v>249700.3</v>
      </c>
      <c r="BK83" s="28">
        <v>153495.25</v>
      </c>
      <c r="BL83" s="28">
        <v>1365787.73</v>
      </c>
      <c r="BM83" s="29" t="e">
        <f t="shared" si="85"/>
        <v>#DIV/0!</v>
      </c>
      <c r="BN83" s="42">
        <v>46300</v>
      </c>
      <c r="BO83" s="40">
        <f>40000+16000+10000</f>
        <v>66000</v>
      </c>
    </row>
    <row r="84" spans="1:67">
      <c r="A84" s="22" t="s">
        <v>164</v>
      </c>
      <c r="B84" s="78" t="s">
        <v>164</v>
      </c>
      <c r="C84" s="33" t="s">
        <v>176</v>
      </c>
      <c r="D84" s="114" t="s">
        <v>84</v>
      </c>
      <c r="E84" s="114" t="s">
        <v>84</v>
      </c>
      <c r="F84" s="33" t="s">
        <v>174</v>
      </c>
      <c r="G84" s="33" t="s">
        <v>177</v>
      </c>
      <c r="H84" s="39" t="s">
        <v>178</v>
      </c>
      <c r="I84" s="39"/>
      <c r="J84" s="22">
        <v>17958</v>
      </c>
      <c r="K84" s="22"/>
      <c r="L84" s="92">
        <f t="shared" si="65"/>
        <v>-1</v>
      </c>
      <c r="M84" s="105">
        <v>3966</v>
      </c>
      <c r="N84" s="105"/>
      <c r="O84" s="92">
        <f t="shared" si="60"/>
        <v>-1</v>
      </c>
      <c r="P84" s="105">
        <f t="shared" si="66"/>
        <v>21924</v>
      </c>
      <c r="Q84" s="105">
        <f t="shared" si="66"/>
        <v>0</v>
      </c>
      <c r="R84" s="92">
        <f t="shared" si="61"/>
        <v>-1</v>
      </c>
      <c r="S84" s="39">
        <v>6800</v>
      </c>
      <c r="T84" s="39"/>
      <c r="U84" s="92">
        <f t="shared" si="62"/>
        <v>-1</v>
      </c>
      <c r="V84" s="38">
        <f t="shared" si="67"/>
        <v>28724</v>
      </c>
      <c r="W84" s="38">
        <f t="shared" si="67"/>
        <v>0</v>
      </c>
      <c r="X84" s="92">
        <f t="shared" si="68"/>
        <v>-1</v>
      </c>
      <c r="Y84" s="39"/>
      <c r="Z84" s="39"/>
      <c r="AA84" s="92" t="e">
        <f t="shared" si="63"/>
        <v>#DIV/0!</v>
      </c>
      <c r="AB84" s="39">
        <f t="shared" si="69"/>
        <v>28724</v>
      </c>
      <c r="AC84" s="39">
        <f t="shared" si="69"/>
        <v>0</v>
      </c>
      <c r="AD84" s="92">
        <f t="shared" si="70"/>
        <v>-1</v>
      </c>
      <c r="AE84" s="39"/>
      <c r="AF84" s="39"/>
      <c r="AG84" s="92" t="e">
        <f t="shared" si="71"/>
        <v>#DIV/0!</v>
      </c>
      <c r="AH84" s="39">
        <f t="shared" si="72"/>
        <v>28724</v>
      </c>
      <c r="AI84" s="39">
        <f t="shared" si="72"/>
        <v>0</v>
      </c>
      <c r="AJ84" s="92">
        <f t="shared" si="73"/>
        <v>-1</v>
      </c>
      <c r="AK84" s="38"/>
      <c r="AL84" s="38"/>
      <c r="AM84" s="92" t="e">
        <f t="shared" si="74"/>
        <v>#DIV/0!</v>
      </c>
      <c r="AN84" s="38">
        <f t="shared" si="75"/>
        <v>28724</v>
      </c>
      <c r="AO84" s="38">
        <f t="shared" si="75"/>
        <v>0</v>
      </c>
      <c r="AP84" s="92">
        <f t="shared" si="76"/>
        <v>-1</v>
      </c>
      <c r="AQ84" s="39"/>
      <c r="AR84" s="39"/>
      <c r="AS84" s="92" t="e">
        <f t="shared" si="64"/>
        <v>#DIV/0!</v>
      </c>
      <c r="AT84" s="39">
        <f t="shared" si="77"/>
        <v>28724</v>
      </c>
      <c r="AU84" s="39">
        <f t="shared" si="77"/>
        <v>0</v>
      </c>
      <c r="AV84" s="92">
        <f t="shared" si="78"/>
        <v>-1</v>
      </c>
      <c r="AW84" s="39"/>
      <c r="AX84" s="39"/>
      <c r="AY84" s="92" t="e">
        <f t="shared" si="79"/>
        <v>#DIV/0!</v>
      </c>
      <c r="AZ84" s="39">
        <f t="shared" si="80"/>
        <v>28724</v>
      </c>
      <c r="BA84" s="39">
        <f t="shared" si="80"/>
        <v>0</v>
      </c>
      <c r="BB84" s="92">
        <f t="shared" si="81"/>
        <v>-1</v>
      </c>
      <c r="BC84" s="38"/>
      <c r="BD84" s="38"/>
      <c r="BE84" s="92" t="e">
        <f t="shared" si="82"/>
        <v>#DIV/0!</v>
      </c>
      <c r="BF84" s="38">
        <f t="shared" si="83"/>
        <v>28724</v>
      </c>
      <c r="BG84" s="38">
        <f t="shared" si="83"/>
        <v>0</v>
      </c>
      <c r="BH84" s="92">
        <f t="shared" si="84"/>
        <v>-1</v>
      </c>
      <c r="BI84" s="28"/>
      <c r="BJ84" s="28"/>
      <c r="BK84" s="28"/>
      <c r="BL84" s="28">
        <v>28724</v>
      </c>
      <c r="BM84" s="29" t="e">
        <f t="shared" si="85"/>
        <v>#DIV/0!</v>
      </c>
      <c r="BN84" s="40"/>
      <c r="BO84" s="40"/>
    </row>
    <row r="85" spans="1:67" ht="15">
      <c r="A85" s="22" t="s">
        <v>164</v>
      </c>
      <c r="B85" s="78" t="s">
        <v>168</v>
      </c>
      <c r="C85" s="33" t="s">
        <v>179</v>
      </c>
      <c r="D85" s="114" t="s">
        <v>65</v>
      </c>
      <c r="E85" s="114" t="s">
        <v>65</v>
      </c>
      <c r="F85" s="33" t="s">
        <v>170</v>
      </c>
      <c r="G85" s="33" t="s">
        <v>180</v>
      </c>
      <c r="H85" s="39" t="s">
        <v>172</v>
      </c>
      <c r="I85" s="117">
        <v>80</v>
      </c>
      <c r="J85" s="22">
        <v>25400</v>
      </c>
      <c r="K85" s="22">
        <f>3850+26880</f>
        <v>30730</v>
      </c>
      <c r="L85" s="92">
        <f t="shared" si="65"/>
        <v>0.20984251968503931</v>
      </c>
      <c r="M85" s="105">
        <v>10400</v>
      </c>
      <c r="N85" s="105"/>
      <c r="O85" s="92">
        <f t="shared" si="60"/>
        <v>-1</v>
      </c>
      <c r="P85" s="105">
        <f t="shared" si="66"/>
        <v>35800</v>
      </c>
      <c r="Q85" s="105">
        <f t="shared" si="66"/>
        <v>30730</v>
      </c>
      <c r="R85" s="92">
        <f t="shared" si="61"/>
        <v>-0.14162011173184352</v>
      </c>
      <c r="S85" s="39">
        <v>30900</v>
      </c>
      <c r="T85" s="39">
        <f>11396+20456</f>
        <v>31852</v>
      </c>
      <c r="U85" s="92">
        <f t="shared" si="62"/>
        <v>3.0809061488673128E-2</v>
      </c>
      <c r="V85" s="38">
        <f t="shared" si="67"/>
        <v>66700</v>
      </c>
      <c r="W85" s="38">
        <f t="shared" si="67"/>
        <v>62582</v>
      </c>
      <c r="X85" s="92">
        <f t="shared" si="68"/>
        <v>-6.173913043478263E-2</v>
      </c>
      <c r="Y85" s="39">
        <v>32900</v>
      </c>
      <c r="Z85" s="39">
        <v>39671</v>
      </c>
      <c r="AA85" s="92">
        <f t="shared" si="63"/>
        <v>0.20580547112462</v>
      </c>
      <c r="AB85" s="39">
        <f t="shared" si="69"/>
        <v>99600</v>
      </c>
      <c r="AC85" s="39">
        <f t="shared" si="69"/>
        <v>102253</v>
      </c>
      <c r="AD85" s="92">
        <f t="shared" si="70"/>
        <v>2.6636546184738874E-2</v>
      </c>
      <c r="AE85" s="39">
        <v>65953</v>
      </c>
      <c r="AF85" s="39">
        <f>3394+45002</f>
        <v>48396</v>
      </c>
      <c r="AG85" s="92">
        <f t="shared" si="71"/>
        <v>-0.26620472154412989</v>
      </c>
      <c r="AH85" s="39">
        <f t="shared" si="72"/>
        <v>165553</v>
      </c>
      <c r="AI85" s="39">
        <f t="shared" si="72"/>
        <v>150649</v>
      </c>
      <c r="AJ85" s="92">
        <f t="shared" si="73"/>
        <v>-9.0025550729977755E-2</v>
      </c>
      <c r="AK85" s="38">
        <v>14600</v>
      </c>
      <c r="AL85" s="38">
        <v>79258</v>
      </c>
      <c r="AM85" s="92">
        <f t="shared" si="74"/>
        <v>4.4286301369863015</v>
      </c>
      <c r="AN85" s="38">
        <f t="shared" si="75"/>
        <v>180153</v>
      </c>
      <c r="AO85" s="38">
        <f t="shared" si="75"/>
        <v>229907</v>
      </c>
      <c r="AP85" s="92">
        <f t="shared" si="76"/>
        <v>0.27617636120408773</v>
      </c>
      <c r="AQ85" s="39">
        <v>20800</v>
      </c>
      <c r="AR85" s="39"/>
      <c r="AS85" s="92">
        <f t="shared" si="64"/>
        <v>-1</v>
      </c>
      <c r="AT85" s="39">
        <f t="shared" si="77"/>
        <v>200953</v>
      </c>
      <c r="AU85" s="39">
        <f t="shared" si="77"/>
        <v>229907</v>
      </c>
      <c r="AV85" s="92">
        <f t="shared" si="78"/>
        <v>0.14408344239697835</v>
      </c>
      <c r="AW85" s="39">
        <v>49150</v>
      </c>
      <c r="AX85" s="39">
        <v>11352</v>
      </c>
      <c r="AY85" s="92">
        <f t="shared" si="79"/>
        <v>-0.7690335707019329</v>
      </c>
      <c r="AZ85" s="39">
        <f t="shared" si="80"/>
        <v>250103</v>
      </c>
      <c r="BA85" s="39">
        <f t="shared" si="80"/>
        <v>241259</v>
      </c>
      <c r="BB85" s="92">
        <f t="shared" si="81"/>
        <v>-3.5361431090390805E-2</v>
      </c>
      <c r="BC85" s="38">
        <v>24900</v>
      </c>
      <c r="BD85" s="38">
        <f>3080+12188</f>
        <v>15268</v>
      </c>
      <c r="BE85" s="92">
        <f t="shared" si="82"/>
        <v>-0.38682730923694775</v>
      </c>
      <c r="BF85" s="38">
        <f t="shared" si="83"/>
        <v>275003</v>
      </c>
      <c r="BG85" s="38">
        <f t="shared" si="83"/>
        <v>256527</v>
      </c>
      <c r="BH85" s="92">
        <f t="shared" si="84"/>
        <v>-6.718472162121869E-2</v>
      </c>
      <c r="BI85" s="28">
        <v>29262</v>
      </c>
      <c r="BJ85" s="28">
        <v>23000</v>
      </c>
      <c r="BK85" s="28">
        <v>27417</v>
      </c>
      <c r="BL85" s="28">
        <v>354682</v>
      </c>
      <c r="BM85" s="29">
        <f t="shared" si="85"/>
        <v>0.32065874999999999</v>
      </c>
      <c r="BN85" s="40">
        <v>37953</v>
      </c>
      <c r="BO85" s="40"/>
    </row>
    <row r="86" spans="1:67">
      <c r="A86" s="22" t="s">
        <v>164</v>
      </c>
      <c r="B86" s="78" t="s">
        <v>164</v>
      </c>
      <c r="C86" s="33" t="s">
        <v>181</v>
      </c>
      <c r="D86" s="114" t="s">
        <v>61</v>
      </c>
      <c r="E86" s="114" t="s">
        <v>61</v>
      </c>
      <c r="F86" s="33" t="s">
        <v>182</v>
      </c>
      <c r="G86" s="33" t="s">
        <v>182</v>
      </c>
      <c r="H86" s="39" t="s">
        <v>167</v>
      </c>
      <c r="I86" s="39">
        <v>20</v>
      </c>
      <c r="J86" s="22">
        <v>25000</v>
      </c>
      <c r="K86" s="22">
        <v>4298</v>
      </c>
      <c r="L86" s="92">
        <f t="shared" si="65"/>
        <v>-0.82808000000000004</v>
      </c>
      <c r="M86" s="105"/>
      <c r="N86" s="105">
        <v>5186</v>
      </c>
      <c r="O86" s="92" t="e">
        <f t="shared" si="60"/>
        <v>#DIV/0!</v>
      </c>
      <c r="P86" s="105">
        <f t="shared" si="66"/>
        <v>25000</v>
      </c>
      <c r="Q86" s="105">
        <f t="shared" si="66"/>
        <v>9484</v>
      </c>
      <c r="R86" s="92">
        <f t="shared" si="61"/>
        <v>-0.62064000000000008</v>
      </c>
      <c r="S86" s="39"/>
      <c r="T86" s="39"/>
      <c r="U86" s="92" t="e">
        <f t="shared" si="62"/>
        <v>#DIV/0!</v>
      </c>
      <c r="V86" s="38">
        <f t="shared" si="67"/>
        <v>25000</v>
      </c>
      <c r="W86" s="38">
        <f t="shared" si="67"/>
        <v>9484</v>
      </c>
      <c r="X86" s="92">
        <f t="shared" si="68"/>
        <v>-0.62064000000000008</v>
      </c>
      <c r="Y86" s="39">
        <v>800</v>
      </c>
      <c r="Z86" s="39">
        <v>2766</v>
      </c>
      <c r="AA86" s="92">
        <f t="shared" si="63"/>
        <v>2.4575</v>
      </c>
      <c r="AB86" s="39">
        <f t="shared" si="69"/>
        <v>25800</v>
      </c>
      <c r="AC86" s="39">
        <f t="shared" si="69"/>
        <v>12250</v>
      </c>
      <c r="AD86" s="92">
        <f t="shared" si="70"/>
        <v>-0.52519379844961245</v>
      </c>
      <c r="AE86" s="39">
        <v>18078</v>
      </c>
      <c r="AF86" s="39"/>
      <c r="AG86" s="92">
        <f t="shared" si="71"/>
        <v>-1</v>
      </c>
      <c r="AH86" s="39">
        <f t="shared" si="72"/>
        <v>43878</v>
      </c>
      <c r="AI86" s="39">
        <f t="shared" si="72"/>
        <v>12250</v>
      </c>
      <c r="AJ86" s="92">
        <f t="shared" si="73"/>
        <v>-0.72081681024659283</v>
      </c>
      <c r="AK86" s="38"/>
      <c r="AL86" s="38"/>
      <c r="AM86" s="92" t="e">
        <f t="shared" si="74"/>
        <v>#DIV/0!</v>
      </c>
      <c r="AN86" s="38">
        <f t="shared" si="75"/>
        <v>43878</v>
      </c>
      <c r="AO86" s="38">
        <f t="shared" si="75"/>
        <v>12250</v>
      </c>
      <c r="AP86" s="92">
        <f t="shared" si="76"/>
        <v>-0.72081681024659283</v>
      </c>
      <c r="AQ86" s="39"/>
      <c r="AR86" s="39"/>
      <c r="AS86" s="92" t="e">
        <f t="shared" si="64"/>
        <v>#DIV/0!</v>
      </c>
      <c r="AT86" s="39">
        <f t="shared" si="77"/>
        <v>43878</v>
      </c>
      <c r="AU86" s="39">
        <f t="shared" si="77"/>
        <v>12250</v>
      </c>
      <c r="AV86" s="92">
        <f t="shared" si="78"/>
        <v>-0.72081681024659283</v>
      </c>
      <c r="AW86" s="39"/>
      <c r="AX86" s="39"/>
      <c r="AY86" s="92" t="e">
        <f t="shared" si="79"/>
        <v>#DIV/0!</v>
      </c>
      <c r="AZ86" s="39">
        <f t="shared" si="80"/>
        <v>43878</v>
      </c>
      <c r="BA86" s="39">
        <f t="shared" si="80"/>
        <v>12250</v>
      </c>
      <c r="BB86" s="92">
        <f t="shared" si="81"/>
        <v>-0.72081681024659283</v>
      </c>
      <c r="BC86" s="38"/>
      <c r="BD86" s="38"/>
      <c r="BE86" s="92" t="e">
        <f t="shared" si="82"/>
        <v>#DIV/0!</v>
      </c>
      <c r="BF86" s="38">
        <f t="shared" si="83"/>
        <v>43878</v>
      </c>
      <c r="BG86" s="38">
        <f t="shared" si="83"/>
        <v>12250</v>
      </c>
      <c r="BH86" s="92">
        <f t="shared" si="84"/>
        <v>-0.72081681024659283</v>
      </c>
      <c r="BI86" s="28">
        <v>29878</v>
      </c>
      <c r="BJ86" s="28"/>
      <c r="BK86" s="28">
        <v>5508</v>
      </c>
      <c r="BL86" s="28">
        <v>79264</v>
      </c>
      <c r="BM86" s="29">
        <f t="shared" si="85"/>
        <v>6.1250000000000006E-2</v>
      </c>
      <c r="BN86" s="40"/>
      <c r="BO86" s="40"/>
    </row>
    <row r="87" spans="1:67">
      <c r="A87" s="22" t="s">
        <v>164</v>
      </c>
      <c r="B87" s="78" t="s">
        <v>164</v>
      </c>
      <c r="C87" s="33" t="s">
        <v>183</v>
      </c>
      <c r="D87" s="114" t="s">
        <v>65</v>
      </c>
      <c r="E87" s="114" t="s">
        <v>65</v>
      </c>
      <c r="F87" s="33" t="s">
        <v>184</v>
      </c>
      <c r="G87" s="33" t="s">
        <v>184</v>
      </c>
      <c r="H87" s="39" t="s">
        <v>175</v>
      </c>
      <c r="I87" s="39"/>
      <c r="J87" s="22">
        <v>149023</v>
      </c>
      <c r="K87" s="22"/>
      <c r="L87" s="92">
        <f t="shared" si="65"/>
        <v>-1</v>
      </c>
      <c r="M87" s="105">
        <v>3015</v>
      </c>
      <c r="N87" s="105"/>
      <c r="O87" s="92">
        <f t="shared" si="60"/>
        <v>-1</v>
      </c>
      <c r="P87" s="105">
        <f t="shared" si="66"/>
        <v>152038</v>
      </c>
      <c r="Q87" s="105">
        <f t="shared" si="66"/>
        <v>0</v>
      </c>
      <c r="R87" s="92">
        <f t="shared" si="61"/>
        <v>-1</v>
      </c>
      <c r="S87" s="39">
        <v>19327</v>
      </c>
      <c r="T87" s="39"/>
      <c r="U87" s="92">
        <f t="shared" si="62"/>
        <v>-1</v>
      </c>
      <c r="V87" s="38">
        <f t="shared" si="67"/>
        <v>171365</v>
      </c>
      <c r="W87" s="38">
        <f t="shared" si="67"/>
        <v>0</v>
      </c>
      <c r="X87" s="92">
        <f t="shared" si="68"/>
        <v>-1</v>
      </c>
      <c r="Y87" s="39">
        <v>13493</v>
      </c>
      <c r="Z87" s="39"/>
      <c r="AA87" s="92">
        <f t="shared" si="63"/>
        <v>-1</v>
      </c>
      <c r="AB87" s="39">
        <f t="shared" si="69"/>
        <v>184858</v>
      </c>
      <c r="AC87" s="39">
        <f t="shared" si="69"/>
        <v>0</v>
      </c>
      <c r="AD87" s="92">
        <f t="shared" si="70"/>
        <v>-1</v>
      </c>
      <c r="AE87" s="39">
        <v>36809</v>
      </c>
      <c r="AF87" s="39"/>
      <c r="AG87" s="92">
        <f t="shared" si="71"/>
        <v>-1</v>
      </c>
      <c r="AH87" s="39">
        <f t="shared" si="72"/>
        <v>221667</v>
      </c>
      <c r="AI87" s="39">
        <f t="shared" si="72"/>
        <v>0</v>
      </c>
      <c r="AJ87" s="92">
        <f t="shared" si="73"/>
        <v>-1</v>
      </c>
      <c r="AK87" s="38">
        <v>34615</v>
      </c>
      <c r="AL87" s="38"/>
      <c r="AM87" s="92">
        <f t="shared" si="74"/>
        <v>-1</v>
      </c>
      <c r="AN87" s="38">
        <f t="shared" si="75"/>
        <v>256282</v>
      </c>
      <c r="AO87" s="38">
        <f t="shared" si="75"/>
        <v>0</v>
      </c>
      <c r="AP87" s="92">
        <f t="shared" si="76"/>
        <v>-1</v>
      </c>
      <c r="AQ87" s="39">
        <v>58454</v>
      </c>
      <c r="AR87" s="39"/>
      <c r="AS87" s="92">
        <f t="shared" si="64"/>
        <v>-1</v>
      </c>
      <c r="AT87" s="39">
        <f t="shared" si="77"/>
        <v>314736</v>
      </c>
      <c r="AU87" s="39">
        <f t="shared" si="77"/>
        <v>0</v>
      </c>
      <c r="AV87" s="92">
        <f t="shared" si="78"/>
        <v>-1</v>
      </c>
      <c r="AW87" s="39">
        <v>36959</v>
      </c>
      <c r="AX87" s="39"/>
      <c r="AY87" s="92">
        <f t="shared" si="79"/>
        <v>-1</v>
      </c>
      <c r="AZ87" s="39">
        <f t="shared" si="80"/>
        <v>351695</v>
      </c>
      <c r="BA87" s="39">
        <f t="shared" si="80"/>
        <v>0</v>
      </c>
      <c r="BB87" s="92">
        <f t="shared" si="81"/>
        <v>-1</v>
      </c>
      <c r="BC87" s="38">
        <v>1147</v>
      </c>
      <c r="BD87" s="38"/>
      <c r="BE87" s="92">
        <f t="shared" si="82"/>
        <v>-1</v>
      </c>
      <c r="BF87" s="38">
        <f t="shared" si="83"/>
        <v>352842</v>
      </c>
      <c r="BG87" s="38">
        <f t="shared" si="83"/>
        <v>0</v>
      </c>
      <c r="BH87" s="92">
        <f t="shared" si="84"/>
        <v>-1</v>
      </c>
      <c r="BI87" s="28"/>
      <c r="BJ87" s="28"/>
      <c r="BK87" s="28"/>
      <c r="BL87" s="28">
        <v>352842</v>
      </c>
      <c r="BM87" s="29" t="e">
        <f t="shared" si="85"/>
        <v>#DIV/0!</v>
      </c>
      <c r="BN87" s="40">
        <v>29947</v>
      </c>
      <c r="BO87" s="40"/>
    </row>
    <row r="88" spans="1:67">
      <c r="A88" s="22" t="s">
        <v>164</v>
      </c>
      <c r="B88" s="78" t="s">
        <v>164</v>
      </c>
      <c r="C88" s="33" t="s">
        <v>185</v>
      </c>
      <c r="D88" s="114" t="s">
        <v>84</v>
      </c>
      <c r="E88" s="114" t="s">
        <v>84</v>
      </c>
      <c r="F88" s="33" t="s">
        <v>174</v>
      </c>
      <c r="G88" s="33" t="s">
        <v>177</v>
      </c>
      <c r="H88" s="39" t="s">
        <v>178</v>
      </c>
      <c r="I88" s="39">
        <v>200</v>
      </c>
      <c r="J88" s="22">
        <v>84544</v>
      </c>
      <c r="K88" s="22">
        <f>297537-26880</f>
        <v>270657</v>
      </c>
      <c r="L88" s="92">
        <f t="shared" si="65"/>
        <v>2.2013744322482967</v>
      </c>
      <c r="M88" s="105">
        <v>15592</v>
      </c>
      <c r="N88" s="105">
        <v>114255</v>
      </c>
      <c r="O88" s="92">
        <f t="shared" si="60"/>
        <v>6.327796305797845</v>
      </c>
      <c r="P88" s="105">
        <f t="shared" si="66"/>
        <v>100136</v>
      </c>
      <c r="Q88" s="105">
        <f t="shared" si="66"/>
        <v>384912</v>
      </c>
      <c r="R88" s="92">
        <f t="shared" si="61"/>
        <v>2.8438923064632102</v>
      </c>
      <c r="S88" s="39">
        <v>40421</v>
      </c>
      <c r="T88" s="39">
        <f>257334+15078</f>
        <v>272412</v>
      </c>
      <c r="U88" s="92">
        <f t="shared" si="62"/>
        <v>5.7393681502189455</v>
      </c>
      <c r="V88" s="38">
        <f t="shared" si="67"/>
        <v>140557</v>
      </c>
      <c r="W88" s="38">
        <f t="shared" si="67"/>
        <v>657324</v>
      </c>
      <c r="X88" s="92">
        <f t="shared" si="68"/>
        <v>3.6765653791700164</v>
      </c>
      <c r="Y88" s="39">
        <v>95170</v>
      </c>
      <c r="Z88" s="39">
        <v>144687</v>
      </c>
      <c r="AA88" s="92">
        <f t="shared" si="63"/>
        <v>0.52030051486813078</v>
      </c>
      <c r="AB88" s="39">
        <f t="shared" si="69"/>
        <v>235727</v>
      </c>
      <c r="AC88" s="39">
        <f t="shared" si="69"/>
        <v>802011</v>
      </c>
      <c r="AD88" s="92">
        <f t="shared" si="70"/>
        <v>2.4022873917709893</v>
      </c>
      <c r="AE88" s="39">
        <v>66978</v>
      </c>
      <c r="AF88" s="39">
        <v>201219</v>
      </c>
      <c r="AG88" s="92">
        <f t="shared" si="71"/>
        <v>2.0042551285496732</v>
      </c>
      <c r="AH88" s="39">
        <f t="shared" si="72"/>
        <v>302705</v>
      </c>
      <c r="AI88" s="39">
        <f t="shared" si="72"/>
        <v>1003230</v>
      </c>
      <c r="AJ88" s="92">
        <f t="shared" si="73"/>
        <v>2.3142168117474107</v>
      </c>
      <c r="AK88" s="38">
        <v>187833</v>
      </c>
      <c r="AL88" s="38">
        <v>310376</v>
      </c>
      <c r="AM88" s="92">
        <f t="shared" si="74"/>
        <v>0.65240399716769693</v>
      </c>
      <c r="AN88" s="38">
        <f t="shared" si="75"/>
        <v>490538</v>
      </c>
      <c r="AO88" s="38">
        <f t="shared" si="75"/>
        <v>1313606</v>
      </c>
      <c r="AP88" s="92">
        <f t="shared" si="76"/>
        <v>1.6778883593116132</v>
      </c>
      <c r="AQ88" s="39">
        <v>88914</v>
      </c>
      <c r="AR88" s="39">
        <v>82249</v>
      </c>
      <c r="AS88" s="92">
        <f t="shared" si="64"/>
        <v>-7.4960073779157366E-2</v>
      </c>
      <c r="AT88" s="39">
        <f t="shared" si="77"/>
        <v>579452</v>
      </c>
      <c r="AU88" s="39">
        <f t="shared" si="77"/>
        <v>1395855</v>
      </c>
      <c r="AV88" s="92">
        <f t="shared" si="78"/>
        <v>1.4089225682196282</v>
      </c>
      <c r="AW88" s="39">
        <v>50005.4</v>
      </c>
      <c r="AX88" s="39">
        <v>82118</v>
      </c>
      <c r="AY88" s="92">
        <f t="shared" si="79"/>
        <v>0.64218264427441829</v>
      </c>
      <c r="AZ88" s="39">
        <f t="shared" si="80"/>
        <v>629457.4</v>
      </c>
      <c r="BA88" s="39">
        <f t="shared" si="80"/>
        <v>1477973</v>
      </c>
      <c r="BB88" s="92">
        <f t="shared" si="81"/>
        <v>1.3480111600880376</v>
      </c>
      <c r="BC88" s="38">
        <v>169503</v>
      </c>
      <c r="BD88" s="38">
        <v>94853</v>
      </c>
      <c r="BE88" s="92">
        <f t="shared" si="82"/>
        <v>-0.44040518456900468</v>
      </c>
      <c r="BF88" s="38">
        <f t="shared" si="83"/>
        <v>798960.4</v>
      </c>
      <c r="BG88" s="38">
        <f t="shared" si="83"/>
        <v>1572826</v>
      </c>
      <c r="BH88" s="92">
        <f t="shared" si="84"/>
        <v>0.96859068359332956</v>
      </c>
      <c r="BI88" s="28">
        <v>351448</v>
      </c>
      <c r="BJ88" s="28">
        <v>164797</v>
      </c>
      <c r="BK88" s="28">
        <v>369216</v>
      </c>
      <c r="BL88" s="28">
        <v>1684421.4</v>
      </c>
      <c r="BM88" s="29">
        <f t="shared" si="85"/>
        <v>0.78641300000000003</v>
      </c>
      <c r="BN88" s="40"/>
      <c r="BO88" s="40"/>
    </row>
    <row r="89" spans="1:67" ht="15">
      <c r="A89" s="22" t="s">
        <v>164</v>
      </c>
      <c r="B89" s="78" t="s">
        <v>164</v>
      </c>
      <c r="C89" s="33" t="s">
        <v>186</v>
      </c>
      <c r="D89" s="114" t="s">
        <v>61</v>
      </c>
      <c r="E89" s="114" t="s">
        <v>61</v>
      </c>
      <c r="F89" s="33" t="s">
        <v>184</v>
      </c>
      <c r="G89" s="33" t="s">
        <v>184</v>
      </c>
      <c r="H89" s="39" t="s">
        <v>175</v>
      </c>
      <c r="I89" s="117">
        <v>30</v>
      </c>
      <c r="J89" s="22">
        <v>30425</v>
      </c>
      <c r="K89" s="22">
        <v>21359</v>
      </c>
      <c r="L89" s="92">
        <f t="shared" si="65"/>
        <v>-0.29797863599013974</v>
      </c>
      <c r="M89" s="105">
        <v>10451</v>
      </c>
      <c r="N89" s="105">
        <f>1528+7277</f>
        <v>8805</v>
      </c>
      <c r="O89" s="92">
        <f t="shared" si="60"/>
        <v>-0.1574968902497369</v>
      </c>
      <c r="P89" s="105">
        <f t="shared" si="66"/>
        <v>40876</v>
      </c>
      <c r="Q89" s="105">
        <f t="shared" si="66"/>
        <v>30164</v>
      </c>
      <c r="R89" s="92">
        <f t="shared" si="61"/>
        <v>-0.26206086701242781</v>
      </c>
      <c r="S89" s="39"/>
      <c r="T89" s="39">
        <v>3203</v>
      </c>
      <c r="U89" s="92" t="e">
        <f t="shared" si="62"/>
        <v>#DIV/0!</v>
      </c>
      <c r="V89" s="38">
        <f t="shared" si="67"/>
        <v>40876</v>
      </c>
      <c r="W89" s="38">
        <f t="shared" si="67"/>
        <v>33367</v>
      </c>
      <c r="X89" s="92">
        <f t="shared" si="68"/>
        <v>-0.18370192778158334</v>
      </c>
      <c r="Y89" s="39">
        <v>7276</v>
      </c>
      <c r="Z89" s="39">
        <v>1479</v>
      </c>
      <c r="AA89" s="92">
        <f t="shared" si="63"/>
        <v>-0.79672897196261683</v>
      </c>
      <c r="AB89" s="39">
        <f t="shared" si="69"/>
        <v>48152</v>
      </c>
      <c r="AC89" s="39">
        <f t="shared" si="69"/>
        <v>34846</v>
      </c>
      <c r="AD89" s="92">
        <f t="shared" si="70"/>
        <v>-0.27633327795314833</v>
      </c>
      <c r="AE89" s="39">
        <v>21993</v>
      </c>
      <c r="AF89" s="39"/>
      <c r="AG89" s="92">
        <f t="shared" si="71"/>
        <v>-1</v>
      </c>
      <c r="AH89" s="39">
        <f t="shared" si="72"/>
        <v>70145</v>
      </c>
      <c r="AI89" s="39">
        <f t="shared" si="72"/>
        <v>34846</v>
      </c>
      <c r="AJ89" s="92">
        <f t="shared" si="73"/>
        <v>-0.50322902558984961</v>
      </c>
      <c r="AK89" s="38"/>
      <c r="AL89" s="38"/>
      <c r="AM89" s="92" t="e">
        <f t="shared" si="74"/>
        <v>#DIV/0!</v>
      </c>
      <c r="AN89" s="38">
        <f t="shared" si="75"/>
        <v>70145</v>
      </c>
      <c r="AO89" s="38">
        <f t="shared" si="75"/>
        <v>34846</v>
      </c>
      <c r="AP89" s="92">
        <f t="shared" si="76"/>
        <v>-0.50322902558984961</v>
      </c>
      <c r="AQ89" s="39">
        <v>12632</v>
      </c>
      <c r="AR89" s="39"/>
      <c r="AS89" s="92">
        <f t="shared" si="64"/>
        <v>-1</v>
      </c>
      <c r="AT89" s="39">
        <f t="shared" si="77"/>
        <v>82777</v>
      </c>
      <c r="AU89" s="39">
        <f t="shared" si="77"/>
        <v>34846</v>
      </c>
      <c r="AV89" s="92">
        <f t="shared" si="78"/>
        <v>-0.57903765538736607</v>
      </c>
      <c r="AW89" s="39">
        <v>15224</v>
      </c>
      <c r="AX89" s="39"/>
      <c r="AY89" s="92">
        <f t="shared" si="79"/>
        <v>-1</v>
      </c>
      <c r="AZ89" s="39">
        <f t="shared" si="80"/>
        <v>98001</v>
      </c>
      <c r="BA89" s="39">
        <f t="shared" si="80"/>
        <v>34846</v>
      </c>
      <c r="BB89" s="92">
        <f t="shared" si="81"/>
        <v>-0.64443219967143195</v>
      </c>
      <c r="BC89" s="38">
        <v>21656</v>
      </c>
      <c r="BD89" s="38"/>
      <c r="BE89" s="92">
        <f t="shared" si="82"/>
        <v>-1</v>
      </c>
      <c r="BF89" s="38">
        <f t="shared" si="83"/>
        <v>119657</v>
      </c>
      <c r="BG89" s="38">
        <f t="shared" si="83"/>
        <v>34846</v>
      </c>
      <c r="BH89" s="92">
        <f t="shared" si="84"/>
        <v>-0.70878427505285946</v>
      </c>
      <c r="BI89" s="28">
        <v>33726</v>
      </c>
      <c r="BJ89" s="28">
        <v>22763</v>
      </c>
      <c r="BK89" s="28"/>
      <c r="BL89" s="28">
        <v>176146</v>
      </c>
      <c r="BM89" s="29">
        <f t="shared" si="85"/>
        <v>0.11615333333333333</v>
      </c>
      <c r="BN89" s="40"/>
      <c r="BO89" s="40"/>
    </row>
    <row r="90" spans="1:67">
      <c r="A90" s="22" t="s">
        <v>164</v>
      </c>
      <c r="B90" s="78" t="s">
        <v>164</v>
      </c>
      <c r="C90" s="33" t="s">
        <v>187</v>
      </c>
      <c r="D90" s="114" t="s">
        <v>88</v>
      </c>
      <c r="E90" s="114" t="s">
        <v>88</v>
      </c>
      <c r="F90" s="33" t="s">
        <v>174</v>
      </c>
      <c r="G90" s="33" t="s">
        <v>80</v>
      </c>
      <c r="H90" s="39" t="s">
        <v>178</v>
      </c>
      <c r="I90" s="39"/>
      <c r="J90" s="22">
        <v>3850</v>
      </c>
      <c r="K90" s="22">
        <v>4018</v>
      </c>
      <c r="L90" s="92">
        <f t="shared" si="65"/>
        <v>4.3636363636363695E-2</v>
      </c>
      <c r="M90" s="105"/>
      <c r="N90" s="105"/>
      <c r="O90" s="92" t="e">
        <f t="shared" si="60"/>
        <v>#DIV/0!</v>
      </c>
      <c r="P90" s="105">
        <f t="shared" si="66"/>
        <v>3850</v>
      </c>
      <c r="Q90" s="105">
        <f t="shared" si="66"/>
        <v>4018</v>
      </c>
      <c r="R90" s="92">
        <f t="shared" si="61"/>
        <v>4.3636363636363695E-2</v>
      </c>
      <c r="S90" s="39">
        <v>8800</v>
      </c>
      <c r="T90" s="39">
        <v>6295</v>
      </c>
      <c r="U90" s="92">
        <f t="shared" si="62"/>
        <v>-0.28465909090909092</v>
      </c>
      <c r="V90" s="38">
        <f t="shared" si="67"/>
        <v>12650</v>
      </c>
      <c r="W90" s="38">
        <f t="shared" si="67"/>
        <v>10313</v>
      </c>
      <c r="X90" s="92">
        <f t="shared" si="68"/>
        <v>-0.18474308300395259</v>
      </c>
      <c r="Y90" s="39"/>
      <c r="Z90" s="39">
        <v>12000</v>
      </c>
      <c r="AA90" s="92" t="e">
        <f t="shared" si="63"/>
        <v>#DIV/0!</v>
      </c>
      <c r="AB90" s="39">
        <f t="shared" si="69"/>
        <v>12650</v>
      </c>
      <c r="AC90" s="39">
        <f t="shared" si="69"/>
        <v>22313</v>
      </c>
      <c r="AD90" s="92">
        <f t="shared" si="70"/>
        <v>0.76387351778656121</v>
      </c>
      <c r="AE90" s="39">
        <v>1800</v>
      </c>
      <c r="AF90" s="39"/>
      <c r="AG90" s="92">
        <f t="shared" si="71"/>
        <v>-1</v>
      </c>
      <c r="AH90" s="39">
        <f t="shared" si="72"/>
        <v>14450</v>
      </c>
      <c r="AI90" s="39">
        <f t="shared" si="72"/>
        <v>22313</v>
      </c>
      <c r="AJ90" s="92">
        <f t="shared" si="73"/>
        <v>0.5441522491349482</v>
      </c>
      <c r="AK90" s="38">
        <v>10093</v>
      </c>
      <c r="AL90" s="38">
        <v>2502</v>
      </c>
      <c r="AM90" s="92">
        <f t="shared" si="74"/>
        <v>-0.75210541959774102</v>
      </c>
      <c r="AN90" s="38">
        <f t="shared" si="75"/>
        <v>24543</v>
      </c>
      <c r="AO90" s="38">
        <f t="shared" si="75"/>
        <v>24815</v>
      </c>
      <c r="AP90" s="92">
        <f t="shared" si="76"/>
        <v>1.1082589740455617E-2</v>
      </c>
      <c r="AQ90" s="39">
        <v>20900</v>
      </c>
      <c r="AR90" s="39">
        <v>3253</v>
      </c>
      <c r="AS90" s="92">
        <f t="shared" si="64"/>
        <v>-0.84435406698564597</v>
      </c>
      <c r="AT90" s="39">
        <f t="shared" si="77"/>
        <v>45443</v>
      </c>
      <c r="AU90" s="39">
        <f t="shared" si="77"/>
        <v>28068</v>
      </c>
      <c r="AV90" s="92">
        <f t="shared" si="78"/>
        <v>-0.3823471161675065</v>
      </c>
      <c r="AW90" s="39">
        <v>7922</v>
      </c>
      <c r="AX90" s="39">
        <v>4280</v>
      </c>
      <c r="AY90" s="92">
        <f t="shared" si="79"/>
        <v>-0.4597323908104014</v>
      </c>
      <c r="AZ90" s="39">
        <f t="shared" si="80"/>
        <v>53365</v>
      </c>
      <c r="BA90" s="39">
        <f t="shared" si="80"/>
        <v>32348</v>
      </c>
      <c r="BB90" s="92">
        <f t="shared" si="81"/>
        <v>-0.39383491052187769</v>
      </c>
      <c r="BC90" s="38">
        <v>1410</v>
      </c>
      <c r="BD90" s="38"/>
      <c r="BE90" s="92">
        <f t="shared" si="82"/>
        <v>-1</v>
      </c>
      <c r="BF90" s="38">
        <f t="shared" si="83"/>
        <v>54775</v>
      </c>
      <c r="BG90" s="38">
        <f t="shared" si="83"/>
        <v>32348</v>
      </c>
      <c r="BH90" s="92">
        <f t="shared" si="84"/>
        <v>-0.40943861250570512</v>
      </c>
      <c r="BI90" s="28">
        <v>10980</v>
      </c>
      <c r="BJ90" s="28">
        <v>4350</v>
      </c>
      <c r="BK90" s="28">
        <v>1750</v>
      </c>
      <c r="BL90" s="28">
        <v>71855</v>
      </c>
      <c r="BM90" s="29" t="e">
        <f t="shared" si="85"/>
        <v>#DIV/0!</v>
      </c>
      <c r="BN90" s="40"/>
      <c r="BO90" s="40"/>
    </row>
    <row r="91" spans="1:67">
      <c r="A91" s="22" t="s">
        <v>164</v>
      </c>
      <c r="B91" s="78" t="s">
        <v>164</v>
      </c>
      <c r="C91" s="33" t="s">
        <v>188</v>
      </c>
      <c r="D91" s="114" t="s">
        <v>61</v>
      </c>
      <c r="E91" s="114" t="s">
        <v>61</v>
      </c>
      <c r="F91" s="33" t="s">
        <v>189</v>
      </c>
      <c r="G91" s="33" t="s">
        <v>189</v>
      </c>
      <c r="H91" s="39" t="s">
        <v>167</v>
      </c>
      <c r="I91" s="39"/>
      <c r="J91" s="22">
        <v>6649</v>
      </c>
      <c r="K91" s="22"/>
      <c r="L91" s="92">
        <f t="shared" si="65"/>
        <v>-1</v>
      </c>
      <c r="M91" s="105"/>
      <c r="N91" s="105"/>
      <c r="O91" s="92" t="e">
        <f t="shared" si="60"/>
        <v>#DIV/0!</v>
      </c>
      <c r="P91" s="105">
        <f t="shared" si="66"/>
        <v>6649</v>
      </c>
      <c r="Q91" s="105">
        <f t="shared" si="66"/>
        <v>0</v>
      </c>
      <c r="R91" s="92">
        <f t="shared" si="61"/>
        <v>-1</v>
      </c>
      <c r="S91" s="39"/>
      <c r="T91" s="39"/>
      <c r="U91" s="92" t="e">
        <f t="shared" si="62"/>
        <v>#DIV/0!</v>
      </c>
      <c r="V91" s="38">
        <f t="shared" si="67"/>
        <v>6649</v>
      </c>
      <c r="W91" s="38">
        <f t="shared" si="67"/>
        <v>0</v>
      </c>
      <c r="X91" s="92">
        <f t="shared" si="68"/>
        <v>-1</v>
      </c>
      <c r="Y91" s="39"/>
      <c r="Z91" s="39"/>
      <c r="AA91" s="92" t="e">
        <f t="shared" si="63"/>
        <v>#DIV/0!</v>
      </c>
      <c r="AB91" s="39">
        <f t="shared" si="69"/>
        <v>6649</v>
      </c>
      <c r="AC91" s="39">
        <f t="shared" si="69"/>
        <v>0</v>
      </c>
      <c r="AD91" s="92">
        <f t="shared" si="70"/>
        <v>-1</v>
      </c>
      <c r="AE91" s="39"/>
      <c r="AF91" s="39"/>
      <c r="AG91" s="92" t="e">
        <f t="shared" si="71"/>
        <v>#DIV/0!</v>
      </c>
      <c r="AH91" s="39">
        <f t="shared" si="72"/>
        <v>6649</v>
      </c>
      <c r="AI91" s="39">
        <f t="shared" si="72"/>
        <v>0</v>
      </c>
      <c r="AJ91" s="92">
        <f t="shared" si="73"/>
        <v>-1</v>
      </c>
      <c r="AK91" s="38"/>
      <c r="AL91" s="38"/>
      <c r="AM91" s="92" t="e">
        <f t="shared" si="74"/>
        <v>#DIV/0!</v>
      </c>
      <c r="AN91" s="38">
        <f t="shared" si="75"/>
        <v>6649</v>
      </c>
      <c r="AO91" s="38">
        <f t="shared" si="75"/>
        <v>0</v>
      </c>
      <c r="AP91" s="92">
        <f t="shared" si="76"/>
        <v>-1</v>
      </c>
      <c r="AQ91" s="39"/>
      <c r="AR91" s="39"/>
      <c r="AS91" s="92" t="e">
        <f t="shared" si="64"/>
        <v>#DIV/0!</v>
      </c>
      <c r="AT91" s="39">
        <f t="shared" si="77"/>
        <v>6649</v>
      </c>
      <c r="AU91" s="39">
        <f t="shared" si="77"/>
        <v>0</v>
      </c>
      <c r="AV91" s="92">
        <f t="shared" si="78"/>
        <v>-1</v>
      </c>
      <c r="AW91" s="39"/>
      <c r="AX91" s="39"/>
      <c r="AY91" s="92" t="e">
        <f t="shared" si="79"/>
        <v>#DIV/0!</v>
      </c>
      <c r="AZ91" s="39">
        <f t="shared" si="80"/>
        <v>6649</v>
      </c>
      <c r="BA91" s="39">
        <f t="shared" si="80"/>
        <v>0</v>
      </c>
      <c r="BB91" s="92">
        <f t="shared" si="81"/>
        <v>-1</v>
      </c>
      <c r="BC91" s="38"/>
      <c r="BD91" s="38"/>
      <c r="BE91" s="92" t="e">
        <f t="shared" si="82"/>
        <v>#DIV/0!</v>
      </c>
      <c r="BF91" s="38">
        <f t="shared" si="83"/>
        <v>6649</v>
      </c>
      <c r="BG91" s="38">
        <f t="shared" si="83"/>
        <v>0</v>
      </c>
      <c r="BH91" s="92">
        <f t="shared" si="84"/>
        <v>-1</v>
      </c>
      <c r="BI91" s="28"/>
      <c r="BJ91" s="28"/>
      <c r="BK91" s="28"/>
      <c r="BL91" s="28">
        <v>6649</v>
      </c>
      <c r="BM91" s="29" t="e">
        <f t="shared" si="85"/>
        <v>#DIV/0!</v>
      </c>
      <c r="BN91" s="40"/>
      <c r="BO91" s="40"/>
    </row>
    <row r="92" spans="1:67">
      <c r="A92" s="22" t="s">
        <v>164</v>
      </c>
      <c r="B92" s="78" t="s">
        <v>168</v>
      </c>
      <c r="C92" s="33" t="s">
        <v>190</v>
      </c>
      <c r="D92" s="114" t="s">
        <v>61</v>
      </c>
      <c r="E92" s="114" t="s">
        <v>61</v>
      </c>
      <c r="F92" s="33" t="s">
        <v>191</v>
      </c>
      <c r="G92" s="33" t="s">
        <v>191</v>
      </c>
      <c r="H92" s="39" t="s">
        <v>172</v>
      </c>
      <c r="I92" s="39"/>
      <c r="J92" s="22"/>
      <c r="K92" s="22"/>
      <c r="L92" s="92" t="e">
        <f t="shared" si="65"/>
        <v>#DIV/0!</v>
      </c>
      <c r="M92" s="105">
        <v>19218</v>
      </c>
      <c r="N92" s="105"/>
      <c r="O92" s="92">
        <f t="shared" si="60"/>
        <v>-1</v>
      </c>
      <c r="P92" s="105">
        <f t="shared" si="66"/>
        <v>19218</v>
      </c>
      <c r="Q92" s="105">
        <f t="shared" si="66"/>
        <v>0</v>
      </c>
      <c r="R92" s="92">
        <f t="shared" si="61"/>
        <v>-1</v>
      </c>
      <c r="S92" s="39"/>
      <c r="T92" s="39"/>
      <c r="U92" s="92" t="e">
        <f t="shared" si="62"/>
        <v>#DIV/0!</v>
      </c>
      <c r="V92" s="38">
        <f t="shared" si="67"/>
        <v>19218</v>
      </c>
      <c r="W92" s="38">
        <f t="shared" si="67"/>
        <v>0</v>
      </c>
      <c r="X92" s="92">
        <f t="shared" si="68"/>
        <v>-1</v>
      </c>
      <c r="Y92" s="39"/>
      <c r="Z92" s="39"/>
      <c r="AA92" s="92" t="e">
        <f t="shared" si="63"/>
        <v>#DIV/0!</v>
      </c>
      <c r="AB92" s="39">
        <f t="shared" si="69"/>
        <v>19218</v>
      </c>
      <c r="AC92" s="39">
        <f t="shared" si="69"/>
        <v>0</v>
      </c>
      <c r="AD92" s="92">
        <f t="shared" si="70"/>
        <v>-1</v>
      </c>
      <c r="AE92" s="39"/>
      <c r="AF92" s="39"/>
      <c r="AG92" s="92" t="e">
        <f t="shared" si="71"/>
        <v>#DIV/0!</v>
      </c>
      <c r="AH92" s="39">
        <f t="shared" si="72"/>
        <v>19218</v>
      </c>
      <c r="AI92" s="39">
        <f t="shared" si="72"/>
        <v>0</v>
      </c>
      <c r="AJ92" s="92">
        <f t="shared" si="73"/>
        <v>-1</v>
      </c>
      <c r="AK92" s="38"/>
      <c r="AL92" s="38"/>
      <c r="AM92" s="92" t="e">
        <f t="shared" si="74"/>
        <v>#DIV/0!</v>
      </c>
      <c r="AN92" s="38">
        <f t="shared" si="75"/>
        <v>19218</v>
      </c>
      <c r="AO92" s="38">
        <f t="shared" si="75"/>
        <v>0</v>
      </c>
      <c r="AP92" s="92">
        <f t="shared" si="76"/>
        <v>-1</v>
      </c>
      <c r="AQ92" s="39"/>
      <c r="AR92" s="39"/>
      <c r="AS92" s="92" t="e">
        <f t="shared" si="64"/>
        <v>#DIV/0!</v>
      </c>
      <c r="AT92" s="39">
        <f t="shared" si="77"/>
        <v>19218</v>
      </c>
      <c r="AU92" s="39">
        <f t="shared" si="77"/>
        <v>0</v>
      </c>
      <c r="AV92" s="92">
        <f t="shared" si="78"/>
        <v>-1</v>
      </c>
      <c r="AW92" s="39"/>
      <c r="AX92" s="39"/>
      <c r="AY92" s="92" t="e">
        <f t="shared" si="79"/>
        <v>#DIV/0!</v>
      </c>
      <c r="AZ92" s="39">
        <f t="shared" si="80"/>
        <v>19218</v>
      </c>
      <c r="BA92" s="39">
        <f t="shared" si="80"/>
        <v>0</v>
      </c>
      <c r="BB92" s="92">
        <f t="shared" si="81"/>
        <v>-1</v>
      </c>
      <c r="BC92" s="38"/>
      <c r="BD92" s="38"/>
      <c r="BE92" s="92" t="e">
        <f t="shared" si="82"/>
        <v>#DIV/0!</v>
      </c>
      <c r="BF92" s="38">
        <f t="shared" si="83"/>
        <v>19218</v>
      </c>
      <c r="BG92" s="38">
        <f t="shared" si="83"/>
        <v>0</v>
      </c>
      <c r="BH92" s="92">
        <f t="shared" si="84"/>
        <v>-1</v>
      </c>
      <c r="BI92" s="28"/>
      <c r="BJ92" s="28"/>
      <c r="BK92" s="28"/>
      <c r="BL92" s="28">
        <v>19218</v>
      </c>
      <c r="BM92" s="29" t="e">
        <f t="shared" si="85"/>
        <v>#DIV/0!</v>
      </c>
      <c r="BN92" s="40"/>
      <c r="BO92" s="40"/>
    </row>
    <row r="93" spans="1:67">
      <c r="A93" s="22" t="s">
        <v>164</v>
      </c>
      <c r="B93" s="78" t="s">
        <v>164</v>
      </c>
      <c r="C93" s="33" t="s">
        <v>192</v>
      </c>
      <c r="D93" s="114" t="s">
        <v>65</v>
      </c>
      <c r="E93" s="114" t="s">
        <v>65</v>
      </c>
      <c r="F93" s="33" t="s">
        <v>166</v>
      </c>
      <c r="G93" s="33" t="s">
        <v>166</v>
      </c>
      <c r="H93" s="39" t="s">
        <v>167</v>
      </c>
      <c r="I93" s="39"/>
      <c r="J93" s="22">
        <v>95208</v>
      </c>
      <c r="K93" s="22"/>
      <c r="L93" s="92">
        <f t="shared" si="65"/>
        <v>-1</v>
      </c>
      <c r="M93" s="105">
        <v>23568</v>
      </c>
      <c r="N93" s="105"/>
      <c r="O93" s="92">
        <f t="shared" si="60"/>
        <v>-1</v>
      </c>
      <c r="P93" s="105">
        <f t="shared" si="66"/>
        <v>118776</v>
      </c>
      <c r="Q93" s="105">
        <f t="shared" si="66"/>
        <v>0</v>
      </c>
      <c r="R93" s="92">
        <f t="shared" si="61"/>
        <v>-1</v>
      </c>
      <c r="S93" s="39">
        <v>27546</v>
      </c>
      <c r="T93" s="39"/>
      <c r="U93" s="92">
        <f t="shared" si="62"/>
        <v>-1</v>
      </c>
      <c r="V93" s="38">
        <f t="shared" si="67"/>
        <v>146322</v>
      </c>
      <c r="W93" s="38">
        <f t="shared" si="67"/>
        <v>0</v>
      </c>
      <c r="X93" s="92">
        <f t="shared" si="68"/>
        <v>-1</v>
      </c>
      <c r="Y93" s="39">
        <v>48756</v>
      </c>
      <c r="Z93" s="39"/>
      <c r="AA93" s="92">
        <f t="shared" si="63"/>
        <v>-1</v>
      </c>
      <c r="AB93" s="39">
        <f t="shared" si="69"/>
        <v>195078</v>
      </c>
      <c r="AC93" s="39">
        <f t="shared" si="69"/>
        <v>0</v>
      </c>
      <c r="AD93" s="92">
        <f t="shared" si="70"/>
        <v>-1</v>
      </c>
      <c r="AE93" s="39">
        <v>57457</v>
      </c>
      <c r="AF93" s="39"/>
      <c r="AG93" s="92">
        <f t="shared" si="71"/>
        <v>-1</v>
      </c>
      <c r="AH93" s="39">
        <f t="shared" si="72"/>
        <v>252535</v>
      </c>
      <c r="AI93" s="39">
        <f t="shared" si="72"/>
        <v>0</v>
      </c>
      <c r="AJ93" s="92">
        <f t="shared" si="73"/>
        <v>-1</v>
      </c>
      <c r="AK93" s="38">
        <v>34276</v>
      </c>
      <c r="AL93" s="38"/>
      <c r="AM93" s="92">
        <f t="shared" si="74"/>
        <v>-1</v>
      </c>
      <c r="AN93" s="38">
        <f t="shared" si="75"/>
        <v>286811</v>
      </c>
      <c r="AO93" s="38">
        <f t="shared" si="75"/>
        <v>0</v>
      </c>
      <c r="AP93" s="92">
        <f t="shared" si="76"/>
        <v>-1</v>
      </c>
      <c r="AQ93" s="39">
        <v>66284</v>
      </c>
      <c r="AR93" s="39"/>
      <c r="AS93" s="92">
        <f t="shared" si="64"/>
        <v>-1</v>
      </c>
      <c r="AT93" s="39">
        <f t="shared" si="77"/>
        <v>353095</v>
      </c>
      <c r="AU93" s="39">
        <f t="shared" si="77"/>
        <v>0</v>
      </c>
      <c r="AV93" s="92">
        <f t="shared" si="78"/>
        <v>-1</v>
      </c>
      <c r="AW93" s="39">
        <v>21828</v>
      </c>
      <c r="AX93" s="39"/>
      <c r="AY93" s="92">
        <f t="shared" si="79"/>
        <v>-1</v>
      </c>
      <c r="AZ93" s="39">
        <f t="shared" si="80"/>
        <v>374923</v>
      </c>
      <c r="BA93" s="39">
        <f t="shared" si="80"/>
        <v>0</v>
      </c>
      <c r="BB93" s="92">
        <f t="shared" si="81"/>
        <v>-1</v>
      </c>
      <c r="BC93" s="38"/>
      <c r="BD93" s="38"/>
      <c r="BE93" s="92" t="e">
        <f t="shared" si="82"/>
        <v>#DIV/0!</v>
      </c>
      <c r="BF93" s="38">
        <f t="shared" si="83"/>
        <v>374923</v>
      </c>
      <c r="BG93" s="38">
        <f t="shared" si="83"/>
        <v>0</v>
      </c>
      <c r="BH93" s="92">
        <f t="shared" si="84"/>
        <v>-1</v>
      </c>
      <c r="BI93" s="28"/>
      <c r="BJ93" s="28"/>
      <c r="BK93" s="28"/>
      <c r="BL93" s="28">
        <v>374923</v>
      </c>
      <c r="BM93" s="29" t="e">
        <f t="shared" si="85"/>
        <v>#DIV/0!</v>
      </c>
      <c r="BN93" s="40"/>
      <c r="BO93" s="40"/>
    </row>
    <row r="94" spans="1:67">
      <c r="A94" s="22" t="s">
        <v>164</v>
      </c>
      <c r="B94" s="78" t="s">
        <v>164</v>
      </c>
      <c r="C94" s="33" t="s">
        <v>193</v>
      </c>
      <c r="D94" s="114" t="s">
        <v>61</v>
      </c>
      <c r="E94" s="114" t="s">
        <v>61</v>
      </c>
      <c r="F94" s="33" t="s">
        <v>182</v>
      </c>
      <c r="G94" s="33" t="s">
        <v>182</v>
      </c>
      <c r="H94" s="39" t="s">
        <v>167</v>
      </c>
      <c r="I94" s="39"/>
      <c r="J94" s="22">
        <v>1690</v>
      </c>
      <c r="K94" s="22"/>
      <c r="L94" s="92">
        <f t="shared" si="65"/>
        <v>-1</v>
      </c>
      <c r="M94" s="105"/>
      <c r="N94" s="105"/>
      <c r="O94" s="92" t="e">
        <f t="shared" si="60"/>
        <v>#DIV/0!</v>
      </c>
      <c r="P94" s="105">
        <f t="shared" si="66"/>
        <v>1690</v>
      </c>
      <c r="Q94" s="105">
        <f t="shared" si="66"/>
        <v>0</v>
      </c>
      <c r="R94" s="92">
        <f t="shared" si="61"/>
        <v>-1</v>
      </c>
      <c r="S94" s="39"/>
      <c r="T94" s="39"/>
      <c r="U94" s="92" t="e">
        <f t="shared" si="62"/>
        <v>#DIV/0!</v>
      </c>
      <c r="V94" s="38">
        <f t="shared" si="67"/>
        <v>1690</v>
      </c>
      <c r="W94" s="38">
        <f t="shared" si="67"/>
        <v>0</v>
      </c>
      <c r="X94" s="92">
        <f t="shared" si="68"/>
        <v>-1</v>
      </c>
      <c r="Y94" s="39">
        <v>3375</v>
      </c>
      <c r="Z94" s="39"/>
      <c r="AA94" s="92">
        <f t="shared" si="63"/>
        <v>-1</v>
      </c>
      <c r="AB94" s="39">
        <f t="shared" si="69"/>
        <v>5065</v>
      </c>
      <c r="AC94" s="39">
        <f t="shared" si="69"/>
        <v>0</v>
      </c>
      <c r="AD94" s="92">
        <f t="shared" si="70"/>
        <v>-1</v>
      </c>
      <c r="AE94" s="39"/>
      <c r="AF94" s="39"/>
      <c r="AG94" s="92" t="e">
        <f t="shared" si="71"/>
        <v>#DIV/0!</v>
      </c>
      <c r="AH94" s="39">
        <f t="shared" si="72"/>
        <v>5065</v>
      </c>
      <c r="AI94" s="39">
        <f t="shared" si="72"/>
        <v>0</v>
      </c>
      <c r="AJ94" s="92">
        <f t="shared" si="73"/>
        <v>-1</v>
      </c>
      <c r="AK94" s="38"/>
      <c r="AL94" s="38"/>
      <c r="AM94" s="92" t="e">
        <f t="shared" si="74"/>
        <v>#DIV/0!</v>
      </c>
      <c r="AN94" s="38">
        <f t="shared" si="75"/>
        <v>5065</v>
      </c>
      <c r="AO94" s="38">
        <f t="shared" si="75"/>
        <v>0</v>
      </c>
      <c r="AP94" s="92">
        <f t="shared" si="76"/>
        <v>-1</v>
      </c>
      <c r="AQ94" s="39"/>
      <c r="AR94" s="39"/>
      <c r="AS94" s="92" t="e">
        <f t="shared" si="64"/>
        <v>#DIV/0!</v>
      </c>
      <c r="AT94" s="39">
        <f t="shared" si="77"/>
        <v>5065</v>
      </c>
      <c r="AU94" s="39">
        <f t="shared" si="77"/>
        <v>0</v>
      </c>
      <c r="AV94" s="92">
        <f t="shared" si="78"/>
        <v>-1</v>
      </c>
      <c r="AW94" s="39"/>
      <c r="AX94" s="39"/>
      <c r="AY94" s="92" t="e">
        <f t="shared" si="79"/>
        <v>#DIV/0!</v>
      </c>
      <c r="AZ94" s="39">
        <f t="shared" si="80"/>
        <v>5065</v>
      </c>
      <c r="BA94" s="39">
        <f t="shared" si="80"/>
        <v>0</v>
      </c>
      <c r="BB94" s="92">
        <f t="shared" si="81"/>
        <v>-1</v>
      </c>
      <c r="BC94" s="38">
        <v>3375</v>
      </c>
      <c r="BD94" s="38"/>
      <c r="BE94" s="92">
        <f t="shared" si="82"/>
        <v>-1</v>
      </c>
      <c r="BF94" s="38">
        <f t="shared" si="83"/>
        <v>8440</v>
      </c>
      <c r="BG94" s="38">
        <f t="shared" si="83"/>
        <v>0</v>
      </c>
      <c r="BH94" s="92">
        <f t="shared" si="84"/>
        <v>-1</v>
      </c>
      <c r="BI94" s="28"/>
      <c r="BJ94" s="28"/>
      <c r="BK94" s="28"/>
      <c r="BL94" s="28">
        <v>8440</v>
      </c>
      <c r="BM94" s="29" t="e">
        <f t="shared" si="85"/>
        <v>#DIV/0!</v>
      </c>
      <c r="BN94" s="40"/>
      <c r="BO94" s="40"/>
    </row>
    <row r="95" spans="1:67">
      <c r="A95" s="22" t="s">
        <v>164</v>
      </c>
      <c r="B95" s="78" t="s">
        <v>164</v>
      </c>
      <c r="C95" s="33" t="s">
        <v>194</v>
      </c>
      <c r="D95" s="114" t="s">
        <v>61</v>
      </c>
      <c r="E95" s="114" t="s">
        <v>61</v>
      </c>
      <c r="F95" s="33" t="s">
        <v>174</v>
      </c>
      <c r="G95" s="33" t="s">
        <v>195</v>
      </c>
      <c r="H95" s="39" t="s">
        <v>175</v>
      </c>
      <c r="I95" s="39">
        <v>30</v>
      </c>
      <c r="J95" s="22">
        <v>5412</v>
      </c>
      <c r="K95" s="22">
        <v>-8765</v>
      </c>
      <c r="L95" s="92">
        <f t="shared" si="65"/>
        <v>-2.619549150036955</v>
      </c>
      <c r="M95" s="105">
        <v>729</v>
      </c>
      <c r="N95" s="105">
        <v>2310</v>
      </c>
      <c r="O95" s="92">
        <f t="shared" si="60"/>
        <v>2.168724279835391</v>
      </c>
      <c r="P95" s="105">
        <f t="shared" si="66"/>
        <v>6141</v>
      </c>
      <c r="Q95" s="105">
        <f t="shared" si="66"/>
        <v>-6455</v>
      </c>
      <c r="R95" s="92">
        <f t="shared" si="61"/>
        <v>-2.0511317375020353</v>
      </c>
      <c r="S95" s="39">
        <v>20000</v>
      </c>
      <c r="T95" s="39">
        <v>5229</v>
      </c>
      <c r="U95" s="92">
        <f t="shared" si="62"/>
        <v>-0.73855000000000004</v>
      </c>
      <c r="V95" s="38">
        <f t="shared" si="67"/>
        <v>26141</v>
      </c>
      <c r="W95" s="38">
        <f t="shared" si="67"/>
        <v>-1226</v>
      </c>
      <c r="X95" s="92">
        <f t="shared" si="68"/>
        <v>-1.0468995065223212</v>
      </c>
      <c r="Y95" s="39"/>
      <c r="Z95" s="39"/>
      <c r="AA95" s="92" t="e">
        <f t="shared" si="63"/>
        <v>#DIV/0!</v>
      </c>
      <c r="AB95" s="39">
        <f t="shared" si="69"/>
        <v>26141</v>
      </c>
      <c r="AC95" s="39">
        <f t="shared" si="69"/>
        <v>-1226</v>
      </c>
      <c r="AD95" s="92">
        <f t="shared" si="70"/>
        <v>-1.0468995065223212</v>
      </c>
      <c r="AE95" s="39"/>
      <c r="AF95" s="39"/>
      <c r="AG95" s="92" t="e">
        <f t="shared" si="71"/>
        <v>#DIV/0!</v>
      </c>
      <c r="AH95" s="39">
        <f t="shared" si="72"/>
        <v>26141</v>
      </c>
      <c r="AI95" s="39">
        <f t="shared" si="72"/>
        <v>-1226</v>
      </c>
      <c r="AJ95" s="92">
        <f t="shared" si="73"/>
        <v>-1.0468995065223212</v>
      </c>
      <c r="AK95" s="38">
        <v>47792</v>
      </c>
      <c r="AL95" s="38">
        <v>3242</v>
      </c>
      <c r="AM95" s="92">
        <f t="shared" si="74"/>
        <v>-0.9321643789755607</v>
      </c>
      <c r="AN95" s="38">
        <f t="shared" si="75"/>
        <v>73933</v>
      </c>
      <c r="AO95" s="38">
        <f t="shared" si="75"/>
        <v>2016</v>
      </c>
      <c r="AP95" s="92">
        <f t="shared" si="76"/>
        <v>-0.97273206822393243</v>
      </c>
      <c r="AQ95" s="39">
        <v>37572</v>
      </c>
      <c r="AR95" s="39">
        <v>1535</v>
      </c>
      <c r="AS95" s="92">
        <f t="shared" si="64"/>
        <v>-0.95914510805919306</v>
      </c>
      <c r="AT95" s="39">
        <f t="shared" si="77"/>
        <v>111505</v>
      </c>
      <c r="AU95" s="39">
        <f t="shared" si="77"/>
        <v>3551</v>
      </c>
      <c r="AV95" s="92">
        <f t="shared" si="78"/>
        <v>-0.96815389444419531</v>
      </c>
      <c r="AW95" s="39"/>
      <c r="AX95" s="39"/>
      <c r="AY95" s="92" t="e">
        <f t="shared" si="79"/>
        <v>#DIV/0!</v>
      </c>
      <c r="AZ95" s="39">
        <f t="shared" si="80"/>
        <v>111505</v>
      </c>
      <c r="BA95" s="39">
        <f t="shared" si="80"/>
        <v>3551</v>
      </c>
      <c r="BB95" s="92">
        <f t="shared" si="81"/>
        <v>-0.96815389444419531</v>
      </c>
      <c r="BC95" s="38">
        <v>13087</v>
      </c>
      <c r="BD95" s="38"/>
      <c r="BE95" s="92">
        <f t="shared" si="82"/>
        <v>-1</v>
      </c>
      <c r="BF95" s="38">
        <f t="shared" si="83"/>
        <v>124592</v>
      </c>
      <c r="BG95" s="38">
        <f t="shared" si="83"/>
        <v>3551</v>
      </c>
      <c r="BH95" s="92">
        <f t="shared" si="84"/>
        <v>-0.97149897264671892</v>
      </c>
      <c r="BI95" s="28">
        <v>19477</v>
      </c>
      <c r="BJ95" s="28">
        <v>37873</v>
      </c>
      <c r="BK95" s="28">
        <v>35797</v>
      </c>
      <c r="BL95" s="28">
        <v>217739</v>
      </c>
      <c r="BM95" s="29">
        <f t="shared" si="85"/>
        <v>1.1836666666666667E-2</v>
      </c>
      <c r="BN95" s="40"/>
      <c r="BO95" s="40"/>
    </row>
    <row r="96" spans="1:67">
      <c r="A96" s="22" t="s">
        <v>164</v>
      </c>
      <c r="B96" s="78" t="s">
        <v>168</v>
      </c>
      <c r="C96" s="33" t="s">
        <v>196</v>
      </c>
      <c r="D96" s="114" t="s">
        <v>61</v>
      </c>
      <c r="E96" s="114" t="s">
        <v>61</v>
      </c>
      <c r="F96" s="33" t="s">
        <v>197</v>
      </c>
      <c r="G96" s="33" t="s">
        <v>197</v>
      </c>
      <c r="H96" s="39" t="s">
        <v>172</v>
      </c>
      <c r="I96" s="39">
        <v>5</v>
      </c>
      <c r="J96" s="22"/>
      <c r="K96" s="22">
        <v>2310</v>
      </c>
      <c r="L96" s="92" t="e">
        <f t="shared" si="65"/>
        <v>#DIV/0!</v>
      </c>
      <c r="M96" s="105"/>
      <c r="N96" s="105">
        <v>3302</v>
      </c>
      <c r="O96" s="92" t="e">
        <f t="shared" si="60"/>
        <v>#DIV/0!</v>
      </c>
      <c r="P96" s="105">
        <f t="shared" si="66"/>
        <v>0</v>
      </c>
      <c r="Q96" s="105">
        <f t="shared" si="66"/>
        <v>5612</v>
      </c>
      <c r="R96" s="92" t="e">
        <f t="shared" si="61"/>
        <v>#DIV/0!</v>
      </c>
      <c r="S96" s="39"/>
      <c r="T96" s="39"/>
      <c r="U96" s="92" t="e">
        <f t="shared" si="62"/>
        <v>#DIV/0!</v>
      </c>
      <c r="V96" s="38">
        <f t="shared" si="67"/>
        <v>0</v>
      </c>
      <c r="W96" s="38">
        <f t="shared" si="67"/>
        <v>5612</v>
      </c>
      <c r="X96" s="92" t="e">
        <f t="shared" si="68"/>
        <v>#DIV/0!</v>
      </c>
      <c r="Y96" s="39">
        <v>2998</v>
      </c>
      <c r="Z96" s="39"/>
      <c r="AA96" s="92">
        <f t="shared" si="63"/>
        <v>-1</v>
      </c>
      <c r="AB96" s="39">
        <f t="shared" si="69"/>
        <v>2998</v>
      </c>
      <c r="AC96" s="39">
        <f t="shared" si="69"/>
        <v>5612</v>
      </c>
      <c r="AD96" s="92">
        <f t="shared" si="70"/>
        <v>0.87191460973982648</v>
      </c>
      <c r="AE96" s="39"/>
      <c r="AF96" s="39"/>
      <c r="AG96" s="92" t="e">
        <f t="shared" si="71"/>
        <v>#DIV/0!</v>
      </c>
      <c r="AH96" s="39">
        <f t="shared" si="72"/>
        <v>2998</v>
      </c>
      <c r="AI96" s="39">
        <f t="shared" si="72"/>
        <v>5612</v>
      </c>
      <c r="AJ96" s="92">
        <f t="shared" si="73"/>
        <v>0.87191460973982648</v>
      </c>
      <c r="AK96" s="38"/>
      <c r="AL96" s="38"/>
      <c r="AM96" s="92" t="e">
        <f t="shared" si="74"/>
        <v>#DIV/0!</v>
      </c>
      <c r="AN96" s="38">
        <f t="shared" si="75"/>
        <v>2998</v>
      </c>
      <c r="AO96" s="38">
        <f t="shared" si="75"/>
        <v>5612</v>
      </c>
      <c r="AP96" s="92">
        <f t="shared" si="76"/>
        <v>0.87191460973982648</v>
      </c>
      <c r="AQ96" s="39"/>
      <c r="AR96" s="39">
        <v>4354</v>
      </c>
      <c r="AS96" s="92" t="e">
        <f t="shared" si="64"/>
        <v>#DIV/0!</v>
      </c>
      <c r="AT96" s="39">
        <f t="shared" si="77"/>
        <v>2998</v>
      </c>
      <c r="AU96" s="39">
        <f t="shared" si="77"/>
        <v>9966</v>
      </c>
      <c r="AV96" s="92">
        <f t="shared" si="78"/>
        <v>2.3242161440960643</v>
      </c>
      <c r="AW96" s="39"/>
      <c r="AX96" s="39"/>
      <c r="AY96" s="92" t="e">
        <f t="shared" si="79"/>
        <v>#DIV/0!</v>
      </c>
      <c r="AZ96" s="39">
        <f t="shared" si="80"/>
        <v>2998</v>
      </c>
      <c r="BA96" s="39">
        <f t="shared" si="80"/>
        <v>9966</v>
      </c>
      <c r="BB96" s="92">
        <f t="shared" si="81"/>
        <v>2.3242161440960643</v>
      </c>
      <c r="BC96" s="38"/>
      <c r="BD96" s="38"/>
      <c r="BE96" s="92" t="e">
        <f t="shared" si="82"/>
        <v>#DIV/0!</v>
      </c>
      <c r="BF96" s="38">
        <f t="shared" si="83"/>
        <v>2998</v>
      </c>
      <c r="BG96" s="38">
        <f t="shared" si="83"/>
        <v>9966</v>
      </c>
      <c r="BH96" s="92">
        <f t="shared" si="84"/>
        <v>2.3242161440960643</v>
      </c>
      <c r="BI96" s="28">
        <v>2334</v>
      </c>
      <c r="BJ96" s="28">
        <v>2890</v>
      </c>
      <c r="BK96" s="28">
        <v>3100</v>
      </c>
      <c r="BL96" s="28">
        <v>11322</v>
      </c>
      <c r="BM96" s="29">
        <f t="shared" si="85"/>
        <v>0.19932</v>
      </c>
      <c r="BN96" s="40"/>
      <c r="BO96" s="40"/>
    </row>
    <row r="97" spans="1:67">
      <c r="A97" s="22" t="s">
        <v>164</v>
      </c>
      <c r="B97" s="78" t="s">
        <v>168</v>
      </c>
      <c r="C97" s="33" t="s">
        <v>198</v>
      </c>
      <c r="D97" s="114" t="s">
        <v>61</v>
      </c>
      <c r="E97" s="114" t="s">
        <v>61</v>
      </c>
      <c r="F97" s="33" t="s">
        <v>199</v>
      </c>
      <c r="G97" s="33" t="s">
        <v>199</v>
      </c>
      <c r="H97" s="39" t="s">
        <v>172</v>
      </c>
      <c r="I97" s="39">
        <v>30</v>
      </c>
      <c r="J97" s="22"/>
      <c r="K97" s="22"/>
      <c r="L97" s="92" t="e">
        <f t="shared" si="65"/>
        <v>#DIV/0!</v>
      </c>
      <c r="M97" s="105"/>
      <c r="N97" s="105"/>
      <c r="O97" s="92" t="e">
        <f t="shared" si="60"/>
        <v>#DIV/0!</v>
      </c>
      <c r="P97" s="105">
        <f t="shared" si="66"/>
        <v>0</v>
      </c>
      <c r="Q97" s="105">
        <f t="shared" si="66"/>
        <v>0</v>
      </c>
      <c r="R97" s="92" t="e">
        <f t="shared" si="61"/>
        <v>#DIV/0!</v>
      </c>
      <c r="S97" s="39"/>
      <c r="T97" s="39"/>
      <c r="U97" s="92" t="e">
        <f t="shared" si="62"/>
        <v>#DIV/0!</v>
      </c>
      <c r="V97" s="38">
        <f t="shared" si="67"/>
        <v>0</v>
      </c>
      <c r="W97" s="38">
        <f t="shared" si="67"/>
        <v>0</v>
      </c>
      <c r="X97" s="92" t="e">
        <f t="shared" si="68"/>
        <v>#DIV/0!</v>
      </c>
      <c r="Y97" s="39">
        <v>20000</v>
      </c>
      <c r="Z97" s="39"/>
      <c r="AA97" s="92">
        <f t="shared" si="63"/>
        <v>-1</v>
      </c>
      <c r="AB97" s="39">
        <f t="shared" si="69"/>
        <v>20000</v>
      </c>
      <c r="AC97" s="39">
        <f t="shared" si="69"/>
        <v>0</v>
      </c>
      <c r="AD97" s="92">
        <f t="shared" si="70"/>
        <v>-1</v>
      </c>
      <c r="AE97" s="39"/>
      <c r="AF97" s="39"/>
      <c r="AG97" s="92" t="e">
        <f t="shared" si="71"/>
        <v>#DIV/0!</v>
      </c>
      <c r="AH97" s="39">
        <f t="shared" si="72"/>
        <v>20000</v>
      </c>
      <c r="AI97" s="39">
        <f t="shared" si="72"/>
        <v>0</v>
      </c>
      <c r="AJ97" s="92">
        <f t="shared" si="73"/>
        <v>-1</v>
      </c>
      <c r="AK97" s="38"/>
      <c r="AL97" s="38"/>
      <c r="AM97" s="92" t="e">
        <f t="shared" si="74"/>
        <v>#DIV/0!</v>
      </c>
      <c r="AN97" s="38">
        <f t="shared" si="75"/>
        <v>20000</v>
      </c>
      <c r="AO97" s="38">
        <f t="shared" si="75"/>
        <v>0</v>
      </c>
      <c r="AP97" s="92">
        <f t="shared" si="76"/>
        <v>-1</v>
      </c>
      <c r="AQ97" s="39">
        <v>10000</v>
      </c>
      <c r="AR97" s="39"/>
      <c r="AS97" s="92">
        <f t="shared" si="64"/>
        <v>-1</v>
      </c>
      <c r="AT97" s="39">
        <f t="shared" si="77"/>
        <v>30000</v>
      </c>
      <c r="AU97" s="39">
        <f t="shared" si="77"/>
        <v>0</v>
      </c>
      <c r="AV97" s="92">
        <f t="shared" si="78"/>
        <v>-1</v>
      </c>
      <c r="AW97" s="39"/>
      <c r="AX97" s="39"/>
      <c r="AY97" s="92" t="e">
        <f t="shared" si="79"/>
        <v>#DIV/0!</v>
      </c>
      <c r="AZ97" s="39">
        <f t="shared" si="80"/>
        <v>30000</v>
      </c>
      <c r="BA97" s="39">
        <f t="shared" si="80"/>
        <v>0</v>
      </c>
      <c r="BB97" s="92">
        <f t="shared" si="81"/>
        <v>-1</v>
      </c>
      <c r="BC97" s="38"/>
      <c r="BD97" s="38"/>
      <c r="BE97" s="92" t="e">
        <f t="shared" si="82"/>
        <v>#DIV/0!</v>
      </c>
      <c r="BF97" s="38">
        <f t="shared" si="83"/>
        <v>30000</v>
      </c>
      <c r="BG97" s="38">
        <f t="shared" si="83"/>
        <v>0</v>
      </c>
      <c r="BH97" s="92">
        <f t="shared" si="84"/>
        <v>-1</v>
      </c>
      <c r="BI97" s="28"/>
      <c r="BJ97" s="28"/>
      <c r="BK97" s="28"/>
      <c r="BL97" s="28">
        <v>30000</v>
      </c>
      <c r="BM97" s="29">
        <f t="shared" si="85"/>
        <v>0</v>
      </c>
      <c r="BN97" s="40"/>
      <c r="BO97" s="40"/>
    </row>
    <row r="98" spans="1:67">
      <c r="A98" s="22" t="s">
        <v>164</v>
      </c>
      <c r="B98" s="78" t="s">
        <v>164</v>
      </c>
      <c r="C98" s="33" t="s">
        <v>200</v>
      </c>
      <c r="D98" s="114" t="s">
        <v>61</v>
      </c>
      <c r="E98" s="114" t="s">
        <v>61</v>
      </c>
      <c r="F98" s="33" t="s">
        <v>174</v>
      </c>
      <c r="G98" s="33" t="s">
        <v>177</v>
      </c>
      <c r="H98" s="39" t="s">
        <v>175</v>
      </c>
      <c r="I98" s="39">
        <v>10</v>
      </c>
      <c r="J98" s="22"/>
      <c r="K98" s="22">
        <v>840</v>
      </c>
      <c r="L98" s="92" t="e">
        <f t="shared" si="65"/>
        <v>#DIV/0!</v>
      </c>
      <c r="M98" s="105"/>
      <c r="N98" s="105">
        <v>10504</v>
      </c>
      <c r="O98" s="92" t="e">
        <f t="shared" si="60"/>
        <v>#DIV/0!</v>
      </c>
      <c r="P98" s="105">
        <f t="shared" si="66"/>
        <v>0</v>
      </c>
      <c r="Q98" s="105">
        <f t="shared" si="66"/>
        <v>11344</v>
      </c>
      <c r="R98" s="92" t="e">
        <f t="shared" si="61"/>
        <v>#DIV/0!</v>
      </c>
      <c r="S98" s="39"/>
      <c r="T98" s="39">
        <v>3070</v>
      </c>
      <c r="U98" s="92" t="e">
        <f t="shared" si="62"/>
        <v>#DIV/0!</v>
      </c>
      <c r="V98" s="38">
        <f t="shared" si="67"/>
        <v>0</v>
      </c>
      <c r="W98" s="38">
        <f t="shared" si="67"/>
        <v>14414</v>
      </c>
      <c r="X98" s="92" t="e">
        <f t="shared" si="68"/>
        <v>#DIV/0!</v>
      </c>
      <c r="Y98" s="39">
        <v>1810</v>
      </c>
      <c r="Z98" s="39"/>
      <c r="AA98" s="92">
        <f t="shared" si="63"/>
        <v>-1</v>
      </c>
      <c r="AB98" s="39">
        <f t="shared" si="69"/>
        <v>1810</v>
      </c>
      <c r="AC98" s="39">
        <f t="shared" si="69"/>
        <v>14414</v>
      </c>
      <c r="AD98" s="92">
        <f t="shared" si="70"/>
        <v>6.96353591160221</v>
      </c>
      <c r="AE98" s="39">
        <v>4787</v>
      </c>
      <c r="AF98" s="39"/>
      <c r="AG98" s="92">
        <f t="shared" si="71"/>
        <v>-1</v>
      </c>
      <c r="AH98" s="39">
        <f t="shared" si="72"/>
        <v>6597</v>
      </c>
      <c r="AI98" s="39">
        <f t="shared" si="72"/>
        <v>14414</v>
      </c>
      <c r="AJ98" s="92">
        <f t="shared" si="73"/>
        <v>1.184932545096256</v>
      </c>
      <c r="AK98" s="38">
        <v>8454</v>
      </c>
      <c r="AL98" s="38"/>
      <c r="AM98" s="92">
        <f t="shared" si="74"/>
        <v>-1</v>
      </c>
      <c r="AN98" s="38">
        <f t="shared" si="75"/>
        <v>15051</v>
      </c>
      <c r="AO98" s="38">
        <f t="shared" si="75"/>
        <v>14414</v>
      </c>
      <c r="AP98" s="92">
        <f t="shared" si="76"/>
        <v>-4.2322769251212589E-2</v>
      </c>
      <c r="AQ98" s="39"/>
      <c r="AR98" s="39"/>
      <c r="AS98" s="92" t="e">
        <f t="shared" si="64"/>
        <v>#DIV/0!</v>
      </c>
      <c r="AT98" s="39">
        <f t="shared" si="77"/>
        <v>15051</v>
      </c>
      <c r="AU98" s="39">
        <f t="shared" si="77"/>
        <v>14414</v>
      </c>
      <c r="AV98" s="92">
        <f t="shared" si="78"/>
        <v>-4.2322769251212589E-2</v>
      </c>
      <c r="AW98" s="39">
        <v>2987</v>
      </c>
      <c r="AX98" s="39"/>
      <c r="AY98" s="92">
        <f t="shared" si="79"/>
        <v>-1</v>
      </c>
      <c r="AZ98" s="39">
        <f t="shared" si="80"/>
        <v>18038</v>
      </c>
      <c r="BA98" s="39">
        <f t="shared" si="80"/>
        <v>14414</v>
      </c>
      <c r="BB98" s="92">
        <f t="shared" si="81"/>
        <v>-0.20090919170639765</v>
      </c>
      <c r="BC98" s="38"/>
      <c r="BD98" s="38">
        <v>2452</v>
      </c>
      <c r="BE98" s="92" t="e">
        <f t="shared" si="82"/>
        <v>#DIV/0!</v>
      </c>
      <c r="BF98" s="38">
        <f t="shared" si="83"/>
        <v>18038</v>
      </c>
      <c r="BG98" s="38">
        <f t="shared" si="83"/>
        <v>16866</v>
      </c>
      <c r="BH98" s="92">
        <f t="shared" si="84"/>
        <v>-6.4973943896219133E-2</v>
      </c>
      <c r="BI98" s="28">
        <v>6500</v>
      </c>
      <c r="BJ98" s="28">
        <v>18255</v>
      </c>
      <c r="BK98" s="28">
        <v>22290</v>
      </c>
      <c r="BL98" s="28">
        <v>65083</v>
      </c>
      <c r="BM98" s="29">
        <f t="shared" si="85"/>
        <v>0.16866</v>
      </c>
      <c r="BN98" s="40"/>
      <c r="BO98" s="40"/>
    </row>
    <row r="99" spans="1:67">
      <c r="A99" s="22" t="s">
        <v>164</v>
      </c>
      <c r="B99" s="78" t="s">
        <v>164</v>
      </c>
      <c r="C99" s="33" t="s">
        <v>201</v>
      </c>
      <c r="D99" s="114" t="s">
        <v>61</v>
      </c>
      <c r="E99" s="114" t="s">
        <v>61</v>
      </c>
      <c r="F99" s="33" t="s">
        <v>184</v>
      </c>
      <c r="G99" s="33" t="s">
        <v>184</v>
      </c>
      <c r="H99" s="39" t="s">
        <v>175</v>
      </c>
      <c r="I99" s="39"/>
      <c r="J99" s="22"/>
      <c r="K99" s="22"/>
      <c r="L99" s="92" t="e">
        <f t="shared" si="65"/>
        <v>#DIV/0!</v>
      </c>
      <c r="M99" s="105"/>
      <c r="N99" s="105"/>
      <c r="O99" s="92" t="e">
        <f t="shared" si="60"/>
        <v>#DIV/0!</v>
      </c>
      <c r="P99" s="105">
        <f t="shared" si="66"/>
        <v>0</v>
      </c>
      <c r="Q99" s="105">
        <f t="shared" si="66"/>
        <v>0</v>
      </c>
      <c r="R99" s="92" t="e">
        <f t="shared" si="61"/>
        <v>#DIV/0!</v>
      </c>
      <c r="S99" s="39"/>
      <c r="T99" s="39"/>
      <c r="U99" s="92" t="e">
        <f t="shared" si="62"/>
        <v>#DIV/0!</v>
      </c>
      <c r="V99" s="38">
        <f t="shared" si="67"/>
        <v>0</v>
      </c>
      <c r="W99" s="38">
        <f t="shared" si="67"/>
        <v>0</v>
      </c>
      <c r="X99" s="92" t="e">
        <f t="shared" si="68"/>
        <v>#DIV/0!</v>
      </c>
      <c r="Y99" s="39"/>
      <c r="Z99" s="39"/>
      <c r="AA99" s="92" t="e">
        <f t="shared" si="63"/>
        <v>#DIV/0!</v>
      </c>
      <c r="AB99" s="39">
        <f t="shared" si="69"/>
        <v>0</v>
      </c>
      <c r="AC99" s="39">
        <f t="shared" si="69"/>
        <v>0</v>
      </c>
      <c r="AD99" s="92" t="e">
        <f t="shared" si="70"/>
        <v>#DIV/0!</v>
      </c>
      <c r="AE99" s="39">
        <v>30000</v>
      </c>
      <c r="AF99" s="39"/>
      <c r="AG99" s="92">
        <f t="shared" si="71"/>
        <v>-1</v>
      </c>
      <c r="AH99" s="39">
        <f t="shared" si="72"/>
        <v>30000</v>
      </c>
      <c r="AI99" s="39">
        <f t="shared" si="72"/>
        <v>0</v>
      </c>
      <c r="AJ99" s="92">
        <f t="shared" si="73"/>
        <v>-1</v>
      </c>
      <c r="AK99" s="38"/>
      <c r="AL99" s="38"/>
      <c r="AM99" s="92" t="e">
        <f t="shared" si="74"/>
        <v>#DIV/0!</v>
      </c>
      <c r="AN99" s="38">
        <f t="shared" si="75"/>
        <v>30000</v>
      </c>
      <c r="AO99" s="38">
        <f t="shared" si="75"/>
        <v>0</v>
      </c>
      <c r="AP99" s="92">
        <f t="shared" si="76"/>
        <v>-1</v>
      </c>
      <c r="AQ99" s="39"/>
      <c r="AR99" s="39"/>
      <c r="AS99" s="92" t="e">
        <f t="shared" si="64"/>
        <v>#DIV/0!</v>
      </c>
      <c r="AT99" s="39">
        <f t="shared" si="77"/>
        <v>30000</v>
      </c>
      <c r="AU99" s="39">
        <f t="shared" si="77"/>
        <v>0</v>
      </c>
      <c r="AV99" s="92">
        <f t="shared" si="78"/>
        <v>-1</v>
      </c>
      <c r="AW99" s="39"/>
      <c r="AX99" s="39"/>
      <c r="AY99" s="92" t="e">
        <f t="shared" si="79"/>
        <v>#DIV/0!</v>
      </c>
      <c r="AZ99" s="39">
        <f t="shared" si="80"/>
        <v>30000</v>
      </c>
      <c r="BA99" s="39">
        <f t="shared" si="80"/>
        <v>0</v>
      </c>
      <c r="BB99" s="92">
        <f t="shared" si="81"/>
        <v>-1</v>
      </c>
      <c r="BC99" s="38"/>
      <c r="BD99" s="38"/>
      <c r="BE99" s="92" t="e">
        <f t="shared" si="82"/>
        <v>#DIV/0!</v>
      </c>
      <c r="BF99" s="38">
        <f t="shared" si="83"/>
        <v>30000</v>
      </c>
      <c r="BG99" s="38">
        <f t="shared" si="83"/>
        <v>0</v>
      </c>
      <c r="BH99" s="92">
        <f t="shared" si="84"/>
        <v>-1</v>
      </c>
      <c r="BI99" s="28"/>
      <c r="BJ99" s="28"/>
      <c r="BK99" s="28">
        <v>3658</v>
      </c>
      <c r="BL99" s="28">
        <v>33658</v>
      </c>
      <c r="BM99" s="29" t="e">
        <f t="shared" si="85"/>
        <v>#DIV/0!</v>
      </c>
      <c r="BN99" s="40"/>
      <c r="BO99" s="40"/>
    </row>
    <row r="100" spans="1:67">
      <c r="A100" s="22" t="s">
        <v>164</v>
      </c>
      <c r="B100" s="78" t="s">
        <v>164</v>
      </c>
      <c r="C100" s="33" t="s">
        <v>115</v>
      </c>
      <c r="D100" s="114" t="s">
        <v>114</v>
      </c>
      <c r="E100" s="114" t="s">
        <v>114</v>
      </c>
      <c r="F100" s="33" t="s">
        <v>174</v>
      </c>
      <c r="G100" s="33"/>
      <c r="H100" s="39" t="s">
        <v>175</v>
      </c>
      <c r="I100" s="39"/>
      <c r="J100" s="22"/>
      <c r="K100" s="22"/>
      <c r="L100" s="92" t="e">
        <f t="shared" si="65"/>
        <v>#DIV/0!</v>
      </c>
      <c r="M100" s="105"/>
      <c r="N100" s="105"/>
      <c r="O100" s="92" t="e">
        <f t="shared" si="60"/>
        <v>#DIV/0!</v>
      </c>
      <c r="P100" s="105">
        <f t="shared" si="66"/>
        <v>0</v>
      </c>
      <c r="Q100" s="105">
        <f t="shared" si="66"/>
        <v>0</v>
      </c>
      <c r="R100" s="92" t="e">
        <f t="shared" si="61"/>
        <v>#DIV/0!</v>
      </c>
      <c r="S100" s="39"/>
      <c r="T100" s="39">
        <v>1732</v>
      </c>
      <c r="U100" s="92" t="e">
        <f t="shared" si="62"/>
        <v>#DIV/0!</v>
      </c>
      <c r="V100" s="38">
        <f t="shared" si="67"/>
        <v>0</v>
      </c>
      <c r="W100" s="38">
        <f t="shared" si="67"/>
        <v>1732</v>
      </c>
      <c r="X100" s="92" t="e">
        <f t="shared" si="68"/>
        <v>#DIV/0!</v>
      </c>
      <c r="Y100" s="39"/>
      <c r="Z100" s="39">
        <v>2701</v>
      </c>
      <c r="AA100" s="92" t="e">
        <f t="shared" si="63"/>
        <v>#DIV/0!</v>
      </c>
      <c r="AB100" s="39">
        <f t="shared" si="69"/>
        <v>0</v>
      </c>
      <c r="AC100" s="39">
        <f t="shared" si="69"/>
        <v>4433</v>
      </c>
      <c r="AD100" s="92" t="e">
        <f t="shared" si="70"/>
        <v>#DIV/0!</v>
      </c>
      <c r="AE100" s="39"/>
      <c r="AF100" s="39"/>
      <c r="AG100" s="92" t="e">
        <f t="shared" si="71"/>
        <v>#DIV/0!</v>
      </c>
      <c r="AH100" s="39">
        <f t="shared" si="72"/>
        <v>0</v>
      </c>
      <c r="AI100" s="39">
        <f t="shared" si="72"/>
        <v>4433</v>
      </c>
      <c r="AJ100" s="92" t="e">
        <f t="shared" si="73"/>
        <v>#DIV/0!</v>
      </c>
      <c r="AK100" s="38"/>
      <c r="AL100" s="38"/>
      <c r="AM100" s="92" t="e">
        <f t="shared" si="74"/>
        <v>#DIV/0!</v>
      </c>
      <c r="AN100" s="38">
        <f t="shared" si="75"/>
        <v>0</v>
      </c>
      <c r="AO100" s="38">
        <f t="shared" si="75"/>
        <v>4433</v>
      </c>
      <c r="AP100" s="92" t="e">
        <f t="shared" si="76"/>
        <v>#DIV/0!</v>
      </c>
      <c r="AQ100" s="39"/>
      <c r="AR100" s="39"/>
      <c r="AS100" s="92" t="e">
        <f t="shared" si="64"/>
        <v>#DIV/0!</v>
      </c>
      <c r="AT100" s="39">
        <f t="shared" si="77"/>
        <v>0</v>
      </c>
      <c r="AU100" s="39">
        <f t="shared" si="77"/>
        <v>4433</v>
      </c>
      <c r="AV100" s="92" t="e">
        <f t="shared" si="78"/>
        <v>#DIV/0!</v>
      </c>
      <c r="AW100" s="39">
        <v>5806.24</v>
      </c>
      <c r="AX100" s="39">
        <v>433</v>
      </c>
      <c r="AY100" s="92">
        <f t="shared" si="79"/>
        <v>-0.9254250599355176</v>
      </c>
      <c r="AZ100" s="39">
        <f t="shared" si="80"/>
        <v>5806.24</v>
      </c>
      <c r="BA100" s="39">
        <f t="shared" si="80"/>
        <v>4866</v>
      </c>
      <c r="BB100" s="92">
        <f t="shared" si="81"/>
        <v>-0.16193612389429302</v>
      </c>
      <c r="BC100" s="38">
        <v>5640</v>
      </c>
      <c r="BD100" s="38"/>
      <c r="BE100" s="92">
        <f t="shared" si="82"/>
        <v>-1</v>
      </c>
      <c r="BF100" s="38">
        <f t="shared" si="83"/>
        <v>11446.24</v>
      </c>
      <c r="BG100" s="38">
        <f t="shared" si="83"/>
        <v>4866</v>
      </c>
      <c r="BH100" s="92">
        <f t="shared" si="84"/>
        <v>-0.57488223206922096</v>
      </c>
      <c r="BI100" s="28">
        <v>2295</v>
      </c>
      <c r="BJ100" s="28">
        <v>5066</v>
      </c>
      <c r="BK100" s="28"/>
      <c r="BL100" s="28">
        <v>18807.240000000002</v>
      </c>
      <c r="BM100" s="29" t="e">
        <f t="shared" si="85"/>
        <v>#DIV/0!</v>
      </c>
      <c r="BN100" s="40"/>
      <c r="BO100" s="40"/>
    </row>
    <row r="101" spans="1:67">
      <c r="A101" s="22" t="s">
        <v>164</v>
      </c>
      <c r="B101" s="78" t="s">
        <v>164</v>
      </c>
      <c r="C101" s="33" t="s">
        <v>119</v>
      </c>
      <c r="D101" s="114" t="s">
        <v>61</v>
      </c>
      <c r="E101" s="114" t="s">
        <v>61</v>
      </c>
      <c r="F101" s="33" t="s">
        <v>174</v>
      </c>
      <c r="G101" s="33"/>
      <c r="H101" s="39" t="s">
        <v>175</v>
      </c>
      <c r="I101" s="39"/>
      <c r="J101" s="22"/>
      <c r="K101" s="22"/>
      <c r="L101" s="92" t="e">
        <f t="shared" si="65"/>
        <v>#DIV/0!</v>
      </c>
      <c r="M101" s="105"/>
      <c r="N101" s="105">
        <v>12400.68</v>
      </c>
      <c r="O101" s="92" t="e">
        <f t="shared" si="60"/>
        <v>#DIV/0!</v>
      </c>
      <c r="P101" s="105">
        <f t="shared" si="66"/>
        <v>0</v>
      </c>
      <c r="Q101" s="105">
        <f t="shared" si="66"/>
        <v>12400.68</v>
      </c>
      <c r="R101" s="92" t="e">
        <f t="shared" si="61"/>
        <v>#DIV/0!</v>
      </c>
      <c r="S101" s="39"/>
      <c r="T101" s="39">
        <v>3939.44</v>
      </c>
      <c r="U101" s="92" t="e">
        <f t="shared" si="62"/>
        <v>#DIV/0!</v>
      </c>
      <c r="V101" s="38">
        <f t="shared" si="67"/>
        <v>0</v>
      </c>
      <c r="W101" s="38">
        <f t="shared" si="67"/>
        <v>16340.12</v>
      </c>
      <c r="X101" s="92" t="e">
        <f t="shared" si="68"/>
        <v>#DIV/0!</v>
      </c>
      <c r="Y101" s="39"/>
      <c r="Z101" s="39"/>
      <c r="AA101" s="92" t="e">
        <f t="shared" si="63"/>
        <v>#DIV/0!</v>
      </c>
      <c r="AB101" s="39">
        <f t="shared" si="69"/>
        <v>0</v>
      </c>
      <c r="AC101" s="39">
        <f t="shared" si="69"/>
        <v>16340.12</v>
      </c>
      <c r="AD101" s="92" t="e">
        <f t="shared" si="70"/>
        <v>#DIV/0!</v>
      </c>
      <c r="AE101" s="39"/>
      <c r="AF101" s="39"/>
      <c r="AG101" s="92" t="e">
        <f t="shared" si="71"/>
        <v>#DIV/0!</v>
      </c>
      <c r="AH101" s="39">
        <f t="shared" si="72"/>
        <v>0</v>
      </c>
      <c r="AI101" s="39">
        <f t="shared" si="72"/>
        <v>16340.12</v>
      </c>
      <c r="AJ101" s="92" t="e">
        <f t="shared" si="73"/>
        <v>#DIV/0!</v>
      </c>
      <c r="AK101" s="38"/>
      <c r="AL101" s="38"/>
      <c r="AM101" s="92" t="e">
        <f t="shared" si="74"/>
        <v>#DIV/0!</v>
      </c>
      <c r="AN101" s="38">
        <f t="shared" si="75"/>
        <v>0</v>
      </c>
      <c r="AO101" s="38">
        <f t="shared" si="75"/>
        <v>16340.12</v>
      </c>
      <c r="AP101" s="92" t="e">
        <f t="shared" si="76"/>
        <v>#DIV/0!</v>
      </c>
      <c r="AQ101" s="39"/>
      <c r="AR101" s="39"/>
      <c r="AS101" s="92" t="e">
        <f t="shared" si="64"/>
        <v>#DIV/0!</v>
      </c>
      <c r="AT101" s="39">
        <f t="shared" si="77"/>
        <v>0</v>
      </c>
      <c r="AU101" s="39">
        <f t="shared" si="77"/>
        <v>16340.12</v>
      </c>
      <c r="AV101" s="92" t="e">
        <f t="shared" si="78"/>
        <v>#DIV/0!</v>
      </c>
      <c r="AW101" s="39">
        <v>662.33</v>
      </c>
      <c r="AX101" s="39"/>
      <c r="AY101" s="92">
        <f t="shared" si="79"/>
        <v>-1</v>
      </c>
      <c r="AZ101" s="39">
        <f t="shared" si="80"/>
        <v>662.33</v>
      </c>
      <c r="BA101" s="39">
        <f t="shared" si="80"/>
        <v>16340.12</v>
      </c>
      <c r="BB101" s="92">
        <f t="shared" si="81"/>
        <v>23.670662660607249</v>
      </c>
      <c r="BC101" s="38">
        <v>10457.719999999999</v>
      </c>
      <c r="BD101" s="38">
        <v>5675.48</v>
      </c>
      <c r="BE101" s="92">
        <f t="shared" si="82"/>
        <v>-0.45729279422283253</v>
      </c>
      <c r="BF101" s="38">
        <f t="shared" si="83"/>
        <v>11120.05</v>
      </c>
      <c r="BG101" s="38">
        <f t="shared" si="83"/>
        <v>22015.599999999999</v>
      </c>
      <c r="BH101" s="92">
        <f t="shared" si="84"/>
        <v>0.97981124185592683</v>
      </c>
      <c r="BI101" s="28">
        <v>1246.5999999999999</v>
      </c>
      <c r="BJ101" s="28"/>
      <c r="BK101" s="28"/>
      <c r="BL101" s="28">
        <v>12366.65</v>
      </c>
      <c r="BM101" s="29" t="e">
        <f t="shared" si="85"/>
        <v>#DIV/0!</v>
      </c>
      <c r="BN101" s="40"/>
      <c r="BO101" s="40"/>
    </row>
    <row r="102" spans="1:67">
      <c r="A102" s="22" t="s">
        <v>164</v>
      </c>
      <c r="B102" s="78" t="s">
        <v>168</v>
      </c>
      <c r="C102" s="33" t="s">
        <v>202</v>
      </c>
      <c r="D102" s="114" t="s">
        <v>61</v>
      </c>
      <c r="E102" s="114" t="s">
        <v>61</v>
      </c>
      <c r="F102" s="33" t="s">
        <v>170</v>
      </c>
      <c r="G102" s="33" t="s">
        <v>180</v>
      </c>
      <c r="H102" s="39" t="s">
        <v>172</v>
      </c>
      <c r="I102" s="39"/>
      <c r="J102" s="22"/>
      <c r="K102" s="22">
        <v>5688</v>
      </c>
      <c r="L102" s="92" t="e">
        <f t="shared" si="65"/>
        <v>#DIV/0!</v>
      </c>
      <c r="M102" s="105"/>
      <c r="N102" s="105"/>
      <c r="O102" s="92" t="e">
        <f t="shared" si="60"/>
        <v>#DIV/0!</v>
      </c>
      <c r="P102" s="105">
        <f t="shared" si="66"/>
        <v>0</v>
      </c>
      <c r="Q102" s="105">
        <f t="shared" si="66"/>
        <v>5688</v>
      </c>
      <c r="R102" s="92" t="e">
        <f t="shared" si="61"/>
        <v>#DIV/0!</v>
      </c>
      <c r="S102" s="39"/>
      <c r="T102" s="39">
        <v>2300</v>
      </c>
      <c r="U102" s="92" t="e">
        <f t="shared" si="62"/>
        <v>#DIV/0!</v>
      </c>
      <c r="V102" s="38">
        <f t="shared" si="67"/>
        <v>0</v>
      </c>
      <c r="W102" s="38">
        <f t="shared" si="67"/>
        <v>7988</v>
      </c>
      <c r="X102" s="92" t="e">
        <f t="shared" si="68"/>
        <v>#DIV/0!</v>
      </c>
      <c r="Y102" s="39"/>
      <c r="Z102" s="39"/>
      <c r="AA102" s="92" t="e">
        <f t="shared" si="63"/>
        <v>#DIV/0!</v>
      </c>
      <c r="AB102" s="39">
        <f t="shared" si="69"/>
        <v>0</v>
      </c>
      <c r="AC102" s="39">
        <f t="shared" si="69"/>
        <v>7988</v>
      </c>
      <c r="AD102" s="92" t="e">
        <f t="shared" si="70"/>
        <v>#DIV/0!</v>
      </c>
      <c r="AE102" s="39"/>
      <c r="AF102" s="39"/>
      <c r="AG102" s="92" t="e">
        <f t="shared" si="71"/>
        <v>#DIV/0!</v>
      </c>
      <c r="AH102" s="39">
        <f t="shared" si="72"/>
        <v>0</v>
      </c>
      <c r="AI102" s="39">
        <f t="shared" si="72"/>
        <v>7988</v>
      </c>
      <c r="AJ102" s="92" t="e">
        <f t="shared" si="73"/>
        <v>#DIV/0!</v>
      </c>
      <c r="AK102" s="38"/>
      <c r="AL102" s="38"/>
      <c r="AM102" s="92" t="e">
        <f t="shared" si="74"/>
        <v>#DIV/0!</v>
      </c>
      <c r="AN102" s="38">
        <f t="shared" si="75"/>
        <v>0</v>
      </c>
      <c r="AO102" s="38">
        <f t="shared" si="75"/>
        <v>7988</v>
      </c>
      <c r="AP102" s="92" t="e">
        <f t="shared" si="76"/>
        <v>#DIV/0!</v>
      </c>
      <c r="AQ102" s="39"/>
      <c r="AR102" s="39"/>
      <c r="AS102" s="92" t="e">
        <f t="shared" si="64"/>
        <v>#DIV/0!</v>
      </c>
      <c r="AT102" s="39">
        <f t="shared" si="77"/>
        <v>0</v>
      </c>
      <c r="AU102" s="39">
        <f t="shared" si="77"/>
        <v>7988</v>
      </c>
      <c r="AV102" s="92" t="e">
        <f t="shared" si="78"/>
        <v>#DIV/0!</v>
      </c>
      <c r="AW102" s="39"/>
      <c r="AX102" s="39"/>
      <c r="AY102" s="92" t="e">
        <f t="shared" si="79"/>
        <v>#DIV/0!</v>
      </c>
      <c r="AZ102" s="39">
        <f t="shared" si="80"/>
        <v>0</v>
      </c>
      <c r="BA102" s="39">
        <f t="shared" si="80"/>
        <v>7988</v>
      </c>
      <c r="BB102" s="92" t="e">
        <f t="shared" si="81"/>
        <v>#DIV/0!</v>
      </c>
      <c r="BC102" s="38"/>
      <c r="BD102" s="38"/>
      <c r="BE102" s="92" t="e">
        <f t="shared" si="82"/>
        <v>#DIV/0!</v>
      </c>
      <c r="BF102" s="38">
        <f t="shared" si="83"/>
        <v>0</v>
      </c>
      <c r="BG102" s="38">
        <f t="shared" si="83"/>
        <v>7988</v>
      </c>
      <c r="BH102" s="92" t="e">
        <f t="shared" si="84"/>
        <v>#DIV/0!</v>
      </c>
      <c r="BI102" s="28"/>
      <c r="BJ102" s="28">
        <v>4405</v>
      </c>
      <c r="BK102" s="28"/>
      <c r="BL102" s="28">
        <v>4405</v>
      </c>
      <c r="BM102" s="29" t="e">
        <f t="shared" si="85"/>
        <v>#DIV/0!</v>
      </c>
      <c r="BN102" s="40"/>
      <c r="BO102" s="40"/>
    </row>
    <row r="103" spans="1:67">
      <c r="A103" s="22" t="s">
        <v>164</v>
      </c>
      <c r="B103" s="78" t="s">
        <v>164</v>
      </c>
      <c r="C103" s="33" t="s">
        <v>203</v>
      </c>
      <c r="D103" s="114" t="s">
        <v>61</v>
      </c>
      <c r="E103" s="114" t="s">
        <v>61</v>
      </c>
      <c r="F103" s="33" t="s">
        <v>174</v>
      </c>
      <c r="G103" s="33" t="s">
        <v>195</v>
      </c>
      <c r="H103" s="39" t="s">
        <v>175</v>
      </c>
      <c r="I103" s="39"/>
      <c r="J103" s="22"/>
      <c r="K103" s="22"/>
      <c r="L103" s="92" t="e">
        <f t="shared" si="65"/>
        <v>#DIV/0!</v>
      </c>
      <c r="M103" s="105"/>
      <c r="N103" s="105"/>
      <c r="O103" s="92" t="e">
        <f t="shared" si="60"/>
        <v>#DIV/0!</v>
      </c>
      <c r="P103" s="105">
        <f t="shared" si="66"/>
        <v>0</v>
      </c>
      <c r="Q103" s="105">
        <f t="shared" si="66"/>
        <v>0</v>
      </c>
      <c r="R103" s="92" t="e">
        <f t="shared" si="61"/>
        <v>#DIV/0!</v>
      </c>
      <c r="S103" s="39"/>
      <c r="T103" s="39"/>
      <c r="U103" s="92" t="e">
        <f t="shared" si="62"/>
        <v>#DIV/0!</v>
      </c>
      <c r="V103" s="38">
        <f t="shared" si="67"/>
        <v>0</v>
      </c>
      <c r="W103" s="38">
        <f t="shared" si="67"/>
        <v>0</v>
      </c>
      <c r="X103" s="92" t="e">
        <f t="shared" si="68"/>
        <v>#DIV/0!</v>
      </c>
      <c r="Y103" s="39"/>
      <c r="Z103" s="39"/>
      <c r="AA103" s="92" t="e">
        <f t="shared" si="63"/>
        <v>#DIV/0!</v>
      </c>
      <c r="AB103" s="39">
        <f t="shared" si="69"/>
        <v>0</v>
      </c>
      <c r="AC103" s="39">
        <f t="shared" si="69"/>
        <v>0</v>
      </c>
      <c r="AD103" s="92" t="e">
        <f t="shared" si="70"/>
        <v>#DIV/0!</v>
      </c>
      <c r="AE103" s="39"/>
      <c r="AF103" s="39"/>
      <c r="AG103" s="92" t="e">
        <f t="shared" si="71"/>
        <v>#DIV/0!</v>
      </c>
      <c r="AH103" s="39">
        <f t="shared" si="72"/>
        <v>0</v>
      </c>
      <c r="AI103" s="39">
        <f t="shared" si="72"/>
        <v>0</v>
      </c>
      <c r="AJ103" s="92" t="e">
        <f t="shared" si="73"/>
        <v>#DIV/0!</v>
      </c>
      <c r="AK103" s="38"/>
      <c r="AL103" s="38"/>
      <c r="AM103" s="92" t="e">
        <f t="shared" si="74"/>
        <v>#DIV/0!</v>
      </c>
      <c r="AN103" s="38">
        <f t="shared" si="75"/>
        <v>0</v>
      </c>
      <c r="AO103" s="38">
        <f t="shared" si="75"/>
        <v>0</v>
      </c>
      <c r="AP103" s="92" t="e">
        <f t="shared" si="76"/>
        <v>#DIV/0!</v>
      </c>
      <c r="AQ103" s="39"/>
      <c r="AR103" s="39"/>
      <c r="AS103" s="92" t="e">
        <f t="shared" si="64"/>
        <v>#DIV/0!</v>
      </c>
      <c r="AT103" s="39">
        <f t="shared" si="77"/>
        <v>0</v>
      </c>
      <c r="AU103" s="39">
        <f t="shared" si="77"/>
        <v>0</v>
      </c>
      <c r="AV103" s="92" t="e">
        <f t="shared" si="78"/>
        <v>#DIV/0!</v>
      </c>
      <c r="AW103" s="39"/>
      <c r="AX103" s="39"/>
      <c r="AY103" s="92" t="e">
        <f t="shared" si="79"/>
        <v>#DIV/0!</v>
      </c>
      <c r="AZ103" s="39">
        <f t="shared" si="80"/>
        <v>0</v>
      </c>
      <c r="BA103" s="39">
        <f t="shared" si="80"/>
        <v>0</v>
      </c>
      <c r="BB103" s="92" t="e">
        <f t="shared" si="81"/>
        <v>#DIV/0!</v>
      </c>
      <c r="BC103" s="38"/>
      <c r="BD103" s="38"/>
      <c r="BE103" s="92" t="e">
        <f t="shared" si="82"/>
        <v>#DIV/0!</v>
      </c>
      <c r="BF103" s="38">
        <f t="shared" si="83"/>
        <v>0</v>
      </c>
      <c r="BG103" s="38">
        <f t="shared" si="83"/>
        <v>0</v>
      </c>
      <c r="BH103" s="92" t="e">
        <f t="shared" si="84"/>
        <v>#DIV/0!</v>
      </c>
      <c r="BI103" s="28">
        <v>10000</v>
      </c>
      <c r="BJ103" s="28"/>
      <c r="BK103" s="28"/>
      <c r="BL103" s="28">
        <v>10000</v>
      </c>
      <c r="BM103" s="29" t="e">
        <f t="shared" si="85"/>
        <v>#DIV/0!</v>
      </c>
      <c r="BN103" s="40"/>
      <c r="BO103" s="40"/>
    </row>
    <row r="104" spans="1:67">
      <c r="A104" s="22" t="s">
        <v>164</v>
      </c>
      <c r="B104" s="78" t="s">
        <v>164</v>
      </c>
      <c r="C104" s="41" t="s">
        <v>204</v>
      </c>
      <c r="D104" s="114" t="s">
        <v>61</v>
      </c>
      <c r="E104" s="114" t="s">
        <v>61</v>
      </c>
      <c r="F104" s="33" t="s">
        <v>174</v>
      </c>
      <c r="G104" s="33" t="s">
        <v>195</v>
      </c>
      <c r="H104" s="39" t="s">
        <v>175</v>
      </c>
      <c r="I104" s="39"/>
      <c r="J104" s="22"/>
      <c r="K104" s="22"/>
      <c r="L104" s="92"/>
      <c r="M104" s="105"/>
      <c r="N104" s="105"/>
      <c r="O104" s="92"/>
      <c r="P104" s="105"/>
      <c r="Q104" s="105"/>
      <c r="R104" s="92"/>
      <c r="S104" s="39"/>
      <c r="T104" s="39"/>
      <c r="U104" s="92"/>
      <c r="V104" s="38"/>
      <c r="W104" s="38"/>
      <c r="X104" s="92"/>
      <c r="Y104" s="39"/>
      <c r="Z104" s="39"/>
      <c r="AA104" s="92"/>
      <c r="AB104" s="39"/>
      <c r="AC104" s="39"/>
      <c r="AD104" s="92"/>
      <c r="AE104" s="39"/>
      <c r="AF104" s="39">
        <v>10781</v>
      </c>
      <c r="AG104" s="92" t="e">
        <f t="shared" si="71"/>
        <v>#DIV/0!</v>
      </c>
      <c r="AH104" s="39">
        <f t="shared" si="72"/>
        <v>0</v>
      </c>
      <c r="AI104" s="39">
        <f t="shared" si="72"/>
        <v>10781</v>
      </c>
      <c r="AJ104" s="92" t="e">
        <f t="shared" si="73"/>
        <v>#DIV/0!</v>
      </c>
      <c r="AK104" s="38"/>
      <c r="AL104" s="38">
        <v>11769</v>
      </c>
      <c r="AM104" s="92" t="e">
        <f t="shared" si="74"/>
        <v>#DIV/0!</v>
      </c>
      <c r="AN104" s="38">
        <f t="shared" si="75"/>
        <v>0</v>
      </c>
      <c r="AO104" s="38">
        <f t="shared" si="75"/>
        <v>22550</v>
      </c>
      <c r="AP104" s="92" t="e">
        <f t="shared" si="76"/>
        <v>#DIV/0!</v>
      </c>
      <c r="AQ104" s="39"/>
      <c r="AR104" s="39">
        <v>22469</v>
      </c>
      <c r="AS104" s="92" t="e">
        <f t="shared" si="64"/>
        <v>#DIV/0!</v>
      </c>
      <c r="AT104" s="39">
        <f t="shared" si="77"/>
        <v>0</v>
      </c>
      <c r="AU104" s="39">
        <f t="shared" si="77"/>
        <v>45019</v>
      </c>
      <c r="AV104" s="92" t="e">
        <f t="shared" si="78"/>
        <v>#DIV/0!</v>
      </c>
      <c r="AW104" s="39"/>
      <c r="AX104" s="39">
        <v>2200</v>
      </c>
      <c r="AY104" s="92" t="e">
        <f t="shared" si="79"/>
        <v>#DIV/0!</v>
      </c>
      <c r="AZ104" s="39">
        <f t="shared" si="80"/>
        <v>0</v>
      </c>
      <c r="BA104" s="39">
        <f t="shared" si="80"/>
        <v>47219</v>
      </c>
      <c r="BB104" s="92" t="e">
        <f t="shared" si="81"/>
        <v>#DIV/0!</v>
      </c>
      <c r="BC104" s="38"/>
      <c r="BD104" s="38">
        <v>19839</v>
      </c>
      <c r="BE104" s="92" t="e">
        <f t="shared" si="82"/>
        <v>#DIV/0!</v>
      </c>
      <c r="BF104" s="38">
        <f t="shared" si="83"/>
        <v>0</v>
      </c>
      <c r="BG104" s="38">
        <f t="shared" si="83"/>
        <v>67058</v>
      </c>
      <c r="BH104" s="92" t="e">
        <f t="shared" si="84"/>
        <v>#DIV/0!</v>
      </c>
      <c r="BI104" s="28"/>
      <c r="BJ104" s="28"/>
      <c r="BK104" s="28"/>
      <c r="BL104" s="28"/>
      <c r="BM104" s="29" t="e">
        <f t="shared" si="85"/>
        <v>#DIV/0!</v>
      </c>
      <c r="BN104" s="40"/>
      <c r="BO104" s="40"/>
    </row>
    <row r="105" spans="1:67">
      <c r="A105" s="22" t="s">
        <v>164</v>
      </c>
      <c r="B105" s="78" t="s">
        <v>164</v>
      </c>
      <c r="C105" s="41" t="s">
        <v>205</v>
      </c>
      <c r="D105" s="114" t="s">
        <v>61</v>
      </c>
      <c r="E105" s="114" t="s">
        <v>61</v>
      </c>
      <c r="F105" s="33" t="s">
        <v>166</v>
      </c>
      <c r="G105" s="33"/>
      <c r="H105" s="39" t="s">
        <v>167</v>
      </c>
      <c r="I105" s="39">
        <v>10</v>
      </c>
      <c r="J105" s="22"/>
      <c r="K105" s="22"/>
      <c r="L105" s="92"/>
      <c r="M105" s="105"/>
      <c r="N105" s="105"/>
      <c r="O105" s="92"/>
      <c r="P105" s="105"/>
      <c r="Q105" s="105"/>
      <c r="R105" s="92"/>
      <c r="S105" s="39"/>
      <c r="T105" s="39"/>
      <c r="U105" s="92"/>
      <c r="V105" s="38"/>
      <c r="W105" s="38"/>
      <c r="X105" s="92"/>
      <c r="Y105" s="39"/>
      <c r="Z105" s="39"/>
      <c r="AA105" s="92"/>
      <c r="AB105" s="39"/>
      <c r="AC105" s="39"/>
      <c r="AD105" s="92"/>
      <c r="AE105" s="39"/>
      <c r="AF105" s="39">
        <v>20000</v>
      </c>
      <c r="AG105" s="92" t="e">
        <f t="shared" si="71"/>
        <v>#DIV/0!</v>
      </c>
      <c r="AH105" s="39">
        <f t="shared" si="72"/>
        <v>0</v>
      </c>
      <c r="AI105" s="39">
        <f t="shared" si="72"/>
        <v>20000</v>
      </c>
      <c r="AJ105" s="92" t="e">
        <f t="shared" si="73"/>
        <v>#DIV/0!</v>
      </c>
      <c r="AK105" s="38"/>
      <c r="AL105" s="38"/>
      <c r="AM105" s="92" t="e">
        <f t="shared" si="74"/>
        <v>#DIV/0!</v>
      </c>
      <c r="AN105" s="38">
        <f t="shared" si="75"/>
        <v>0</v>
      </c>
      <c r="AO105" s="38">
        <f t="shared" si="75"/>
        <v>20000</v>
      </c>
      <c r="AP105" s="92" t="e">
        <f t="shared" si="76"/>
        <v>#DIV/0!</v>
      </c>
      <c r="AQ105" s="39"/>
      <c r="AR105" s="39"/>
      <c r="AS105" s="92" t="e">
        <f t="shared" si="64"/>
        <v>#DIV/0!</v>
      </c>
      <c r="AT105" s="39">
        <f t="shared" si="77"/>
        <v>0</v>
      </c>
      <c r="AU105" s="39">
        <f t="shared" si="77"/>
        <v>20000</v>
      </c>
      <c r="AV105" s="92" t="e">
        <f t="shared" si="78"/>
        <v>#DIV/0!</v>
      </c>
      <c r="AW105" s="39"/>
      <c r="AX105" s="39"/>
      <c r="AY105" s="92" t="e">
        <f t="shared" si="79"/>
        <v>#DIV/0!</v>
      </c>
      <c r="AZ105" s="39">
        <f t="shared" si="80"/>
        <v>0</v>
      </c>
      <c r="BA105" s="39">
        <f t="shared" si="80"/>
        <v>20000</v>
      </c>
      <c r="BB105" s="92" t="e">
        <f t="shared" si="81"/>
        <v>#DIV/0!</v>
      </c>
      <c r="BC105" s="38"/>
      <c r="BD105" s="38"/>
      <c r="BE105" s="92" t="e">
        <f t="shared" si="82"/>
        <v>#DIV/0!</v>
      </c>
      <c r="BF105" s="38">
        <f t="shared" si="83"/>
        <v>0</v>
      </c>
      <c r="BG105" s="38">
        <f t="shared" si="83"/>
        <v>20000</v>
      </c>
      <c r="BH105" s="92" t="e">
        <f t="shared" si="84"/>
        <v>#DIV/0!</v>
      </c>
      <c r="BI105" s="28"/>
      <c r="BJ105" s="28"/>
      <c r="BK105" s="28"/>
      <c r="BL105" s="28"/>
      <c r="BM105" s="29">
        <f t="shared" si="85"/>
        <v>0.2</v>
      </c>
      <c r="BN105" s="40"/>
      <c r="BO105" s="40"/>
    </row>
    <row r="106" spans="1:67" ht="15">
      <c r="A106" s="22" t="s">
        <v>164</v>
      </c>
      <c r="B106" s="78" t="s">
        <v>164</v>
      </c>
      <c r="C106" s="33" t="s">
        <v>206</v>
      </c>
      <c r="D106" s="114" t="s">
        <v>61</v>
      </c>
      <c r="E106" s="114" t="s">
        <v>61</v>
      </c>
      <c r="F106" s="33" t="s">
        <v>174</v>
      </c>
      <c r="G106" s="33"/>
      <c r="H106" s="39" t="s">
        <v>175</v>
      </c>
      <c r="I106" s="117">
        <v>10</v>
      </c>
      <c r="J106" s="22"/>
      <c r="K106" s="22">
        <v>4928</v>
      </c>
      <c r="L106" s="92" t="e">
        <f>K106/J106-1</f>
        <v>#DIV/0!</v>
      </c>
      <c r="M106" s="105"/>
      <c r="N106" s="105"/>
      <c r="O106" s="92" t="e">
        <f>N106/M106-1</f>
        <v>#DIV/0!</v>
      </c>
      <c r="P106" s="105">
        <f>M106+J106</f>
        <v>0</v>
      </c>
      <c r="Q106" s="105">
        <f>N106+K106</f>
        <v>4928</v>
      </c>
      <c r="R106" s="92" t="e">
        <f>Q106/P106-1</f>
        <v>#DIV/0!</v>
      </c>
      <c r="S106" s="39"/>
      <c r="T106" s="39">
        <v>22339</v>
      </c>
      <c r="U106" s="92" t="e">
        <f>T106/S106-1</f>
        <v>#DIV/0!</v>
      </c>
      <c r="V106" s="38">
        <f>S106+P106</f>
        <v>0</v>
      </c>
      <c r="W106" s="38">
        <f>T106+Q106</f>
        <v>27267</v>
      </c>
      <c r="X106" s="92" t="e">
        <f>W106/V106-1</f>
        <v>#DIV/0!</v>
      </c>
      <c r="Y106" s="39"/>
      <c r="Z106" s="39"/>
      <c r="AA106" s="92" t="e">
        <f>Z106/Y106-1</f>
        <v>#DIV/0!</v>
      </c>
      <c r="AB106" s="39">
        <f>Y106+V106</f>
        <v>0</v>
      </c>
      <c r="AC106" s="39">
        <f>Z106+W106</f>
        <v>27267</v>
      </c>
      <c r="AD106" s="92" t="e">
        <f>AC106/AB106-1</f>
        <v>#DIV/0!</v>
      </c>
      <c r="AE106" s="39"/>
      <c r="AF106" s="39"/>
      <c r="AG106" s="92" t="e">
        <f t="shared" si="71"/>
        <v>#DIV/0!</v>
      </c>
      <c r="AH106" s="39">
        <f t="shared" si="72"/>
        <v>0</v>
      </c>
      <c r="AI106" s="39">
        <f t="shared" si="72"/>
        <v>27267</v>
      </c>
      <c r="AJ106" s="92" t="e">
        <f t="shared" si="73"/>
        <v>#DIV/0!</v>
      </c>
      <c r="AK106" s="38"/>
      <c r="AL106" s="38"/>
      <c r="AM106" s="92" t="e">
        <f t="shared" si="74"/>
        <v>#DIV/0!</v>
      </c>
      <c r="AN106" s="38">
        <f t="shared" si="75"/>
        <v>0</v>
      </c>
      <c r="AO106" s="38">
        <f t="shared" si="75"/>
        <v>27267</v>
      </c>
      <c r="AP106" s="92" t="e">
        <f t="shared" si="76"/>
        <v>#DIV/0!</v>
      </c>
      <c r="AQ106" s="39"/>
      <c r="AR106" s="39"/>
      <c r="AS106" s="92" t="e">
        <f t="shared" si="64"/>
        <v>#DIV/0!</v>
      </c>
      <c r="AT106" s="39">
        <f t="shared" si="77"/>
        <v>0</v>
      </c>
      <c r="AU106" s="39">
        <f t="shared" si="77"/>
        <v>27267</v>
      </c>
      <c r="AV106" s="92" t="e">
        <f t="shared" si="78"/>
        <v>#DIV/0!</v>
      </c>
      <c r="AW106" s="39"/>
      <c r="AX106" s="39"/>
      <c r="AY106" s="92" t="e">
        <f t="shared" si="79"/>
        <v>#DIV/0!</v>
      </c>
      <c r="AZ106" s="39">
        <f t="shared" si="80"/>
        <v>0</v>
      </c>
      <c r="BA106" s="39">
        <f t="shared" si="80"/>
        <v>27267</v>
      </c>
      <c r="BB106" s="92" t="e">
        <f t="shared" si="81"/>
        <v>#DIV/0!</v>
      </c>
      <c r="BC106" s="38"/>
      <c r="BD106" s="38">
        <v>11500</v>
      </c>
      <c r="BE106" s="92" t="e">
        <f t="shared" si="82"/>
        <v>#DIV/0!</v>
      </c>
      <c r="BF106" s="38">
        <f t="shared" si="83"/>
        <v>0</v>
      </c>
      <c r="BG106" s="38">
        <f t="shared" si="83"/>
        <v>38767</v>
      </c>
      <c r="BH106" s="92" t="e">
        <f t="shared" si="84"/>
        <v>#DIV/0!</v>
      </c>
      <c r="BI106" s="28"/>
      <c r="BJ106" s="28">
        <v>20000</v>
      </c>
      <c r="BK106" s="28">
        <v>14207</v>
      </c>
      <c r="BL106" s="28">
        <v>34207</v>
      </c>
      <c r="BM106" s="29">
        <f t="shared" si="85"/>
        <v>0.38767000000000001</v>
      </c>
      <c r="BN106" s="40"/>
      <c r="BO106" s="40"/>
    </row>
    <row r="107" spans="1:67">
      <c r="A107" s="22" t="s">
        <v>164</v>
      </c>
      <c r="B107" s="78" t="s">
        <v>164</v>
      </c>
      <c r="C107" s="33" t="s">
        <v>207</v>
      </c>
      <c r="D107" s="114" t="s">
        <v>61</v>
      </c>
      <c r="E107" s="114" t="s">
        <v>61</v>
      </c>
      <c r="F107" s="33" t="s">
        <v>174</v>
      </c>
      <c r="G107" s="33"/>
      <c r="H107" s="39" t="s">
        <v>175</v>
      </c>
      <c r="I107" s="118">
        <v>54</v>
      </c>
      <c r="J107" s="22"/>
      <c r="K107" s="22"/>
      <c r="L107" s="92"/>
      <c r="M107" s="105"/>
      <c r="N107" s="105"/>
      <c r="O107" s="92"/>
      <c r="P107" s="105"/>
      <c r="Q107" s="105"/>
      <c r="R107" s="92"/>
      <c r="S107" s="39"/>
      <c r="T107" s="39"/>
      <c r="U107" s="92"/>
      <c r="V107" s="38"/>
      <c r="W107" s="38"/>
      <c r="X107" s="92"/>
      <c r="Y107" s="39"/>
      <c r="Z107" s="39">
        <v>150000</v>
      </c>
      <c r="AA107" s="92" t="e">
        <f>Z107/Y107-1</f>
        <v>#DIV/0!</v>
      </c>
      <c r="AB107" s="39">
        <f>Y107+V107</f>
        <v>0</v>
      </c>
      <c r="AC107" s="39">
        <f>Z107+W107</f>
        <v>150000</v>
      </c>
      <c r="AD107" s="92" t="e">
        <f>AC107/AB107-1</f>
        <v>#DIV/0!</v>
      </c>
      <c r="AE107" s="39"/>
      <c r="AF107" s="39"/>
      <c r="AG107" s="92" t="e">
        <f t="shared" si="71"/>
        <v>#DIV/0!</v>
      </c>
      <c r="AH107" s="39">
        <f t="shared" si="72"/>
        <v>0</v>
      </c>
      <c r="AI107" s="39">
        <f t="shared" si="72"/>
        <v>150000</v>
      </c>
      <c r="AJ107" s="92" t="e">
        <f t="shared" si="73"/>
        <v>#DIV/0!</v>
      </c>
      <c r="AK107" s="38"/>
      <c r="AL107" s="38"/>
      <c r="AM107" s="92" t="e">
        <f t="shared" si="74"/>
        <v>#DIV/0!</v>
      </c>
      <c r="AN107" s="38">
        <f t="shared" si="75"/>
        <v>0</v>
      </c>
      <c r="AO107" s="38">
        <f t="shared" si="75"/>
        <v>150000</v>
      </c>
      <c r="AP107" s="92" t="e">
        <f t="shared" si="76"/>
        <v>#DIV/0!</v>
      </c>
      <c r="AQ107" s="39"/>
      <c r="AR107" s="39"/>
      <c r="AS107" s="92" t="e">
        <f t="shared" si="64"/>
        <v>#DIV/0!</v>
      </c>
      <c r="AT107" s="39">
        <f t="shared" si="77"/>
        <v>0</v>
      </c>
      <c r="AU107" s="39">
        <f t="shared" si="77"/>
        <v>150000</v>
      </c>
      <c r="AV107" s="92" t="e">
        <f t="shared" si="78"/>
        <v>#DIV/0!</v>
      </c>
      <c r="AW107" s="39"/>
      <c r="AX107" s="39"/>
      <c r="AY107" s="92" t="e">
        <f t="shared" si="79"/>
        <v>#DIV/0!</v>
      </c>
      <c r="AZ107" s="39">
        <f t="shared" si="80"/>
        <v>0</v>
      </c>
      <c r="BA107" s="39">
        <f t="shared" si="80"/>
        <v>150000</v>
      </c>
      <c r="BB107" s="92" t="e">
        <f t="shared" si="81"/>
        <v>#DIV/0!</v>
      </c>
      <c r="BC107" s="38"/>
      <c r="BD107" s="38"/>
      <c r="BE107" s="92" t="e">
        <f t="shared" si="82"/>
        <v>#DIV/0!</v>
      </c>
      <c r="BF107" s="38">
        <f t="shared" si="83"/>
        <v>0</v>
      </c>
      <c r="BG107" s="38">
        <f t="shared" si="83"/>
        <v>150000</v>
      </c>
      <c r="BH107" s="92" t="e">
        <f t="shared" si="84"/>
        <v>#DIV/0!</v>
      </c>
      <c r="BI107" s="28"/>
      <c r="BJ107" s="28"/>
      <c r="BK107" s="28"/>
      <c r="BL107" s="28"/>
      <c r="BM107" s="29">
        <f t="shared" si="85"/>
        <v>0.27777777777777779</v>
      </c>
      <c r="BN107" s="40"/>
      <c r="BO107" s="40"/>
    </row>
    <row r="108" spans="1:67">
      <c r="A108" s="22" t="s">
        <v>164</v>
      </c>
      <c r="B108" s="78" t="s">
        <v>168</v>
      </c>
      <c r="C108" s="33" t="s">
        <v>208</v>
      </c>
      <c r="D108" s="114" t="s">
        <v>61</v>
      </c>
      <c r="E108" s="114" t="s">
        <v>61</v>
      </c>
      <c r="F108" s="33" t="s">
        <v>170</v>
      </c>
      <c r="G108" s="33" t="s">
        <v>180</v>
      </c>
      <c r="H108" s="39" t="s">
        <v>172</v>
      </c>
      <c r="I108" s="118"/>
      <c r="J108" s="22"/>
      <c r="K108" s="22"/>
      <c r="L108" s="92"/>
      <c r="M108" s="105"/>
      <c r="N108" s="105"/>
      <c r="O108" s="92"/>
      <c r="P108" s="105"/>
      <c r="Q108" s="105"/>
      <c r="R108" s="92"/>
      <c r="S108" s="39"/>
      <c r="T108" s="39"/>
      <c r="U108" s="92"/>
      <c r="V108" s="38"/>
      <c r="W108" s="38"/>
      <c r="X108" s="92"/>
      <c r="Y108" s="39"/>
      <c r="Z108" s="39"/>
      <c r="AA108" s="92"/>
      <c r="AB108" s="39"/>
      <c r="AC108" s="39"/>
      <c r="AD108" s="92"/>
      <c r="AE108" s="39"/>
      <c r="AF108" s="39"/>
      <c r="AG108" s="92"/>
      <c r="AH108" s="39"/>
      <c r="AI108" s="39"/>
      <c r="AJ108" s="92"/>
      <c r="AK108" s="38"/>
      <c r="AL108" s="38"/>
      <c r="AM108" s="92"/>
      <c r="AN108" s="38"/>
      <c r="AO108" s="38"/>
      <c r="AP108" s="92"/>
      <c r="AQ108" s="39"/>
      <c r="AR108" s="39"/>
      <c r="AS108" s="92"/>
      <c r="AT108" s="39"/>
      <c r="AU108" s="39"/>
      <c r="AV108" s="92"/>
      <c r="AW108" s="39"/>
      <c r="AX108" s="39"/>
      <c r="AY108" s="92"/>
      <c r="AZ108" s="39"/>
      <c r="BA108" s="39"/>
      <c r="BB108" s="92"/>
      <c r="BC108" s="38"/>
      <c r="BD108" s="38">
        <v>14577</v>
      </c>
      <c r="BE108" s="92" t="e">
        <f t="shared" si="82"/>
        <v>#DIV/0!</v>
      </c>
      <c r="BF108" s="38">
        <f t="shared" si="83"/>
        <v>0</v>
      </c>
      <c r="BG108" s="38">
        <f t="shared" si="83"/>
        <v>14577</v>
      </c>
      <c r="BH108" s="92" t="e">
        <f t="shared" si="84"/>
        <v>#DIV/0!</v>
      </c>
      <c r="BI108" s="28"/>
      <c r="BJ108" s="28"/>
      <c r="BK108" s="28"/>
      <c r="BL108" s="28"/>
      <c r="BM108" s="29" t="e">
        <f t="shared" si="85"/>
        <v>#DIV/0!</v>
      </c>
      <c r="BN108" s="40"/>
      <c r="BO108" s="40"/>
    </row>
    <row r="109" spans="1:67">
      <c r="A109" s="22" t="s">
        <v>164</v>
      </c>
      <c r="B109" s="78" t="s">
        <v>164</v>
      </c>
      <c r="C109" s="33" t="s">
        <v>209</v>
      </c>
      <c r="D109" s="114" t="s">
        <v>61</v>
      </c>
      <c r="E109" s="114" t="s">
        <v>61</v>
      </c>
      <c r="F109" s="33" t="s">
        <v>174</v>
      </c>
      <c r="G109" s="33"/>
      <c r="H109" s="39" t="s">
        <v>175</v>
      </c>
      <c r="I109" s="118"/>
      <c r="J109" s="22"/>
      <c r="K109" s="22"/>
      <c r="L109" s="92"/>
      <c r="M109" s="105"/>
      <c r="N109" s="105"/>
      <c r="O109" s="92"/>
      <c r="P109" s="105"/>
      <c r="Q109" s="105"/>
      <c r="R109" s="92"/>
      <c r="S109" s="39"/>
      <c r="T109" s="39"/>
      <c r="U109" s="92"/>
      <c r="V109" s="38"/>
      <c r="W109" s="38"/>
      <c r="X109" s="92"/>
      <c r="Y109" s="39"/>
      <c r="Z109" s="39"/>
      <c r="AA109" s="92"/>
      <c r="AB109" s="39"/>
      <c r="AC109" s="39"/>
      <c r="AD109" s="92"/>
      <c r="AE109" s="39"/>
      <c r="AF109" s="39"/>
      <c r="AG109" s="92"/>
      <c r="AH109" s="39"/>
      <c r="AI109" s="39"/>
      <c r="AJ109" s="92"/>
      <c r="AK109" s="38"/>
      <c r="AL109" s="38"/>
      <c r="AM109" s="92"/>
      <c r="AN109" s="38"/>
      <c r="AO109" s="38"/>
      <c r="AP109" s="92"/>
      <c r="AQ109" s="39"/>
      <c r="AR109" s="39">
        <v>1918</v>
      </c>
      <c r="AS109" s="92" t="e">
        <f>AR109/AQ109-1</f>
        <v>#DIV/0!</v>
      </c>
      <c r="AT109" s="39">
        <f>AQ109+AN109</f>
        <v>0</v>
      </c>
      <c r="AU109" s="39">
        <f>AR109+AO109</f>
        <v>1918</v>
      </c>
      <c r="AV109" s="92" t="e">
        <f>AU109/AT109-1</f>
        <v>#DIV/0!</v>
      </c>
      <c r="AW109" s="39"/>
      <c r="AX109" s="39">
        <v>868</v>
      </c>
      <c r="AY109" s="92" t="e">
        <f>AX109/AW109-1</f>
        <v>#DIV/0!</v>
      </c>
      <c r="AZ109" s="39">
        <f>AW109+AT109</f>
        <v>0</v>
      </c>
      <c r="BA109" s="39">
        <f>AX109+AU109</f>
        <v>2786</v>
      </c>
      <c r="BB109" s="92" t="e">
        <f>BA109/AZ109-1</f>
        <v>#DIV/0!</v>
      </c>
      <c r="BC109" s="38"/>
      <c r="BD109" s="38">
        <v>3160</v>
      </c>
      <c r="BE109" s="92" t="e">
        <f t="shared" si="82"/>
        <v>#DIV/0!</v>
      </c>
      <c r="BF109" s="38">
        <f t="shared" si="83"/>
        <v>0</v>
      </c>
      <c r="BG109" s="38">
        <f t="shared" si="83"/>
        <v>5946</v>
      </c>
      <c r="BH109" s="92" t="e">
        <f t="shared" si="84"/>
        <v>#DIV/0!</v>
      </c>
      <c r="BI109" s="28"/>
      <c r="BJ109" s="28"/>
      <c r="BK109" s="28"/>
      <c r="BL109" s="28"/>
      <c r="BM109" s="29" t="e">
        <f t="shared" si="85"/>
        <v>#DIV/0!</v>
      </c>
      <c r="BN109" s="40"/>
      <c r="BO109" s="40"/>
    </row>
    <row r="110" spans="1:67">
      <c r="A110" s="22"/>
      <c r="B110" s="78"/>
      <c r="C110" s="33" t="s">
        <v>31</v>
      </c>
      <c r="D110" s="33"/>
      <c r="E110" s="33"/>
      <c r="F110" s="33"/>
      <c r="G110" s="33"/>
      <c r="H110" s="39"/>
      <c r="I110" s="93">
        <f>SUBTOTAL(9,I81:I109)</f>
        <v>899</v>
      </c>
      <c r="J110" s="93">
        <f>SUBTOTAL(9,J81:J107)</f>
        <v>1110866.71</v>
      </c>
      <c r="K110" s="93">
        <f>SUBTOTAL(9,K81:K107)</f>
        <v>802311.19</v>
      </c>
      <c r="L110" s="92">
        <f>K110/J110-1</f>
        <v>-0.27776106460153083</v>
      </c>
      <c r="M110" s="93">
        <f>SUBTOTAL(9,M81:M107)</f>
        <v>225264</v>
      </c>
      <c r="N110" s="93">
        <f>SUBTOTAL(9,N81:N107)</f>
        <v>353390.48</v>
      </c>
      <c r="O110" s="92">
        <f>N110/M110-1</f>
        <v>0.56878364940691806</v>
      </c>
      <c r="P110" s="93">
        <f>SUBTOTAL(9,P81:P107)</f>
        <v>1336130.71</v>
      </c>
      <c r="Q110" s="93">
        <f>SUBTOTAL(9,Q81:Q107)</f>
        <v>1155701.67</v>
      </c>
      <c r="R110" s="92">
        <f>Q110/P110-1</f>
        <v>-0.13503846491186478</v>
      </c>
      <c r="S110" s="93">
        <f>SUBTOTAL(9,S81:S107)</f>
        <v>365888</v>
      </c>
      <c r="T110" s="93">
        <f>SUBTOTAL(9,T81:T107)</f>
        <v>969353.64999999991</v>
      </c>
      <c r="U110" s="92">
        <f>T110/S110-1</f>
        <v>1.6493179606874233</v>
      </c>
      <c r="V110" s="93">
        <f>SUBTOTAL(9,V81:V107)</f>
        <v>1702018.71</v>
      </c>
      <c r="W110" s="93">
        <f>SUBTOTAL(9,W81:W107)</f>
        <v>2125055.3200000003</v>
      </c>
      <c r="X110" s="92">
        <f>W110/V110-1</f>
        <v>0.24854991752705247</v>
      </c>
      <c r="Y110" s="93">
        <f>SUBTOTAL(9,Y81:Y107)</f>
        <v>648379.44999999995</v>
      </c>
      <c r="Z110" s="93">
        <f t="shared" ref="Z110:AF110" si="86">SUBTOTAL(9,Z81:Z107)</f>
        <v>857787.1</v>
      </c>
      <c r="AA110" s="92">
        <f>Z110/Y110-1</f>
        <v>0.32297083135500371</v>
      </c>
      <c r="AB110" s="93">
        <f t="shared" si="86"/>
        <v>2350398.16</v>
      </c>
      <c r="AC110" s="93">
        <f t="shared" si="86"/>
        <v>2982842.42</v>
      </c>
      <c r="AD110" s="92">
        <f>AC110/AB110-1</f>
        <v>0.26907962691733878</v>
      </c>
      <c r="AE110" s="93">
        <f t="shared" si="86"/>
        <v>639095.81000000006</v>
      </c>
      <c r="AF110" s="93">
        <f t="shared" si="86"/>
        <v>661714.03</v>
      </c>
      <c r="AG110" s="92">
        <f>AF110/AE110-1</f>
        <v>3.5390969000407058E-2</v>
      </c>
      <c r="AH110" s="93">
        <f t="shared" ref="AH110:AL110" si="87">SUBTOTAL(9,AH81:AH107)</f>
        <v>2989493.9699999997</v>
      </c>
      <c r="AI110" s="93">
        <f t="shared" si="87"/>
        <v>3644556.45</v>
      </c>
      <c r="AJ110" s="92">
        <f>AI110/AH110-1</f>
        <v>0.21912152577447763</v>
      </c>
      <c r="AK110" s="93">
        <f t="shared" si="87"/>
        <v>677171.21</v>
      </c>
      <c r="AL110" s="93">
        <f t="shared" si="87"/>
        <v>970845.98</v>
      </c>
      <c r="AM110" s="92">
        <f>AL110/AK110-1</f>
        <v>0.43367875902461961</v>
      </c>
      <c r="AN110" s="102">
        <f>SUBTOTAL(9,AN81:AN107)</f>
        <v>3666665.18</v>
      </c>
      <c r="AO110" s="102">
        <f>SUBTOTAL(9,AO81:AO107)</f>
        <v>4615402.4300000006</v>
      </c>
      <c r="AP110" s="92">
        <f>AO110/AN110-1</f>
        <v>0.25874662763726919</v>
      </c>
      <c r="AQ110" s="93">
        <f>SUBTOTAL(9,AQ81:AQ109)</f>
        <v>658308.08000000007</v>
      </c>
      <c r="AR110" s="103">
        <f>SUBTOTAL(9,AR81:AR109)</f>
        <v>383538.42</v>
      </c>
      <c r="AS110" s="92">
        <f>AR110/AQ110-1</f>
        <v>-0.41738764622181157</v>
      </c>
      <c r="AT110" s="103">
        <f>SUBTOTAL(9,AT81:AT109)</f>
        <v>4324973.26</v>
      </c>
      <c r="AU110" s="103">
        <f>SUBTOTAL(9,AU81:AU109)</f>
        <v>4998940.8500000006</v>
      </c>
      <c r="AV110" s="92">
        <f>AU110/AT110-1</f>
        <v>0.15583162010116114</v>
      </c>
      <c r="AW110" s="103">
        <f>SUBTOTAL(9,AW81:AW109)</f>
        <v>452837.18000000005</v>
      </c>
      <c r="AX110" s="103">
        <f>SUBTOTAL(9,AX81:AX109)</f>
        <v>243092</v>
      </c>
      <c r="AY110" s="92">
        <f>AX110/AW110-1</f>
        <v>-0.46318012138490927</v>
      </c>
      <c r="AZ110" s="103">
        <f>SUBTOTAL(9,AZ81:AZ109)</f>
        <v>4777810.4400000004</v>
      </c>
      <c r="BA110" s="103">
        <f t="shared" ref="BA110:BG110" si="88">SUBTOTAL(9,BA81:BA109)</f>
        <v>5242032.8500000006</v>
      </c>
      <c r="BB110" s="92">
        <f>BA110/AZ110-1</f>
        <v>9.7162165772319842E-2</v>
      </c>
      <c r="BC110" s="103">
        <f t="shared" si="88"/>
        <v>672163.76</v>
      </c>
      <c r="BD110" s="103">
        <f t="shared" si="88"/>
        <v>347351.48</v>
      </c>
      <c r="BE110" s="92">
        <f t="shared" si="82"/>
        <v>-0.48323384765641042</v>
      </c>
      <c r="BF110" s="103">
        <f t="shared" si="88"/>
        <v>5449974.2000000002</v>
      </c>
      <c r="BG110" s="103">
        <f t="shared" si="88"/>
        <v>5589384.3300000001</v>
      </c>
      <c r="BH110" s="92">
        <f t="shared" si="84"/>
        <v>2.5579961461101863E-2</v>
      </c>
      <c r="BI110" s="120">
        <v>1095150.97</v>
      </c>
      <c r="BJ110" s="120">
        <v>1070992.3</v>
      </c>
      <c r="BK110" s="120">
        <v>1112207.25</v>
      </c>
      <c r="BL110" s="120">
        <v>8728324.7200000007</v>
      </c>
      <c r="BM110" s="29">
        <f t="shared" si="85"/>
        <v>0.62173351835372637</v>
      </c>
      <c r="BN110" s="40"/>
      <c r="BO110" s="40"/>
    </row>
    <row r="112" spans="1:67">
      <c r="A112" s="107"/>
      <c r="B112" s="107"/>
      <c r="C112" s="217" t="s">
        <v>132</v>
      </c>
      <c r="D112" s="196" t="s">
        <v>47</v>
      </c>
      <c r="E112" s="196" t="s">
        <v>48</v>
      </c>
      <c r="F112" s="197" t="s">
        <v>210</v>
      </c>
      <c r="G112" s="197" t="s">
        <v>50</v>
      </c>
      <c r="H112" s="197" t="s">
        <v>51</v>
      </c>
      <c r="I112" s="197" t="s">
        <v>38</v>
      </c>
      <c r="J112" s="207" t="s">
        <v>3</v>
      </c>
      <c r="K112" s="207"/>
      <c r="L112" s="207" t="s">
        <v>4</v>
      </c>
      <c r="M112" s="197" t="s">
        <v>5</v>
      </c>
      <c r="N112" s="197"/>
      <c r="O112" s="196" t="s">
        <v>4</v>
      </c>
      <c r="P112" s="197" t="s">
        <v>39</v>
      </c>
      <c r="Q112" s="197"/>
      <c r="R112" s="196" t="s">
        <v>4</v>
      </c>
      <c r="S112" s="197" t="s">
        <v>6</v>
      </c>
      <c r="T112" s="197"/>
      <c r="U112" s="196" t="s">
        <v>4</v>
      </c>
      <c r="V112" s="197" t="s">
        <v>7</v>
      </c>
      <c r="W112" s="197"/>
      <c r="X112" s="196" t="s">
        <v>4</v>
      </c>
      <c r="Y112" s="197" t="s">
        <v>8</v>
      </c>
      <c r="Z112" s="197"/>
      <c r="AA112" s="196" t="s">
        <v>4</v>
      </c>
      <c r="AB112" s="197" t="s">
        <v>9</v>
      </c>
      <c r="AC112" s="197"/>
      <c r="AD112" s="196" t="s">
        <v>4</v>
      </c>
      <c r="AE112" s="197" t="s">
        <v>10</v>
      </c>
      <c r="AF112" s="197"/>
      <c r="AG112" s="196" t="s">
        <v>4</v>
      </c>
      <c r="AH112" s="197" t="s">
        <v>11</v>
      </c>
      <c r="AI112" s="197"/>
      <c r="AJ112" s="196" t="s">
        <v>4</v>
      </c>
      <c r="AK112" s="197" t="s">
        <v>12</v>
      </c>
      <c r="AL112" s="197"/>
      <c r="AM112" s="196" t="s">
        <v>4</v>
      </c>
      <c r="AN112" s="197" t="s">
        <v>13</v>
      </c>
      <c r="AO112" s="197"/>
      <c r="AP112" s="196" t="s">
        <v>4</v>
      </c>
      <c r="AQ112" s="197" t="s">
        <v>14</v>
      </c>
      <c r="AR112" s="197"/>
      <c r="AS112" s="196" t="s">
        <v>4</v>
      </c>
      <c r="AT112" s="197" t="s">
        <v>15</v>
      </c>
      <c r="AU112" s="197"/>
      <c r="AV112" s="187" t="s">
        <v>4</v>
      </c>
      <c r="AW112" s="197" t="s">
        <v>16</v>
      </c>
      <c r="AX112" s="197"/>
      <c r="AY112" s="196" t="s">
        <v>4</v>
      </c>
      <c r="AZ112" s="197" t="s">
        <v>17</v>
      </c>
      <c r="BA112" s="197"/>
      <c r="BB112" s="187" t="s">
        <v>4</v>
      </c>
      <c r="BC112" s="191" t="s">
        <v>18</v>
      </c>
      <c r="BD112" s="192"/>
      <c r="BE112" s="187" t="s">
        <v>4</v>
      </c>
      <c r="BF112" s="191" t="s">
        <v>19</v>
      </c>
      <c r="BG112" s="192"/>
      <c r="BH112" s="187" t="s">
        <v>4</v>
      </c>
      <c r="BI112" s="78" t="s">
        <v>40</v>
      </c>
      <c r="BJ112" s="78" t="s">
        <v>41</v>
      </c>
      <c r="BK112" s="78" t="s">
        <v>42</v>
      </c>
      <c r="BL112" s="78" t="s">
        <v>133</v>
      </c>
      <c r="BM112" s="198" t="s">
        <v>211</v>
      </c>
      <c r="BN112" s="22"/>
      <c r="BO112" s="22"/>
    </row>
    <row r="113" spans="1:67">
      <c r="A113" s="107"/>
      <c r="B113" s="107"/>
      <c r="C113" s="217"/>
      <c r="D113" s="196"/>
      <c r="E113" s="196"/>
      <c r="F113" s="197"/>
      <c r="G113" s="197"/>
      <c r="H113" s="197"/>
      <c r="I113" s="197"/>
      <c r="J113" s="78" t="s">
        <v>21</v>
      </c>
      <c r="K113" s="78" t="s">
        <v>22</v>
      </c>
      <c r="L113" s="207"/>
      <c r="M113" s="35" t="s">
        <v>21</v>
      </c>
      <c r="N113" s="35" t="s">
        <v>22</v>
      </c>
      <c r="O113" s="196"/>
      <c r="P113" s="35" t="s">
        <v>21</v>
      </c>
      <c r="Q113" s="35" t="s">
        <v>22</v>
      </c>
      <c r="R113" s="196"/>
      <c r="S113" s="35" t="s">
        <v>21</v>
      </c>
      <c r="T113" s="35" t="s">
        <v>22</v>
      </c>
      <c r="U113" s="196"/>
      <c r="V113" s="35" t="s">
        <v>21</v>
      </c>
      <c r="W113" s="35" t="s">
        <v>22</v>
      </c>
      <c r="X113" s="196"/>
      <c r="Y113" s="35" t="s">
        <v>21</v>
      </c>
      <c r="Z113" s="35" t="s">
        <v>22</v>
      </c>
      <c r="AA113" s="196"/>
      <c r="AB113" s="35" t="s">
        <v>21</v>
      </c>
      <c r="AC113" s="35" t="s">
        <v>22</v>
      </c>
      <c r="AD113" s="196"/>
      <c r="AE113" s="35" t="s">
        <v>21</v>
      </c>
      <c r="AF113" s="35" t="s">
        <v>22</v>
      </c>
      <c r="AG113" s="196"/>
      <c r="AH113" s="35" t="s">
        <v>21</v>
      </c>
      <c r="AI113" s="35" t="s">
        <v>22</v>
      </c>
      <c r="AJ113" s="196"/>
      <c r="AK113" s="35" t="s">
        <v>21</v>
      </c>
      <c r="AL113" s="35" t="s">
        <v>22</v>
      </c>
      <c r="AM113" s="196"/>
      <c r="AN113" s="35" t="s">
        <v>21</v>
      </c>
      <c r="AO113" s="35" t="s">
        <v>22</v>
      </c>
      <c r="AP113" s="196"/>
      <c r="AQ113" s="35" t="s">
        <v>21</v>
      </c>
      <c r="AR113" s="35" t="s">
        <v>22</v>
      </c>
      <c r="AS113" s="196"/>
      <c r="AT113" s="35" t="s">
        <v>21</v>
      </c>
      <c r="AU113" s="35" t="s">
        <v>22</v>
      </c>
      <c r="AV113" s="187"/>
      <c r="AW113" s="35" t="s">
        <v>21</v>
      </c>
      <c r="AX113" s="35" t="s">
        <v>22</v>
      </c>
      <c r="AY113" s="196"/>
      <c r="AZ113" s="35" t="s">
        <v>21</v>
      </c>
      <c r="BA113" s="35" t="s">
        <v>22</v>
      </c>
      <c r="BB113" s="187"/>
      <c r="BC113" s="35" t="s">
        <v>21</v>
      </c>
      <c r="BD113" s="35" t="s">
        <v>22</v>
      </c>
      <c r="BE113" s="187"/>
      <c r="BF113" s="35" t="s">
        <v>21</v>
      </c>
      <c r="BG113" s="35" t="s">
        <v>22</v>
      </c>
      <c r="BH113" s="187"/>
      <c r="BI113" s="78" t="s">
        <v>21</v>
      </c>
      <c r="BJ113" s="78" t="s">
        <v>21</v>
      </c>
      <c r="BK113" s="78" t="s">
        <v>21</v>
      </c>
      <c r="BL113" s="78" t="s">
        <v>21</v>
      </c>
      <c r="BM113" s="198"/>
      <c r="BN113" s="22" t="s">
        <v>52</v>
      </c>
      <c r="BO113" s="22" t="s">
        <v>53</v>
      </c>
    </row>
    <row r="114" spans="1:67">
      <c r="A114" s="80" t="s">
        <v>29</v>
      </c>
      <c r="B114" s="80" t="s">
        <v>29</v>
      </c>
      <c r="C114" s="174" t="s">
        <v>212</v>
      </c>
      <c r="D114" s="33" t="s">
        <v>56</v>
      </c>
      <c r="E114" s="33" t="s">
        <v>56</v>
      </c>
      <c r="F114" s="33" t="s">
        <v>213</v>
      </c>
      <c r="G114" s="33" t="s">
        <v>213</v>
      </c>
      <c r="H114" s="33" t="s">
        <v>214</v>
      </c>
      <c r="I114" s="110">
        <v>200</v>
      </c>
      <c r="J114" s="111"/>
      <c r="K114" s="111">
        <v>300000</v>
      </c>
      <c r="L114" s="29" t="e">
        <f t="shared" ref="L114:L177" si="89">K114/J114-1</f>
        <v>#DIV/0!</v>
      </c>
      <c r="M114" s="22">
        <v>300000</v>
      </c>
      <c r="N114" s="22"/>
      <c r="O114" s="29">
        <f t="shared" ref="O114:O177" si="90">N114/M114-1</f>
        <v>-1</v>
      </c>
      <c r="P114" s="22">
        <f t="shared" ref="P114:Q177" si="91">M114+J114</f>
        <v>300000</v>
      </c>
      <c r="Q114" s="22">
        <f t="shared" si="91"/>
        <v>300000</v>
      </c>
      <c r="R114" s="29">
        <f t="shared" ref="R114:R177" si="92">Q114/P114-1</f>
        <v>0</v>
      </c>
      <c r="S114" s="38"/>
      <c r="T114" s="38">
        <v>600000</v>
      </c>
      <c r="U114" s="29" t="e">
        <f t="shared" ref="U114:U177" si="93">T114/S114-1</f>
        <v>#DIV/0!</v>
      </c>
      <c r="V114" s="38">
        <f t="shared" ref="V114:W177" si="94">S114+P114</f>
        <v>300000</v>
      </c>
      <c r="W114" s="38">
        <f t="shared" si="94"/>
        <v>900000</v>
      </c>
      <c r="X114" s="29">
        <f t="shared" ref="X114:X177" si="95">W114/V114-1</f>
        <v>2</v>
      </c>
      <c r="Y114" s="22">
        <v>300000</v>
      </c>
      <c r="Z114" s="22"/>
      <c r="AA114" s="29">
        <f t="shared" ref="AA114:AA177" si="96">Z114/Y114-1</f>
        <v>-1</v>
      </c>
      <c r="AB114" s="22">
        <f t="shared" ref="AB114:AC177" si="97">Y114+V114</f>
        <v>600000</v>
      </c>
      <c r="AC114" s="22">
        <f t="shared" si="97"/>
        <v>900000</v>
      </c>
      <c r="AD114" s="29">
        <f t="shared" ref="AD114:AD177" si="98">AC114/AB114-1</f>
        <v>0.5</v>
      </c>
      <c r="AE114" s="22">
        <v>39300</v>
      </c>
      <c r="AF114" s="22">
        <v>39300</v>
      </c>
      <c r="AG114" s="29">
        <f t="shared" ref="AG114:AG177" si="99">AF114/AE114-1</f>
        <v>0</v>
      </c>
      <c r="AH114" s="22">
        <f t="shared" ref="AH114:AI177" si="100">AE114+AB114</f>
        <v>639300</v>
      </c>
      <c r="AI114" s="22">
        <f t="shared" si="100"/>
        <v>939300</v>
      </c>
      <c r="AJ114" s="29">
        <f t="shared" ref="AJ114:AJ177" si="101">AI114/AH114-1</f>
        <v>0.46926325668700142</v>
      </c>
      <c r="AK114" s="22">
        <v>200000</v>
      </c>
      <c r="AL114" s="22">
        <v>200000</v>
      </c>
      <c r="AM114" s="29">
        <f t="shared" ref="AM114:AM177" si="102">AL114/AK114-1</f>
        <v>0</v>
      </c>
      <c r="AN114" s="22">
        <f t="shared" ref="AN114:AO177" si="103">AK114+AH114</f>
        <v>839300</v>
      </c>
      <c r="AO114" s="22">
        <f t="shared" si="103"/>
        <v>1139300</v>
      </c>
      <c r="AP114" s="29">
        <f t="shared" ref="AP114:AP177" si="104">AO114/AN114-1</f>
        <v>0.3574407244132014</v>
      </c>
      <c r="AQ114" s="22"/>
      <c r="AR114" s="22"/>
      <c r="AS114" s="29" t="e">
        <f t="shared" ref="AS114:AS177" si="105">AR114/AQ114-1</f>
        <v>#DIV/0!</v>
      </c>
      <c r="AT114" s="22">
        <f t="shared" ref="AT114:AU177" si="106">AQ114+AN114</f>
        <v>839300</v>
      </c>
      <c r="AU114" s="22">
        <f t="shared" si="106"/>
        <v>1139300</v>
      </c>
      <c r="AV114" s="29">
        <f t="shared" ref="AV114:AV177" si="107">AU114/AT114-1</f>
        <v>0.3574407244132014</v>
      </c>
      <c r="AW114" s="38"/>
      <c r="AX114" s="38"/>
      <c r="AY114" s="29" t="e">
        <f t="shared" ref="AY114:AY177" si="108">AX114/AW114-1</f>
        <v>#DIV/0!</v>
      </c>
      <c r="AZ114" s="38">
        <f t="shared" ref="AZ114:BA177" si="109">AW114+AT114</f>
        <v>839300</v>
      </c>
      <c r="BA114" s="38">
        <f t="shared" si="109"/>
        <v>1139300</v>
      </c>
      <c r="BB114" s="29">
        <f t="shared" ref="BB114:BB177" si="110">BA114/AZ114-1</f>
        <v>0.3574407244132014</v>
      </c>
      <c r="BC114" s="38">
        <v>200000</v>
      </c>
      <c r="BD114" s="38"/>
      <c r="BE114" s="29">
        <f t="shared" ref="BE114:BE177" si="111">BD114/BC114-1</f>
        <v>-1</v>
      </c>
      <c r="BF114" s="38">
        <f t="shared" ref="BF114:BG177" si="112">BC114+AZ114</f>
        <v>1039300</v>
      </c>
      <c r="BG114" s="38">
        <f t="shared" si="112"/>
        <v>1139300</v>
      </c>
      <c r="BH114" s="29">
        <f t="shared" ref="BH114:BH177" si="113">BG114/BF114-1</f>
        <v>9.6218608678918516E-2</v>
      </c>
      <c r="BI114" s="102">
        <v>350000</v>
      </c>
      <c r="BJ114" s="111">
        <v>200000</v>
      </c>
      <c r="BK114" s="22">
        <v>250000</v>
      </c>
      <c r="BL114" s="22">
        <v>1839300</v>
      </c>
      <c r="BM114" s="96">
        <f t="shared" ref="BM114:BM177" si="114">BG114/10000/I114</f>
        <v>0.56964999999999999</v>
      </c>
      <c r="BN114" s="88">
        <v>39300</v>
      </c>
      <c r="BO114" s="22">
        <v>39300</v>
      </c>
    </row>
    <row r="115" spans="1:67">
      <c r="A115" s="80" t="s">
        <v>29</v>
      </c>
      <c r="B115" s="80" t="s">
        <v>29</v>
      </c>
      <c r="C115" s="174" t="s">
        <v>215</v>
      </c>
      <c r="D115" s="33" t="s">
        <v>65</v>
      </c>
      <c r="E115" s="33" t="s">
        <v>65</v>
      </c>
      <c r="F115" s="33" t="s">
        <v>213</v>
      </c>
      <c r="G115" s="33" t="s">
        <v>213</v>
      </c>
      <c r="H115" s="33" t="s">
        <v>214</v>
      </c>
      <c r="I115" s="110">
        <v>200</v>
      </c>
      <c r="J115" s="111">
        <v>7100</v>
      </c>
      <c r="K115" s="111">
        <v>110026.5</v>
      </c>
      <c r="L115" s="29">
        <f t="shared" si="89"/>
        <v>14.49669014084507</v>
      </c>
      <c r="M115" s="22"/>
      <c r="N115" s="22">
        <v>51544.9</v>
      </c>
      <c r="O115" s="29" t="e">
        <f t="shared" si="90"/>
        <v>#DIV/0!</v>
      </c>
      <c r="P115" s="22">
        <f t="shared" si="91"/>
        <v>7100</v>
      </c>
      <c r="Q115" s="22">
        <f t="shared" si="91"/>
        <v>161571.4</v>
      </c>
      <c r="R115" s="29">
        <f t="shared" si="92"/>
        <v>21.756535211267604</v>
      </c>
      <c r="S115" s="38">
        <v>3268</v>
      </c>
      <c r="T115" s="38">
        <v>37269</v>
      </c>
      <c r="U115" s="29">
        <f t="shared" si="93"/>
        <v>10.40422276621787</v>
      </c>
      <c r="V115" s="38">
        <f t="shared" si="94"/>
        <v>10368</v>
      </c>
      <c r="W115" s="38">
        <f t="shared" si="94"/>
        <v>198840.4</v>
      </c>
      <c r="X115" s="29">
        <f t="shared" si="95"/>
        <v>18.178279320987652</v>
      </c>
      <c r="Y115" s="22">
        <v>60000</v>
      </c>
      <c r="Z115" s="22">
        <v>54319</v>
      </c>
      <c r="AA115" s="29">
        <f t="shared" si="96"/>
        <v>-9.4683333333333342E-2</v>
      </c>
      <c r="AB115" s="22">
        <f t="shared" si="97"/>
        <v>70368</v>
      </c>
      <c r="AC115" s="22">
        <f t="shared" si="97"/>
        <v>253159.4</v>
      </c>
      <c r="AD115" s="29">
        <f t="shared" si="98"/>
        <v>2.5976494997726238</v>
      </c>
      <c r="AE115" s="22">
        <v>103268</v>
      </c>
      <c r="AF115" s="22">
        <v>50000</v>
      </c>
      <c r="AG115" s="29">
        <f t="shared" si="99"/>
        <v>-0.51582290738660574</v>
      </c>
      <c r="AH115" s="22">
        <f t="shared" si="100"/>
        <v>173636</v>
      </c>
      <c r="AI115" s="22">
        <f t="shared" si="100"/>
        <v>303159.40000000002</v>
      </c>
      <c r="AJ115" s="29">
        <f t="shared" si="101"/>
        <v>0.74594784491695276</v>
      </c>
      <c r="AK115" s="22">
        <v>100000</v>
      </c>
      <c r="AL115" s="22">
        <f>0.0300000000133878+72940</f>
        <v>72940.030000000013</v>
      </c>
      <c r="AM115" s="29">
        <f t="shared" si="102"/>
        <v>-0.27059969999999989</v>
      </c>
      <c r="AN115" s="22">
        <f t="shared" si="103"/>
        <v>273636</v>
      </c>
      <c r="AO115" s="22">
        <f t="shared" si="103"/>
        <v>376099.43000000005</v>
      </c>
      <c r="AP115" s="29">
        <f t="shared" si="104"/>
        <v>0.37445157069976198</v>
      </c>
      <c r="AQ115" s="22">
        <v>12384</v>
      </c>
      <c r="AR115" s="22">
        <v>100000</v>
      </c>
      <c r="AS115" s="29">
        <f t="shared" si="105"/>
        <v>7.0749354005167966</v>
      </c>
      <c r="AT115" s="22">
        <f t="shared" si="106"/>
        <v>286020</v>
      </c>
      <c r="AU115" s="22">
        <f t="shared" si="106"/>
        <v>476099.43000000005</v>
      </c>
      <c r="AV115" s="29">
        <f t="shared" si="107"/>
        <v>0.66456691839731508</v>
      </c>
      <c r="AW115" s="38">
        <v>29898</v>
      </c>
      <c r="AX115" s="38">
        <f>6605+20000</f>
        <v>26605</v>
      </c>
      <c r="AY115" s="29">
        <f t="shared" si="108"/>
        <v>-0.11014114656498764</v>
      </c>
      <c r="AZ115" s="38">
        <f t="shared" si="109"/>
        <v>315918</v>
      </c>
      <c r="BA115" s="38">
        <f t="shared" si="109"/>
        <v>502704.43000000005</v>
      </c>
      <c r="BB115" s="29">
        <f t="shared" si="110"/>
        <v>0.59124972302939383</v>
      </c>
      <c r="BC115" s="38">
        <v>289254</v>
      </c>
      <c r="BD115" s="38">
        <f>5200+90834</f>
        <v>96034</v>
      </c>
      <c r="BE115" s="29">
        <f t="shared" si="111"/>
        <v>-0.66799421961321193</v>
      </c>
      <c r="BF115" s="38">
        <f t="shared" si="112"/>
        <v>605172</v>
      </c>
      <c r="BG115" s="38">
        <f t="shared" si="112"/>
        <v>598738.43000000005</v>
      </c>
      <c r="BH115" s="29">
        <f t="shared" si="113"/>
        <v>-1.0630977639414785E-2</v>
      </c>
      <c r="BI115" s="102">
        <v>462240.91</v>
      </c>
      <c r="BJ115" s="111">
        <v>272413.90000000002</v>
      </c>
      <c r="BK115" s="22">
        <v>262193</v>
      </c>
      <c r="BL115" s="22">
        <v>1662323.81</v>
      </c>
      <c r="BM115" s="96">
        <f t="shared" si="114"/>
        <v>0.29936921500000002</v>
      </c>
      <c r="BN115" s="22">
        <v>60304</v>
      </c>
      <c r="BO115" s="22"/>
    </row>
    <row r="116" spans="1:67">
      <c r="A116" s="80" t="s">
        <v>29</v>
      </c>
      <c r="B116" s="80" t="s">
        <v>29</v>
      </c>
      <c r="C116" s="174" t="s">
        <v>216</v>
      </c>
      <c r="D116" s="33" t="s">
        <v>61</v>
      </c>
      <c r="E116" s="33" t="s">
        <v>56</v>
      </c>
      <c r="F116" s="33" t="s">
        <v>217</v>
      </c>
      <c r="G116" s="33" t="s">
        <v>218</v>
      </c>
      <c r="H116" s="33" t="s">
        <v>219</v>
      </c>
      <c r="I116" s="110">
        <v>40</v>
      </c>
      <c r="J116" s="111">
        <v>33624</v>
      </c>
      <c r="K116" s="111">
        <v>58693</v>
      </c>
      <c r="L116" s="29">
        <f t="shared" si="89"/>
        <v>0.74556864144658586</v>
      </c>
      <c r="M116" s="22">
        <v>37151</v>
      </c>
      <c r="N116" s="22">
        <v>72815</v>
      </c>
      <c r="O116" s="29">
        <f t="shared" si="90"/>
        <v>0.95997415951118414</v>
      </c>
      <c r="P116" s="22">
        <f t="shared" si="91"/>
        <v>70775</v>
      </c>
      <c r="Q116" s="22">
        <f t="shared" si="91"/>
        <v>131508</v>
      </c>
      <c r="R116" s="29">
        <f t="shared" si="92"/>
        <v>0.858113740727658</v>
      </c>
      <c r="S116" s="38"/>
      <c r="T116" s="38">
        <v>36035</v>
      </c>
      <c r="U116" s="29" t="e">
        <f t="shared" si="93"/>
        <v>#DIV/0!</v>
      </c>
      <c r="V116" s="38">
        <f t="shared" si="94"/>
        <v>70775</v>
      </c>
      <c r="W116" s="38">
        <f t="shared" si="94"/>
        <v>167543</v>
      </c>
      <c r="X116" s="29">
        <f t="shared" si="95"/>
        <v>1.36726245143059</v>
      </c>
      <c r="Y116" s="22">
        <v>19532</v>
      </c>
      <c r="Z116" s="22">
        <v>12208</v>
      </c>
      <c r="AA116" s="29">
        <f t="shared" si="96"/>
        <v>-0.37497440098300228</v>
      </c>
      <c r="AB116" s="22">
        <f t="shared" si="97"/>
        <v>90307</v>
      </c>
      <c r="AC116" s="22">
        <f t="shared" si="97"/>
        <v>179751</v>
      </c>
      <c r="AD116" s="29">
        <f t="shared" si="98"/>
        <v>0.99044370868260478</v>
      </c>
      <c r="AE116" s="22">
        <v>67757</v>
      </c>
      <c r="AF116" s="22">
        <v>21637</v>
      </c>
      <c r="AG116" s="29">
        <f t="shared" si="99"/>
        <v>-0.68066768009209389</v>
      </c>
      <c r="AH116" s="22">
        <f t="shared" si="100"/>
        <v>158064</v>
      </c>
      <c r="AI116" s="22">
        <f t="shared" si="100"/>
        <v>201388</v>
      </c>
      <c r="AJ116" s="29">
        <f t="shared" si="101"/>
        <v>0.27409150723757469</v>
      </c>
      <c r="AK116" s="22">
        <v>15640</v>
      </c>
      <c r="AL116" s="22">
        <f>44135.91+18700</f>
        <v>62835.91</v>
      </c>
      <c r="AM116" s="29">
        <f t="shared" si="102"/>
        <v>3.0176413043478263</v>
      </c>
      <c r="AN116" s="22">
        <f t="shared" si="103"/>
        <v>173704</v>
      </c>
      <c r="AO116" s="22">
        <f t="shared" si="103"/>
        <v>264223.91000000003</v>
      </c>
      <c r="AP116" s="29">
        <f t="shared" si="104"/>
        <v>0.52111586376824959</v>
      </c>
      <c r="AQ116" s="22">
        <v>63952</v>
      </c>
      <c r="AR116" s="22">
        <v>68402.09</v>
      </c>
      <c r="AS116" s="29">
        <f t="shared" si="105"/>
        <v>6.9584844883662678E-2</v>
      </c>
      <c r="AT116" s="22">
        <f t="shared" si="106"/>
        <v>237656</v>
      </c>
      <c r="AU116" s="22">
        <f t="shared" si="106"/>
        <v>332626</v>
      </c>
      <c r="AV116" s="29">
        <f t="shared" si="107"/>
        <v>0.39961120274682727</v>
      </c>
      <c r="AW116" s="38">
        <v>39854</v>
      </c>
      <c r="AX116" s="38">
        <v>188073</v>
      </c>
      <c r="AY116" s="29">
        <f t="shared" si="108"/>
        <v>3.7190495307873741</v>
      </c>
      <c r="AZ116" s="38">
        <f t="shared" si="109"/>
        <v>277510</v>
      </c>
      <c r="BA116" s="38">
        <f t="shared" si="109"/>
        <v>520699</v>
      </c>
      <c r="BB116" s="29">
        <f t="shared" si="110"/>
        <v>0.87632517747108207</v>
      </c>
      <c r="BC116" s="38">
        <v>15860</v>
      </c>
      <c r="BD116" s="38">
        <v>8158</v>
      </c>
      <c r="BE116" s="29">
        <f t="shared" si="111"/>
        <v>-0.48562421185372007</v>
      </c>
      <c r="BF116" s="38">
        <f t="shared" si="112"/>
        <v>293370</v>
      </c>
      <c r="BG116" s="38">
        <f t="shared" si="112"/>
        <v>528857</v>
      </c>
      <c r="BH116" s="29">
        <f t="shared" si="113"/>
        <v>0.80269625387735632</v>
      </c>
      <c r="BI116" s="102">
        <v>29786</v>
      </c>
      <c r="BJ116" s="111">
        <v>54967</v>
      </c>
      <c r="BK116" s="22">
        <v>5141</v>
      </c>
      <c r="BL116" s="22">
        <v>383264</v>
      </c>
      <c r="BM116" s="96">
        <f t="shared" si="114"/>
        <v>1.3221425</v>
      </c>
      <c r="BN116" s="88">
        <v>22700</v>
      </c>
      <c r="BO116" s="112">
        <v>18700</v>
      </c>
    </row>
    <row r="117" spans="1:67">
      <c r="A117" s="80" t="s">
        <v>29</v>
      </c>
      <c r="B117" s="80" t="s">
        <v>29</v>
      </c>
      <c r="C117" s="81" t="s">
        <v>220</v>
      </c>
      <c r="D117" s="33" t="s">
        <v>61</v>
      </c>
      <c r="E117" s="33" t="s">
        <v>56</v>
      </c>
      <c r="F117" s="33" t="s">
        <v>213</v>
      </c>
      <c r="G117" s="33" t="s">
        <v>213</v>
      </c>
      <c r="H117" s="33" t="s">
        <v>214</v>
      </c>
      <c r="I117" s="110">
        <v>80</v>
      </c>
      <c r="J117" s="111"/>
      <c r="K117" s="111">
        <v>80000</v>
      </c>
      <c r="L117" s="29" t="e">
        <f t="shared" si="89"/>
        <v>#DIV/0!</v>
      </c>
      <c r="M117" s="22"/>
      <c r="N117" s="22">
        <v>110000</v>
      </c>
      <c r="O117" s="29" t="e">
        <f t="shared" si="90"/>
        <v>#DIV/0!</v>
      </c>
      <c r="P117" s="22">
        <f t="shared" si="91"/>
        <v>0</v>
      </c>
      <c r="Q117" s="22">
        <f t="shared" si="91"/>
        <v>190000</v>
      </c>
      <c r="R117" s="29" t="e">
        <f t="shared" si="92"/>
        <v>#DIV/0!</v>
      </c>
      <c r="S117" s="38">
        <v>160000</v>
      </c>
      <c r="T117" s="38">
        <v>20000</v>
      </c>
      <c r="U117" s="29">
        <f t="shared" si="93"/>
        <v>-0.875</v>
      </c>
      <c r="V117" s="38">
        <f t="shared" si="94"/>
        <v>160000</v>
      </c>
      <c r="W117" s="38">
        <f t="shared" si="94"/>
        <v>210000</v>
      </c>
      <c r="X117" s="29">
        <f t="shared" si="95"/>
        <v>0.3125</v>
      </c>
      <c r="Y117" s="22"/>
      <c r="Z117" s="22">
        <v>30000</v>
      </c>
      <c r="AA117" s="29" t="e">
        <f t="shared" si="96"/>
        <v>#DIV/0!</v>
      </c>
      <c r="AB117" s="22">
        <f t="shared" si="97"/>
        <v>160000</v>
      </c>
      <c r="AC117" s="22">
        <f t="shared" si="97"/>
        <v>240000</v>
      </c>
      <c r="AD117" s="29">
        <f t="shared" si="98"/>
        <v>0.5</v>
      </c>
      <c r="AE117" s="22">
        <v>70000</v>
      </c>
      <c r="AF117" s="22">
        <v>80000</v>
      </c>
      <c r="AG117" s="29">
        <f t="shared" si="99"/>
        <v>0.14285714285714279</v>
      </c>
      <c r="AH117" s="22">
        <f t="shared" si="100"/>
        <v>230000</v>
      </c>
      <c r="AI117" s="22">
        <f t="shared" si="100"/>
        <v>320000</v>
      </c>
      <c r="AJ117" s="29">
        <f t="shared" si="101"/>
        <v>0.39130434782608692</v>
      </c>
      <c r="AK117" s="22">
        <v>80000</v>
      </c>
      <c r="AL117" s="22">
        <v>80000</v>
      </c>
      <c r="AM117" s="29">
        <f t="shared" si="102"/>
        <v>0</v>
      </c>
      <c r="AN117" s="22">
        <f t="shared" si="103"/>
        <v>310000</v>
      </c>
      <c r="AO117" s="22">
        <f t="shared" si="103"/>
        <v>400000</v>
      </c>
      <c r="AP117" s="29">
        <f t="shared" si="104"/>
        <v>0.29032258064516125</v>
      </c>
      <c r="AQ117" s="22">
        <v>100000</v>
      </c>
      <c r="AR117" s="22">
        <v>60000</v>
      </c>
      <c r="AS117" s="29">
        <f t="shared" si="105"/>
        <v>-0.4</v>
      </c>
      <c r="AT117" s="22">
        <f t="shared" si="106"/>
        <v>410000</v>
      </c>
      <c r="AU117" s="22">
        <f t="shared" si="106"/>
        <v>460000</v>
      </c>
      <c r="AV117" s="29">
        <f t="shared" si="107"/>
        <v>0.12195121951219523</v>
      </c>
      <c r="AW117" s="38"/>
      <c r="AX117" s="38">
        <v>60000</v>
      </c>
      <c r="AY117" s="29" t="e">
        <f t="shared" si="108"/>
        <v>#DIV/0!</v>
      </c>
      <c r="AZ117" s="38">
        <f t="shared" si="109"/>
        <v>410000</v>
      </c>
      <c r="BA117" s="38">
        <f t="shared" si="109"/>
        <v>520000</v>
      </c>
      <c r="BB117" s="29">
        <f t="shared" si="110"/>
        <v>0.26829268292682928</v>
      </c>
      <c r="BC117" s="38">
        <v>100000</v>
      </c>
      <c r="BD117" s="38"/>
      <c r="BE117" s="29">
        <f t="shared" si="111"/>
        <v>-1</v>
      </c>
      <c r="BF117" s="38">
        <f t="shared" si="112"/>
        <v>510000</v>
      </c>
      <c r="BG117" s="38">
        <f t="shared" si="112"/>
        <v>520000</v>
      </c>
      <c r="BH117" s="29">
        <f t="shared" si="113"/>
        <v>1.9607843137254832E-2</v>
      </c>
      <c r="BI117" s="102">
        <v>110000</v>
      </c>
      <c r="BJ117" s="111">
        <v>100000</v>
      </c>
      <c r="BK117" s="22">
        <v>100000</v>
      </c>
      <c r="BL117" s="22">
        <v>820000</v>
      </c>
      <c r="BM117" s="96">
        <f t="shared" si="114"/>
        <v>0.65</v>
      </c>
      <c r="BN117" s="88">
        <v>20000</v>
      </c>
      <c r="BO117" s="22">
        <v>20000</v>
      </c>
    </row>
    <row r="118" spans="1:67">
      <c r="A118" s="80" t="s">
        <v>29</v>
      </c>
      <c r="B118" s="80" t="s">
        <v>29</v>
      </c>
      <c r="C118" s="81" t="s">
        <v>221</v>
      </c>
      <c r="D118" s="33" t="s">
        <v>65</v>
      </c>
      <c r="E118" s="33" t="s">
        <v>65</v>
      </c>
      <c r="F118" s="33" t="s">
        <v>222</v>
      </c>
      <c r="G118" s="33" t="s">
        <v>222</v>
      </c>
      <c r="H118" s="22" t="s">
        <v>223</v>
      </c>
      <c r="I118" s="110">
        <v>200</v>
      </c>
      <c r="J118" s="111">
        <v>150726</v>
      </c>
      <c r="K118" s="111">
        <v>20575</v>
      </c>
      <c r="L118" s="29">
        <f t="shared" si="89"/>
        <v>-0.86349402226556804</v>
      </c>
      <c r="M118" s="22">
        <v>53331</v>
      </c>
      <c r="N118" s="22">
        <v>-371.06</v>
      </c>
      <c r="O118" s="29">
        <f t="shared" si="90"/>
        <v>-1.0069576793984736</v>
      </c>
      <c r="P118" s="22">
        <f t="shared" si="91"/>
        <v>204057</v>
      </c>
      <c r="Q118" s="22">
        <f t="shared" si="91"/>
        <v>20203.939999999999</v>
      </c>
      <c r="R118" s="29">
        <f t="shared" si="92"/>
        <v>-0.90098874334132129</v>
      </c>
      <c r="S118" s="38">
        <v>35010</v>
      </c>
      <c r="T118" s="38">
        <f>8648+20304.6</f>
        <v>28952.6</v>
      </c>
      <c r="U118" s="29">
        <f t="shared" si="93"/>
        <v>-0.1730191373893174</v>
      </c>
      <c r="V118" s="38">
        <f t="shared" si="94"/>
        <v>239067</v>
      </c>
      <c r="W118" s="38">
        <f t="shared" si="94"/>
        <v>49156.539999999994</v>
      </c>
      <c r="X118" s="29">
        <f t="shared" si="95"/>
        <v>-0.79438174235674519</v>
      </c>
      <c r="Y118" s="22">
        <v>60312</v>
      </c>
      <c r="Z118" s="22">
        <v>32656</v>
      </c>
      <c r="AA118" s="29">
        <f t="shared" si="96"/>
        <v>-0.45854887916169251</v>
      </c>
      <c r="AB118" s="22">
        <f t="shared" si="97"/>
        <v>299379</v>
      </c>
      <c r="AC118" s="22">
        <f t="shared" si="97"/>
        <v>81812.539999999994</v>
      </c>
      <c r="AD118" s="29">
        <f t="shared" si="98"/>
        <v>-0.72672585585495308</v>
      </c>
      <c r="AE118" s="22">
        <v>49398</v>
      </c>
      <c r="AF118" s="22">
        <v>105620</v>
      </c>
      <c r="AG118" s="29">
        <f t="shared" si="99"/>
        <v>1.138143244665776</v>
      </c>
      <c r="AH118" s="22">
        <f t="shared" si="100"/>
        <v>348777</v>
      </c>
      <c r="AI118" s="22">
        <f t="shared" si="100"/>
        <v>187432.53999999998</v>
      </c>
      <c r="AJ118" s="29">
        <f t="shared" si="101"/>
        <v>-0.46260063020210629</v>
      </c>
      <c r="AK118" s="22">
        <v>91407</v>
      </c>
      <c r="AL118" s="22">
        <f>17340+11306</f>
        <v>28646</v>
      </c>
      <c r="AM118" s="29">
        <f t="shared" si="102"/>
        <v>-0.68661043464942506</v>
      </c>
      <c r="AN118" s="22">
        <f t="shared" si="103"/>
        <v>440184</v>
      </c>
      <c r="AO118" s="22">
        <f t="shared" si="103"/>
        <v>216078.53999999998</v>
      </c>
      <c r="AP118" s="29">
        <f t="shared" si="104"/>
        <v>-0.5091176871490104</v>
      </c>
      <c r="AQ118" s="22">
        <v>102755</v>
      </c>
      <c r="AR118" s="22">
        <v>103214</v>
      </c>
      <c r="AS118" s="29">
        <f t="shared" si="105"/>
        <v>4.4669359155271593E-3</v>
      </c>
      <c r="AT118" s="22">
        <f t="shared" si="106"/>
        <v>542939</v>
      </c>
      <c r="AU118" s="22">
        <f t="shared" si="106"/>
        <v>319292.53999999998</v>
      </c>
      <c r="AV118" s="29">
        <f t="shared" si="107"/>
        <v>-0.41191820812282787</v>
      </c>
      <c r="AW118" s="38">
        <v>96945</v>
      </c>
      <c r="AX118" s="38">
        <v>78496</v>
      </c>
      <c r="AY118" s="29">
        <f t="shared" si="108"/>
        <v>-0.19030378049409458</v>
      </c>
      <c r="AZ118" s="38">
        <f t="shared" si="109"/>
        <v>639884</v>
      </c>
      <c r="BA118" s="38">
        <f t="shared" si="109"/>
        <v>397788.54</v>
      </c>
      <c r="BB118" s="29">
        <f t="shared" si="110"/>
        <v>-0.37834273086997017</v>
      </c>
      <c r="BC118" s="38">
        <v>121278</v>
      </c>
      <c r="BD118" s="38">
        <v>144395</v>
      </c>
      <c r="BE118" s="29">
        <f t="shared" si="111"/>
        <v>0.19061165256682999</v>
      </c>
      <c r="BF118" s="38">
        <f t="shared" si="112"/>
        <v>761162</v>
      </c>
      <c r="BG118" s="38">
        <f t="shared" si="112"/>
        <v>542183.54</v>
      </c>
      <c r="BH118" s="29">
        <f t="shared" si="113"/>
        <v>-0.28768969023676949</v>
      </c>
      <c r="BI118" s="102">
        <v>269643.8</v>
      </c>
      <c r="BJ118" s="111">
        <v>186250.18</v>
      </c>
      <c r="BK118" s="22">
        <v>311638</v>
      </c>
      <c r="BL118" s="22">
        <v>1601249.98</v>
      </c>
      <c r="BM118" s="96">
        <f t="shared" si="114"/>
        <v>0.27109177000000001</v>
      </c>
      <c r="BN118" s="22">
        <v>72556</v>
      </c>
      <c r="BO118" s="22"/>
    </row>
    <row r="119" spans="1:67">
      <c r="A119" s="80" t="s">
        <v>29</v>
      </c>
      <c r="B119" s="80" t="s">
        <v>29</v>
      </c>
      <c r="C119" s="81" t="s">
        <v>224</v>
      </c>
      <c r="D119" s="33" t="s">
        <v>84</v>
      </c>
      <c r="E119" s="33" t="s">
        <v>84</v>
      </c>
      <c r="F119" s="33" t="s">
        <v>217</v>
      </c>
      <c r="G119" s="33" t="s">
        <v>218</v>
      </c>
      <c r="H119" s="33" t="s">
        <v>219</v>
      </c>
      <c r="I119" s="110">
        <v>130</v>
      </c>
      <c r="J119" s="111">
        <v>80554</v>
      </c>
      <c r="K119" s="111">
        <v>54160</v>
      </c>
      <c r="L119" s="29">
        <f t="shared" si="89"/>
        <v>-0.32765598232241722</v>
      </c>
      <c r="M119" s="22">
        <v>42545</v>
      </c>
      <c r="N119" s="22">
        <v>78703.5</v>
      </c>
      <c r="O119" s="29">
        <f t="shared" si="90"/>
        <v>0.84988835350805036</v>
      </c>
      <c r="P119" s="22">
        <f t="shared" si="91"/>
        <v>123099</v>
      </c>
      <c r="Q119" s="22">
        <f t="shared" si="91"/>
        <v>132863.5</v>
      </c>
      <c r="R119" s="29">
        <f t="shared" si="92"/>
        <v>7.9322334056328714E-2</v>
      </c>
      <c r="S119" s="38">
        <v>80322</v>
      </c>
      <c r="T119" s="38">
        <v>111622</v>
      </c>
      <c r="U119" s="29">
        <f t="shared" si="93"/>
        <v>0.38968153183436671</v>
      </c>
      <c r="V119" s="38">
        <f t="shared" si="94"/>
        <v>203421</v>
      </c>
      <c r="W119" s="38">
        <f t="shared" si="94"/>
        <v>244485.5</v>
      </c>
      <c r="X119" s="29">
        <f t="shared" si="95"/>
        <v>0.20186952182911311</v>
      </c>
      <c r="Y119" s="22">
        <v>82245</v>
      </c>
      <c r="Z119" s="22">
        <v>108126.8</v>
      </c>
      <c r="AA119" s="29">
        <f t="shared" si="96"/>
        <v>0.31469147060611591</v>
      </c>
      <c r="AB119" s="22">
        <f t="shared" si="97"/>
        <v>285666</v>
      </c>
      <c r="AC119" s="22">
        <f t="shared" si="97"/>
        <v>352612.3</v>
      </c>
      <c r="AD119" s="29">
        <f t="shared" si="98"/>
        <v>0.23435165542976755</v>
      </c>
      <c r="AE119" s="22">
        <v>78688</v>
      </c>
      <c r="AF119" s="22">
        <v>62030</v>
      </c>
      <c r="AG119" s="29">
        <f t="shared" si="99"/>
        <v>-0.21169682797885314</v>
      </c>
      <c r="AH119" s="22">
        <f t="shared" si="100"/>
        <v>364354</v>
      </c>
      <c r="AI119" s="22">
        <f t="shared" si="100"/>
        <v>414642.3</v>
      </c>
      <c r="AJ119" s="29">
        <f t="shared" si="101"/>
        <v>0.13802044165838723</v>
      </c>
      <c r="AK119" s="22">
        <v>102296</v>
      </c>
      <c r="AL119" s="22">
        <v>136503.79999999999</v>
      </c>
      <c r="AM119" s="29">
        <f t="shared" si="102"/>
        <v>0.33440017204973782</v>
      </c>
      <c r="AN119" s="22">
        <f t="shared" si="103"/>
        <v>466650</v>
      </c>
      <c r="AO119" s="22">
        <f t="shared" si="103"/>
        <v>551146.1</v>
      </c>
      <c r="AP119" s="29">
        <f t="shared" si="104"/>
        <v>0.1810695381977927</v>
      </c>
      <c r="AQ119" s="22">
        <v>92823</v>
      </c>
      <c r="AR119" s="22">
        <v>49728.5</v>
      </c>
      <c r="AS119" s="29">
        <f t="shared" si="105"/>
        <v>-0.46426532217230643</v>
      </c>
      <c r="AT119" s="22">
        <f t="shared" si="106"/>
        <v>559473</v>
      </c>
      <c r="AU119" s="22">
        <f t="shared" si="106"/>
        <v>600874.6</v>
      </c>
      <c r="AV119" s="29">
        <f t="shared" si="107"/>
        <v>7.400106886301927E-2</v>
      </c>
      <c r="AW119" s="38">
        <v>88958</v>
      </c>
      <c r="AX119" s="38">
        <v>111809</v>
      </c>
      <c r="AY119" s="29">
        <f t="shared" si="108"/>
        <v>0.25687403044133195</v>
      </c>
      <c r="AZ119" s="38">
        <f t="shared" si="109"/>
        <v>648431</v>
      </c>
      <c r="BA119" s="38">
        <f t="shared" si="109"/>
        <v>712683.6</v>
      </c>
      <c r="BB119" s="29">
        <f t="shared" si="110"/>
        <v>9.9089340269049364E-2</v>
      </c>
      <c r="BC119" s="38">
        <v>137424</v>
      </c>
      <c r="BD119" s="38">
        <v>82873</v>
      </c>
      <c r="BE119" s="29">
        <f t="shared" si="111"/>
        <v>-0.39695395273023637</v>
      </c>
      <c r="BF119" s="38">
        <f t="shared" si="112"/>
        <v>785855</v>
      </c>
      <c r="BG119" s="38">
        <f t="shared" si="112"/>
        <v>795556.6</v>
      </c>
      <c r="BH119" s="29">
        <f t="shared" si="113"/>
        <v>1.2345279981675894E-2</v>
      </c>
      <c r="BI119" s="102">
        <v>145840</v>
      </c>
      <c r="BJ119" s="111">
        <v>154297</v>
      </c>
      <c r="BK119" s="22">
        <v>217980</v>
      </c>
      <c r="BL119" s="22">
        <v>1303972</v>
      </c>
      <c r="BM119" s="96">
        <f t="shared" si="114"/>
        <v>0.61196661538461539</v>
      </c>
      <c r="BN119" s="22"/>
      <c r="BO119" s="22"/>
    </row>
    <row r="120" spans="1:67">
      <c r="A120" s="80" t="s">
        <v>29</v>
      </c>
      <c r="B120" s="80" t="s">
        <v>29</v>
      </c>
      <c r="C120" s="81" t="s">
        <v>225</v>
      </c>
      <c r="D120" s="33" t="s">
        <v>84</v>
      </c>
      <c r="E120" s="33" t="s">
        <v>84</v>
      </c>
      <c r="F120" s="33" t="s">
        <v>226</v>
      </c>
      <c r="G120" s="33" t="s">
        <v>226</v>
      </c>
      <c r="H120" s="33" t="s">
        <v>214</v>
      </c>
      <c r="I120" s="110">
        <v>65</v>
      </c>
      <c r="J120" s="111">
        <v>41916</v>
      </c>
      <c r="K120" s="111">
        <v>10650</v>
      </c>
      <c r="L120" s="29">
        <f t="shared" si="89"/>
        <v>-0.74592041225307759</v>
      </c>
      <c r="M120" s="22">
        <v>17600</v>
      </c>
      <c r="N120" s="22">
        <v>18535.5</v>
      </c>
      <c r="O120" s="29">
        <f t="shared" si="90"/>
        <v>5.3153409090909154E-2</v>
      </c>
      <c r="P120" s="22">
        <f t="shared" si="91"/>
        <v>59516</v>
      </c>
      <c r="Q120" s="22">
        <f t="shared" si="91"/>
        <v>29185.5</v>
      </c>
      <c r="R120" s="29">
        <f t="shared" si="92"/>
        <v>-0.50961926204718067</v>
      </c>
      <c r="S120" s="38">
        <v>56848.08</v>
      </c>
      <c r="T120" s="38">
        <v>58315</v>
      </c>
      <c r="U120" s="29">
        <f t="shared" si="93"/>
        <v>2.5804213616361427E-2</v>
      </c>
      <c r="V120" s="38">
        <f t="shared" si="94"/>
        <v>116364.08</v>
      </c>
      <c r="W120" s="38">
        <f t="shared" si="94"/>
        <v>87500.5</v>
      </c>
      <c r="X120" s="29">
        <f t="shared" si="95"/>
        <v>-0.24804544495174108</v>
      </c>
      <c r="Y120" s="22">
        <v>37938</v>
      </c>
      <c r="Z120" s="22">
        <v>31440</v>
      </c>
      <c r="AA120" s="29">
        <f t="shared" si="96"/>
        <v>-0.17127945595445204</v>
      </c>
      <c r="AB120" s="22">
        <f t="shared" si="97"/>
        <v>154302.08000000002</v>
      </c>
      <c r="AC120" s="22">
        <f t="shared" si="97"/>
        <v>118940.5</v>
      </c>
      <c r="AD120" s="29">
        <f t="shared" si="98"/>
        <v>-0.22917111681190572</v>
      </c>
      <c r="AE120" s="22">
        <v>39900</v>
      </c>
      <c r="AF120" s="22">
        <v>10279</v>
      </c>
      <c r="AG120" s="29">
        <f t="shared" si="99"/>
        <v>-0.74238095238095236</v>
      </c>
      <c r="AH120" s="22">
        <f t="shared" si="100"/>
        <v>194202.08000000002</v>
      </c>
      <c r="AI120" s="22">
        <f t="shared" si="100"/>
        <v>129219.5</v>
      </c>
      <c r="AJ120" s="29">
        <f t="shared" si="101"/>
        <v>-0.33461320290699259</v>
      </c>
      <c r="AK120" s="22">
        <v>47460</v>
      </c>
      <c r="AL120" s="22">
        <v>52960</v>
      </c>
      <c r="AM120" s="29">
        <f t="shared" si="102"/>
        <v>0.11588706278971772</v>
      </c>
      <c r="AN120" s="22">
        <f t="shared" si="103"/>
        <v>241662.08000000002</v>
      </c>
      <c r="AO120" s="22">
        <f t="shared" si="103"/>
        <v>182179.5</v>
      </c>
      <c r="AP120" s="29">
        <f t="shared" si="104"/>
        <v>-0.24613948535078412</v>
      </c>
      <c r="AQ120" s="22">
        <v>30826</v>
      </c>
      <c r="AR120" s="22">
        <v>34290</v>
      </c>
      <c r="AS120" s="29">
        <f t="shared" si="105"/>
        <v>0.11237267241938631</v>
      </c>
      <c r="AT120" s="22">
        <f t="shared" si="106"/>
        <v>272488.08</v>
      </c>
      <c r="AU120" s="22">
        <f t="shared" si="106"/>
        <v>216469.5</v>
      </c>
      <c r="AV120" s="29">
        <f t="shared" si="107"/>
        <v>-0.2055817634297985</v>
      </c>
      <c r="AW120" s="38">
        <v>36600</v>
      </c>
      <c r="AX120" s="38">
        <v>29003</v>
      </c>
      <c r="AY120" s="29">
        <f t="shared" si="108"/>
        <v>-0.20756830601092902</v>
      </c>
      <c r="AZ120" s="38">
        <f t="shared" si="109"/>
        <v>309088.08</v>
      </c>
      <c r="BA120" s="38">
        <f t="shared" si="109"/>
        <v>245472.5</v>
      </c>
      <c r="BB120" s="29">
        <f t="shared" si="110"/>
        <v>-0.20581699559555977</v>
      </c>
      <c r="BC120" s="38">
        <v>109530</v>
      </c>
      <c r="BD120" s="38">
        <v>14928</v>
      </c>
      <c r="BE120" s="29">
        <f t="shared" si="111"/>
        <v>-0.86370857299370041</v>
      </c>
      <c r="BF120" s="38">
        <f t="shared" si="112"/>
        <v>418618.08</v>
      </c>
      <c r="BG120" s="38">
        <f t="shared" si="112"/>
        <v>260400.5</v>
      </c>
      <c r="BH120" s="29">
        <f t="shared" si="113"/>
        <v>-0.37795209418570741</v>
      </c>
      <c r="BI120" s="102">
        <v>64023</v>
      </c>
      <c r="BJ120" s="111">
        <v>31190</v>
      </c>
      <c r="BK120" s="22">
        <v>89844</v>
      </c>
      <c r="BL120" s="22">
        <v>603675.07999999996</v>
      </c>
      <c r="BM120" s="96">
        <f t="shared" si="114"/>
        <v>0.40061615384615384</v>
      </c>
      <c r="BN120" s="22"/>
      <c r="BO120" s="22"/>
    </row>
    <row r="121" spans="1:67">
      <c r="A121" s="80" t="s">
        <v>29</v>
      </c>
      <c r="B121" s="80" t="s">
        <v>29</v>
      </c>
      <c r="C121" s="81" t="s">
        <v>227</v>
      </c>
      <c r="D121" s="33" t="s">
        <v>84</v>
      </c>
      <c r="E121" s="33" t="s">
        <v>84</v>
      </c>
      <c r="F121" s="33" t="s">
        <v>217</v>
      </c>
      <c r="G121" s="33" t="s">
        <v>218</v>
      </c>
      <c r="H121" s="33" t="s">
        <v>219</v>
      </c>
      <c r="I121" s="110">
        <v>60</v>
      </c>
      <c r="J121" s="111">
        <v>31309</v>
      </c>
      <c r="K121" s="111">
        <v>12344</v>
      </c>
      <c r="L121" s="29">
        <f t="shared" si="89"/>
        <v>-0.60573636973394229</v>
      </c>
      <c r="M121" s="22">
        <v>8041</v>
      </c>
      <c r="N121" s="22">
        <v>39230</v>
      </c>
      <c r="O121" s="29">
        <f t="shared" si="90"/>
        <v>3.8787464245740582</v>
      </c>
      <c r="P121" s="22">
        <f t="shared" si="91"/>
        <v>39350</v>
      </c>
      <c r="Q121" s="22">
        <f t="shared" si="91"/>
        <v>51574</v>
      </c>
      <c r="R121" s="29">
        <f t="shared" si="92"/>
        <v>0.31064803049555278</v>
      </c>
      <c r="S121" s="38">
        <v>51695</v>
      </c>
      <c r="T121" s="38">
        <v>32386</v>
      </c>
      <c r="U121" s="29">
        <f t="shared" si="93"/>
        <v>-0.37351774833156015</v>
      </c>
      <c r="V121" s="38">
        <f t="shared" si="94"/>
        <v>91045</v>
      </c>
      <c r="W121" s="38">
        <f t="shared" si="94"/>
        <v>83960</v>
      </c>
      <c r="X121" s="29">
        <f t="shared" si="95"/>
        <v>-7.7818661101653031E-2</v>
      </c>
      <c r="Y121" s="22">
        <v>4856</v>
      </c>
      <c r="Z121" s="22">
        <v>40483</v>
      </c>
      <c r="AA121" s="29">
        <f t="shared" si="96"/>
        <v>7.3366968698517301</v>
      </c>
      <c r="AB121" s="22">
        <f t="shared" si="97"/>
        <v>95901</v>
      </c>
      <c r="AC121" s="22">
        <f t="shared" si="97"/>
        <v>124443</v>
      </c>
      <c r="AD121" s="29">
        <f t="shared" si="98"/>
        <v>0.29761942002690267</v>
      </c>
      <c r="AE121" s="22">
        <v>33328</v>
      </c>
      <c r="AF121" s="22">
        <v>15635</v>
      </c>
      <c r="AG121" s="29">
        <f t="shared" si="99"/>
        <v>-0.53087493999039848</v>
      </c>
      <c r="AH121" s="22">
        <f t="shared" si="100"/>
        <v>129229</v>
      </c>
      <c r="AI121" s="22">
        <f t="shared" si="100"/>
        <v>140078</v>
      </c>
      <c r="AJ121" s="29">
        <f t="shared" si="101"/>
        <v>8.3951744577455578E-2</v>
      </c>
      <c r="AK121" s="22">
        <v>33354</v>
      </c>
      <c r="AL121" s="22">
        <f>48669.1+684.9</f>
        <v>49354</v>
      </c>
      <c r="AM121" s="29">
        <f t="shared" si="102"/>
        <v>0.47970258439767344</v>
      </c>
      <c r="AN121" s="22">
        <f t="shared" si="103"/>
        <v>162583</v>
      </c>
      <c r="AO121" s="22">
        <f t="shared" si="103"/>
        <v>189432</v>
      </c>
      <c r="AP121" s="29">
        <f t="shared" si="104"/>
        <v>0.16514026681756389</v>
      </c>
      <c r="AQ121" s="22">
        <v>22540</v>
      </c>
      <c r="AR121" s="22">
        <v>18390</v>
      </c>
      <c r="AS121" s="29">
        <f t="shared" si="105"/>
        <v>-0.18411712511091394</v>
      </c>
      <c r="AT121" s="22">
        <f t="shared" si="106"/>
        <v>185123</v>
      </c>
      <c r="AU121" s="22">
        <f t="shared" si="106"/>
        <v>207822</v>
      </c>
      <c r="AV121" s="29">
        <f t="shared" si="107"/>
        <v>0.12261577437703575</v>
      </c>
      <c r="AW121" s="38">
        <v>41491</v>
      </c>
      <c r="AX121" s="38">
        <v>14529</v>
      </c>
      <c r="AY121" s="29">
        <f t="shared" si="108"/>
        <v>-0.64982767347135528</v>
      </c>
      <c r="AZ121" s="38">
        <f t="shared" si="109"/>
        <v>226614</v>
      </c>
      <c r="BA121" s="38">
        <f t="shared" si="109"/>
        <v>222351</v>
      </c>
      <c r="BB121" s="29">
        <f t="shared" si="110"/>
        <v>-1.8811723900553412E-2</v>
      </c>
      <c r="BC121" s="38">
        <v>76840</v>
      </c>
      <c r="BD121" s="38">
        <v>15915</v>
      </c>
      <c r="BE121" s="29">
        <f t="shared" si="111"/>
        <v>-0.79288131181676214</v>
      </c>
      <c r="BF121" s="38">
        <f t="shared" si="112"/>
        <v>303454</v>
      </c>
      <c r="BG121" s="38">
        <f t="shared" si="112"/>
        <v>238266</v>
      </c>
      <c r="BH121" s="29">
        <f t="shared" si="113"/>
        <v>-0.21482003862199872</v>
      </c>
      <c r="BI121" s="102">
        <v>26983</v>
      </c>
      <c r="BJ121" s="111">
        <v>44507</v>
      </c>
      <c r="BK121" s="22">
        <v>64200</v>
      </c>
      <c r="BL121" s="22">
        <v>439144</v>
      </c>
      <c r="BM121" s="96">
        <f t="shared" si="114"/>
        <v>0.39710999999999996</v>
      </c>
      <c r="BN121" s="22"/>
      <c r="BO121" s="22"/>
    </row>
    <row r="122" spans="1:67">
      <c r="A122" s="80" t="s">
        <v>29</v>
      </c>
      <c r="B122" s="80" t="s">
        <v>29</v>
      </c>
      <c r="C122" s="81" t="s">
        <v>228</v>
      </c>
      <c r="D122" s="33" t="s">
        <v>84</v>
      </c>
      <c r="E122" s="33" t="s">
        <v>84</v>
      </c>
      <c r="F122" s="33" t="s">
        <v>226</v>
      </c>
      <c r="G122" s="33" t="s">
        <v>226</v>
      </c>
      <c r="H122" s="33" t="s">
        <v>214</v>
      </c>
      <c r="I122" s="110">
        <v>100</v>
      </c>
      <c r="J122" s="111">
        <v>81730</v>
      </c>
      <c r="K122" s="111">
        <v>39988</v>
      </c>
      <c r="L122" s="29">
        <f t="shared" si="89"/>
        <v>-0.5107304539336841</v>
      </c>
      <c r="M122" s="22">
        <v>45126</v>
      </c>
      <c r="N122" s="22">
        <v>13201</v>
      </c>
      <c r="O122" s="29">
        <f t="shared" si="90"/>
        <v>-0.70746354651420473</v>
      </c>
      <c r="P122" s="22">
        <f t="shared" si="91"/>
        <v>126856</v>
      </c>
      <c r="Q122" s="22">
        <f t="shared" si="91"/>
        <v>53189</v>
      </c>
      <c r="R122" s="29">
        <f t="shared" si="92"/>
        <v>-0.58071356498707194</v>
      </c>
      <c r="S122" s="38">
        <v>43497</v>
      </c>
      <c r="T122" s="38">
        <v>21058</v>
      </c>
      <c r="U122" s="29">
        <f t="shared" si="93"/>
        <v>-0.5158746580223923</v>
      </c>
      <c r="V122" s="38">
        <f t="shared" si="94"/>
        <v>170353</v>
      </c>
      <c r="W122" s="38">
        <f t="shared" si="94"/>
        <v>74247</v>
      </c>
      <c r="X122" s="29">
        <f t="shared" si="95"/>
        <v>-0.56415795436534721</v>
      </c>
      <c r="Y122" s="22">
        <v>94183</v>
      </c>
      <c r="Z122" s="22">
        <v>54727</v>
      </c>
      <c r="AA122" s="29">
        <f t="shared" si="96"/>
        <v>-0.41892910610195044</v>
      </c>
      <c r="AB122" s="22">
        <f t="shared" si="97"/>
        <v>264536</v>
      </c>
      <c r="AC122" s="22">
        <f t="shared" si="97"/>
        <v>128974</v>
      </c>
      <c r="AD122" s="29">
        <f t="shared" si="98"/>
        <v>-0.51245199141137698</v>
      </c>
      <c r="AE122" s="22">
        <v>76709</v>
      </c>
      <c r="AF122" s="22">
        <v>57103</v>
      </c>
      <c r="AG122" s="29">
        <f t="shared" si="99"/>
        <v>-0.25558930503591493</v>
      </c>
      <c r="AH122" s="22">
        <f t="shared" si="100"/>
        <v>341245</v>
      </c>
      <c r="AI122" s="22">
        <f t="shared" si="100"/>
        <v>186077</v>
      </c>
      <c r="AJ122" s="29">
        <f t="shared" si="101"/>
        <v>-0.45471142434321377</v>
      </c>
      <c r="AK122" s="22">
        <v>40780</v>
      </c>
      <c r="AL122" s="22">
        <v>114665</v>
      </c>
      <c r="AM122" s="29">
        <f t="shared" si="102"/>
        <v>1.8117949975478176</v>
      </c>
      <c r="AN122" s="22">
        <f t="shared" si="103"/>
        <v>382025</v>
      </c>
      <c r="AO122" s="22">
        <f t="shared" si="103"/>
        <v>300742</v>
      </c>
      <c r="AP122" s="29">
        <f t="shared" si="104"/>
        <v>-0.21276879785354363</v>
      </c>
      <c r="AQ122" s="22">
        <v>39027</v>
      </c>
      <c r="AR122" s="22">
        <v>67125</v>
      </c>
      <c r="AS122" s="29">
        <f t="shared" si="105"/>
        <v>0.71996310246752238</v>
      </c>
      <c r="AT122" s="22">
        <f t="shared" si="106"/>
        <v>421052</v>
      </c>
      <c r="AU122" s="22">
        <f t="shared" si="106"/>
        <v>367867</v>
      </c>
      <c r="AV122" s="29">
        <f t="shared" si="107"/>
        <v>-0.12631456447184675</v>
      </c>
      <c r="AW122" s="38">
        <v>35395</v>
      </c>
      <c r="AX122" s="38">
        <v>12426</v>
      </c>
      <c r="AY122" s="29">
        <f t="shared" si="108"/>
        <v>-0.64893346517869754</v>
      </c>
      <c r="AZ122" s="38">
        <f t="shared" si="109"/>
        <v>456447</v>
      </c>
      <c r="BA122" s="38">
        <f t="shared" si="109"/>
        <v>380293</v>
      </c>
      <c r="BB122" s="29">
        <f t="shared" si="110"/>
        <v>-0.1668408380381512</v>
      </c>
      <c r="BC122" s="38">
        <v>99849</v>
      </c>
      <c r="BD122" s="38">
        <v>55820</v>
      </c>
      <c r="BE122" s="29">
        <f t="shared" si="111"/>
        <v>-0.44095584332341842</v>
      </c>
      <c r="BF122" s="38">
        <f t="shared" si="112"/>
        <v>556296</v>
      </c>
      <c r="BG122" s="38">
        <f t="shared" si="112"/>
        <v>436113</v>
      </c>
      <c r="BH122" s="29">
        <f t="shared" si="113"/>
        <v>-0.21604145994218904</v>
      </c>
      <c r="BI122" s="102">
        <v>150005</v>
      </c>
      <c r="BJ122" s="111">
        <v>125373</v>
      </c>
      <c r="BK122" s="22">
        <v>146730</v>
      </c>
      <c r="BL122" s="22">
        <v>978404</v>
      </c>
      <c r="BM122" s="96">
        <f t="shared" si="114"/>
        <v>0.43611299999999997</v>
      </c>
      <c r="BN122" s="22"/>
      <c r="BO122" s="22"/>
    </row>
    <row r="123" spans="1:67">
      <c r="A123" s="80" t="s">
        <v>29</v>
      </c>
      <c r="B123" s="80" t="s">
        <v>29</v>
      </c>
      <c r="C123" s="81" t="s">
        <v>229</v>
      </c>
      <c r="D123" s="33" t="s">
        <v>84</v>
      </c>
      <c r="E123" s="33" t="s">
        <v>84</v>
      </c>
      <c r="F123" s="176" t="s">
        <v>230</v>
      </c>
      <c r="G123" s="176" t="s">
        <v>230</v>
      </c>
      <c r="H123" s="22" t="s">
        <v>223</v>
      </c>
      <c r="I123" s="110">
        <v>60</v>
      </c>
      <c r="J123" s="111">
        <v>40400</v>
      </c>
      <c r="K123" s="111">
        <v>11976</v>
      </c>
      <c r="L123" s="29">
        <f t="shared" si="89"/>
        <v>-0.70356435643564352</v>
      </c>
      <c r="M123" s="22"/>
      <c r="N123" s="22">
        <v>18243</v>
      </c>
      <c r="O123" s="29" t="e">
        <f t="shared" si="90"/>
        <v>#DIV/0!</v>
      </c>
      <c r="P123" s="22">
        <f t="shared" si="91"/>
        <v>40400</v>
      </c>
      <c r="Q123" s="22">
        <f t="shared" si="91"/>
        <v>30219</v>
      </c>
      <c r="R123" s="29">
        <f t="shared" si="92"/>
        <v>-0.25200495049504945</v>
      </c>
      <c r="S123" s="38">
        <v>70354</v>
      </c>
      <c r="T123" s="38">
        <v>20557</v>
      </c>
      <c r="U123" s="29">
        <f t="shared" si="93"/>
        <v>-0.70780623702987744</v>
      </c>
      <c r="V123" s="38">
        <f t="shared" si="94"/>
        <v>110754</v>
      </c>
      <c r="W123" s="38">
        <f t="shared" si="94"/>
        <v>50776</v>
      </c>
      <c r="X123" s="29">
        <f t="shared" si="95"/>
        <v>-0.54154251765173267</v>
      </c>
      <c r="Y123" s="22">
        <v>51905</v>
      </c>
      <c r="Z123" s="22">
        <v>28765</v>
      </c>
      <c r="AA123" s="29">
        <f t="shared" si="96"/>
        <v>-0.44581446874096908</v>
      </c>
      <c r="AB123" s="22">
        <f t="shared" si="97"/>
        <v>162659</v>
      </c>
      <c r="AC123" s="22">
        <f t="shared" si="97"/>
        <v>79541</v>
      </c>
      <c r="AD123" s="29">
        <f t="shared" si="98"/>
        <v>-0.51099539527477722</v>
      </c>
      <c r="AE123" s="22">
        <v>33354</v>
      </c>
      <c r="AF123" s="22">
        <v>28316</v>
      </c>
      <c r="AG123" s="29">
        <f t="shared" si="99"/>
        <v>-0.15104635126221744</v>
      </c>
      <c r="AH123" s="22">
        <f t="shared" si="100"/>
        <v>196013</v>
      </c>
      <c r="AI123" s="22">
        <f t="shared" si="100"/>
        <v>107857</v>
      </c>
      <c r="AJ123" s="29">
        <f t="shared" si="101"/>
        <v>-0.4497456801334605</v>
      </c>
      <c r="AK123" s="22">
        <v>35992</v>
      </c>
      <c r="AL123" s="22">
        <v>46365</v>
      </c>
      <c r="AM123" s="29">
        <f t="shared" si="102"/>
        <v>0.28820293398533003</v>
      </c>
      <c r="AN123" s="22">
        <f t="shared" si="103"/>
        <v>232005</v>
      </c>
      <c r="AO123" s="22">
        <f t="shared" si="103"/>
        <v>154222</v>
      </c>
      <c r="AP123" s="29">
        <f t="shared" si="104"/>
        <v>-0.33526432619986635</v>
      </c>
      <c r="AQ123" s="22">
        <v>61052</v>
      </c>
      <c r="AR123" s="22">
        <v>39090.400000000001</v>
      </c>
      <c r="AS123" s="29">
        <f t="shared" si="105"/>
        <v>-0.35971958330603415</v>
      </c>
      <c r="AT123" s="22">
        <f t="shared" si="106"/>
        <v>293057</v>
      </c>
      <c r="AU123" s="22">
        <f t="shared" si="106"/>
        <v>193312.4</v>
      </c>
      <c r="AV123" s="29">
        <f t="shared" si="107"/>
        <v>-0.34035904278007356</v>
      </c>
      <c r="AW123" s="38">
        <v>46235</v>
      </c>
      <c r="AX123" s="38">
        <v>23559</v>
      </c>
      <c r="AY123" s="29">
        <f t="shared" si="108"/>
        <v>-0.49045095706715691</v>
      </c>
      <c r="AZ123" s="38">
        <f t="shared" si="109"/>
        <v>339292</v>
      </c>
      <c r="BA123" s="38">
        <f t="shared" si="109"/>
        <v>216871.4</v>
      </c>
      <c r="BB123" s="29">
        <f t="shared" si="110"/>
        <v>-0.36081192601063394</v>
      </c>
      <c r="BC123" s="38">
        <v>119225.17</v>
      </c>
      <c r="BD123" s="38">
        <v>24940</v>
      </c>
      <c r="BE123" s="29">
        <f t="shared" si="111"/>
        <v>-0.79081598290025501</v>
      </c>
      <c r="BF123" s="38">
        <f t="shared" si="112"/>
        <v>458517.17</v>
      </c>
      <c r="BG123" s="38">
        <f t="shared" si="112"/>
        <v>241811.4</v>
      </c>
      <c r="BH123" s="29">
        <f t="shared" si="113"/>
        <v>-0.47262302085655805</v>
      </c>
      <c r="BI123" s="102">
        <v>89725</v>
      </c>
      <c r="BJ123" s="111">
        <v>58495</v>
      </c>
      <c r="BK123" s="22">
        <v>53761</v>
      </c>
      <c r="BL123" s="22">
        <v>708006.17</v>
      </c>
      <c r="BM123" s="96">
        <f t="shared" si="114"/>
        <v>0.40301899999999996</v>
      </c>
      <c r="BN123" s="22">
        <v>47508</v>
      </c>
      <c r="BO123" s="22"/>
    </row>
    <row r="124" spans="1:67">
      <c r="A124" s="80" t="s">
        <v>29</v>
      </c>
      <c r="B124" s="80" t="s">
        <v>29</v>
      </c>
      <c r="C124" s="81" t="s">
        <v>231</v>
      </c>
      <c r="D124" s="33" t="s">
        <v>65</v>
      </c>
      <c r="E124" s="33" t="s">
        <v>65</v>
      </c>
      <c r="F124" s="176" t="s">
        <v>232</v>
      </c>
      <c r="G124" s="176" t="s">
        <v>232</v>
      </c>
      <c r="H124" s="22" t="s">
        <v>223</v>
      </c>
      <c r="I124" s="110">
        <v>100</v>
      </c>
      <c r="J124" s="111"/>
      <c r="K124" s="111">
        <v>3</v>
      </c>
      <c r="L124" s="29" t="e">
        <f t="shared" si="89"/>
        <v>#DIV/0!</v>
      </c>
      <c r="M124" s="22"/>
      <c r="N124" s="22"/>
      <c r="O124" s="29" t="e">
        <f t="shared" si="90"/>
        <v>#DIV/0!</v>
      </c>
      <c r="P124" s="22">
        <f t="shared" si="91"/>
        <v>0</v>
      </c>
      <c r="Q124" s="22">
        <f t="shared" si="91"/>
        <v>3</v>
      </c>
      <c r="R124" s="29" t="e">
        <f t="shared" si="92"/>
        <v>#DIV/0!</v>
      </c>
      <c r="S124" s="38">
        <v>40000</v>
      </c>
      <c r="T124" s="38"/>
      <c r="U124" s="29">
        <f t="shared" si="93"/>
        <v>-1</v>
      </c>
      <c r="V124" s="38">
        <f t="shared" si="94"/>
        <v>40000</v>
      </c>
      <c r="W124" s="38">
        <f t="shared" si="94"/>
        <v>3</v>
      </c>
      <c r="X124" s="29">
        <f t="shared" si="95"/>
        <v>-0.99992499999999995</v>
      </c>
      <c r="Y124" s="22"/>
      <c r="Z124" s="22"/>
      <c r="AA124" s="29" t="e">
        <f t="shared" si="96"/>
        <v>#DIV/0!</v>
      </c>
      <c r="AB124" s="22">
        <f t="shared" si="97"/>
        <v>40000</v>
      </c>
      <c r="AC124" s="22">
        <f t="shared" si="97"/>
        <v>3</v>
      </c>
      <c r="AD124" s="29">
        <f t="shared" si="98"/>
        <v>-0.99992499999999995</v>
      </c>
      <c r="AE124" s="22">
        <v>80000</v>
      </c>
      <c r="AF124" s="22">
        <v>13300</v>
      </c>
      <c r="AG124" s="29">
        <f t="shared" si="99"/>
        <v>-0.83374999999999999</v>
      </c>
      <c r="AH124" s="22">
        <f t="shared" si="100"/>
        <v>120000</v>
      </c>
      <c r="AI124" s="22">
        <f t="shared" si="100"/>
        <v>13303</v>
      </c>
      <c r="AJ124" s="29">
        <f t="shared" si="101"/>
        <v>-0.88914166666666672</v>
      </c>
      <c r="AK124" s="22"/>
      <c r="AL124" s="22">
        <v>63499</v>
      </c>
      <c r="AM124" s="29" t="e">
        <f t="shared" si="102"/>
        <v>#DIV/0!</v>
      </c>
      <c r="AN124" s="22">
        <f t="shared" si="103"/>
        <v>120000</v>
      </c>
      <c r="AO124" s="22">
        <f t="shared" si="103"/>
        <v>76802</v>
      </c>
      <c r="AP124" s="29">
        <f t="shared" si="104"/>
        <v>-0.35998333333333332</v>
      </c>
      <c r="AQ124" s="22">
        <v>35000</v>
      </c>
      <c r="AR124" s="22">
        <v>32380</v>
      </c>
      <c r="AS124" s="29">
        <f t="shared" si="105"/>
        <v>-7.4857142857142844E-2</v>
      </c>
      <c r="AT124" s="22">
        <f t="shared" si="106"/>
        <v>155000</v>
      </c>
      <c r="AU124" s="22">
        <f t="shared" si="106"/>
        <v>109182</v>
      </c>
      <c r="AV124" s="29">
        <f t="shared" si="107"/>
        <v>-0.29559999999999997</v>
      </c>
      <c r="AW124" s="38">
        <v>316</v>
      </c>
      <c r="AX124" s="38">
        <v>10000</v>
      </c>
      <c r="AY124" s="29">
        <f t="shared" si="108"/>
        <v>30.645569620253166</v>
      </c>
      <c r="AZ124" s="38">
        <f t="shared" si="109"/>
        <v>155316</v>
      </c>
      <c r="BA124" s="38">
        <f t="shared" si="109"/>
        <v>119182</v>
      </c>
      <c r="BB124" s="29">
        <f t="shared" si="110"/>
        <v>-0.23264827834865698</v>
      </c>
      <c r="BC124" s="38">
        <v>78510</v>
      </c>
      <c r="BD124" s="38">
        <v>30000</v>
      </c>
      <c r="BE124" s="29">
        <f t="shared" si="111"/>
        <v>-0.61788307222009942</v>
      </c>
      <c r="BF124" s="38">
        <f t="shared" si="112"/>
        <v>233826</v>
      </c>
      <c r="BG124" s="38">
        <f t="shared" si="112"/>
        <v>149182</v>
      </c>
      <c r="BH124" s="29">
        <f t="shared" si="113"/>
        <v>-0.36199567199541538</v>
      </c>
      <c r="BI124" s="102">
        <v>140894</v>
      </c>
      <c r="BJ124" s="111">
        <v>84652</v>
      </c>
      <c r="BK124" s="22">
        <v>183503</v>
      </c>
      <c r="BL124" s="22">
        <v>691204</v>
      </c>
      <c r="BM124" s="96">
        <f t="shared" si="114"/>
        <v>0.14918200000000001</v>
      </c>
      <c r="BN124" s="22">
        <v>48329</v>
      </c>
      <c r="BO124" s="22"/>
    </row>
    <row r="125" spans="1:67">
      <c r="A125" s="80" t="s">
        <v>29</v>
      </c>
      <c r="B125" s="80" t="s">
        <v>29</v>
      </c>
      <c r="C125" s="81" t="s">
        <v>233</v>
      </c>
      <c r="D125" s="33" t="s">
        <v>61</v>
      </c>
      <c r="E125" s="33" t="s">
        <v>61</v>
      </c>
      <c r="F125" s="33" t="s">
        <v>226</v>
      </c>
      <c r="G125" s="33" t="s">
        <v>226</v>
      </c>
      <c r="H125" s="33" t="s">
        <v>214</v>
      </c>
      <c r="I125" s="110">
        <v>6</v>
      </c>
      <c r="J125" s="111"/>
      <c r="K125" s="111"/>
      <c r="L125" s="29" t="e">
        <f t="shared" si="89"/>
        <v>#DIV/0!</v>
      </c>
      <c r="M125" s="22"/>
      <c r="N125" s="22"/>
      <c r="O125" s="29" t="e">
        <f t="shared" si="90"/>
        <v>#DIV/0!</v>
      </c>
      <c r="P125" s="22">
        <f t="shared" si="91"/>
        <v>0</v>
      </c>
      <c r="Q125" s="22">
        <f t="shared" si="91"/>
        <v>0</v>
      </c>
      <c r="R125" s="29" t="e">
        <f t="shared" si="92"/>
        <v>#DIV/0!</v>
      </c>
      <c r="S125" s="38"/>
      <c r="T125" s="38">
        <v>3330</v>
      </c>
      <c r="U125" s="29" t="e">
        <f t="shared" si="93"/>
        <v>#DIV/0!</v>
      </c>
      <c r="V125" s="38">
        <f t="shared" si="94"/>
        <v>0</v>
      </c>
      <c r="W125" s="38">
        <f t="shared" si="94"/>
        <v>3330</v>
      </c>
      <c r="X125" s="29" t="e">
        <f t="shared" si="95"/>
        <v>#DIV/0!</v>
      </c>
      <c r="Y125" s="22"/>
      <c r="Z125" s="22">
        <v>4094</v>
      </c>
      <c r="AA125" s="29" t="e">
        <f t="shared" si="96"/>
        <v>#DIV/0!</v>
      </c>
      <c r="AB125" s="22">
        <f t="shared" si="97"/>
        <v>0</v>
      </c>
      <c r="AC125" s="22">
        <f t="shared" si="97"/>
        <v>7424</v>
      </c>
      <c r="AD125" s="29" t="e">
        <f t="shared" si="98"/>
        <v>#DIV/0!</v>
      </c>
      <c r="AE125" s="22"/>
      <c r="AF125" s="22"/>
      <c r="AG125" s="29" t="e">
        <f t="shared" si="99"/>
        <v>#DIV/0!</v>
      </c>
      <c r="AH125" s="22">
        <f t="shared" si="100"/>
        <v>0</v>
      </c>
      <c r="AI125" s="22">
        <f t="shared" si="100"/>
        <v>7424</v>
      </c>
      <c r="AJ125" s="29" t="e">
        <f t="shared" si="101"/>
        <v>#DIV/0!</v>
      </c>
      <c r="AK125" s="22"/>
      <c r="AL125" s="22">
        <v>17396</v>
      </c>
      <c r="AM125" s="29" t="e">
        <f t="shared" si="102"/>
        <v>#DIV/0!</v>
      </c>
      <c r="AN125" s="22">
        <f t="shared" si="103"/>
        <v>0</v>
      </c>
      <c r="AO125" s="22">
        <f t="shared" si="103"/>
        <v>24820</v>
      </c>
      <c r="AP125" s="29" t="e">
        <f t="shared" si="104"/>
        <v>#DIV/0!</v>
      </c>
      <c r="AQ125" s="22">
        <v>22632</v>
      </c>
      <c r="AR125" s="22"/>
      <c r="AS125" s="29">
        <f t="shared" si="105"/>
        <v>-1</v>
      </c>
      <c r="AT125" s="22">
        <f t="shared" si="106"/>
        <v>22632</v>
      </c>
      <c r="AU125" s="22">
        <f t="shared" si="106"/>
        <v>24820</v>
      </c>
      <c r="AV125" s="29">
        <f t="shared" si="107"/>
        <v>9.6677271120537256E-2</v>
      </c>
      <c r="AW125" s="38"/>
      <c r="AX125" s="38"/>
      <c r="AY125" s="29" t="e">
        <f t="shared" si="108"/>
        <v>#DIV/0!</v>
      </c>
      <c r="AZ125" s="38">
        <f t="shared" si="109"/>
        <v>22632</v>
      </c>
      <c r="BA125" s="38">
        <f t="shared" si="109"/>
        <v>24820</v>
      </c>
      <c r="BB125" s="29">
        <f t="shared" si="110"/>
        <v>9.6677271120537256E-2</v>
      </c>
      <c r="BC125" s="38">
        <v>5350</v>
      </c>
      <c r="BD125" s="38"/>
      <c r="BE125" s="29">
        <f t="shared" si="111"/>
        <v>-1</v>
      </c>
      <c r="BF125" s="38">
        <f t="shared" si="112"/>
        <v>27982</v>
      </c>
      <c r="BG125" s="38">
        <f t="shared" si="112"/>
        <v>24820</v>
      </c>
      <c r="BH125" s="29">
        <f t="shared" si="113"/>
        <v>-0.1130012150668287</v>
      </c>
      <c r="BI125" s="102">
        <v>9401</v>
      </c>
      <c r="BJ125" s="111">
        <v>18114</v>
      </c>
      <c r="BK125" s="22">
        <v>2688</v>
      </c>
      <c r="BL125" s="22">
        <v>58185</v>
      </c>
      <c r="BM125" s="96">
        <f t="shared" si="114"/>
        <v>0.41366666666666668</v>
      </c>
      <c r="BN125" s="22"/>
      <c r="BO125" s="22"/>
    </row>
    <row r="126" spans="1:67">
      <c r="A126" s="80" t="s">
        <v>29</v>
      </c>
      <c r="B126" s="80" t="s">
        <v>29</v>
      </c>
      <c r="C126" s="81" t="s">
        <v>234</v>
      </c>
      <c r="D126" s="33" t="s">
        <v>61</v>
      </c>
      <c r="E126" s="33" t="s">
        <v>61</v>
      </c>
      <c r="F126" s="33" t="s">
        <v>217</v>
      </c>
      <c r="G126" s="33" t="s">
        <v>235</v>
      </c>
      <c r="H126" s="33" t="s">
        <v>219</v>
      </c>
      <c r="I126" s="110">
        <v>3.2038000000000002</v>
      </c>
      <c r="J126" s="111"/>
      <c r="K126" s="111">
        <v>3778</v>
      </c>
      <c r="L126" s="29" t="e">
        <f t="shared" si="89"/>
        <v>#DIV/0!</v>
      </c>
      <c r="M126" s="22"/>
      <c r="N126" s="22"/>
      <c r="O126" s="29" t="e">
        <f t="shared" si="90"/>
        <v>#DIV/0!</v>
      </c>
      <c r="P126" s="22">
        <f t="shared" si="91"/>
        <v>0</v>
      </c>
      <c r="Q126" s="22">
        <f t="shared" si="91"/>
        <v>3778</v>
      </c>
      <c r="R126" s="29" t="e">
        <f t="shared" si="92"/>
        <v>#DIV/0!</v>
      </c>
      <c r="S126" s="38"/>
      <c r="T126" s="38"/>
      <c r="U126" s="29" t="e">
        <f t="shared" si="93"/>
        <v>#DIV/0!</v>
      </c>
      <c r="V126" s="38">
        <f t="shared" si="94"/>
        <v>0</v>
      </c>
      <c r="W126" s="38">
        <f t="shared" si="94"/>
        <v>3778</v>
      </c>
      <c r="X126" s="29" t="e">
        <f t="shared" si="95"/>
        <v>#DIV/0!</v>
      </c>
      <c r="Y126" s="22"/>
      <c r="Z126" s="22"/>
      <c r="AA126" s="29" t="e">
        <f t="shared" si="96"/>
        <v>#DIV/0!</v>
      </c>
      <c r="AB126" s="22">
        <f t="shared" si="97"/>
        <v>0</v>
      </c>
      <c r="AC126" s="22">
        <f t="shared" si="97"/>
        <v>3778</v>
      </c>
      <c r="AD126" s="29" t="e">
        <f t="shared" si="98"/>
        <v>#DIV/0!</v>
      </c>
      <c r="AE126" s="22">
        <v>2594</v>
      </c>
      <c r="AF126" s="22"/>
      <c r="AG126" s="29">
        <f t="shared" si="99"/>
        <v>-1</v>
      </c>
      <c r="AH126" s="22">
        <f t="shared" si="100"/>
        <v>2594</v>
      </c>
      <c r="AI126" s="22">
        <f t="shared" si="100"/>
        <v>3778</v>
      </c>
      <c r="AJ126" s="29">
        <f t="shared" si="101"/>
        <v>0.45643793369313812</v>
      </c>
      <c r="AK126" s="22"/>
      <c r="AL126" s="22"/>
      <c r="AM126" s="29" t="e">
        <f t="shared" si="102"/>
        <v>#DIV/0!</v>
      </c>
      <c r="AN126" s="22">
        <f t="shared" si="103"/>
        <v>2594</v>
      </c>
      <c r="AO126" s="22">
        <f t="shared" si="103"/>
        <v>3778</v>
      </c>
      <c r="AP126" s="29">
        <f t="shared" si="104"/>
        <v>0.45643793369313812</v>
      </c>
      <c r="AQ126" s="22"/>
      <c r="AR126" s="22"/>
      <c r="AS126" s="29" t="e">
        <f t="shared" si="105"/>
        <v>#DIV/0!</v>
      </c>
      <c r="AT126" s="22">
        <f t="shared" si="106"/>
        <v>2594</v>
      </c>
      <c r="AU126" s="22">
        <f t="shared" si="106"/>
        <v>3778</v>
      </c>
      <c r="AV126" s="29">
        <f t="shared" si="107"/>
        <v>0.45643793369313812</v>
      </c>
      <c r="AW126" s="38"/>
      <c r="AX126" s="38"/>
      <c r="AY126" s="29" t="e">
        <f t="shared" si="108"/>
        <v>#DIV/0!</v>
      </c>
      <c r="AZ126" s="38">
        <f t="shared" si="109"/>
        <v>2594</v>
      </c>
      <c r="BA126" s="38">
        <f t="shared" si="109"/>
        <v>3778</v>
      </c>
      <c r="BB126" s="29">
        <f t="shared" si="110"/>
        <v>0.45643793369313812</v>
      </c>
      <c r="BC126" s="38"/>
      <c r="BD126" s="38"/>
      <c r="BE126" s="29" t="e">
        <f t="shared" si="111"/>
        <v>#DIV/0!</v>
      </c>
      <c r="BF126" s="38">
        <f t="shared" si="112"/>
        <v>2594</v>
      </c>
      <c r="BG126" s="38">
        <f t="shared" si="112"/>
        <v>3778</v>
      </c>
      <c r="BH126" s="29">
        <f t="shared" si="113"/>
        <v>0.45643793369313812</v>
      </c>
      <c r="BI126" s="102"/>
      <c r="BJ126" s="111">
        <v>10875</v>
      </c>
      <c r="BK126" s="22">
        <v>17745</v>
      </c>
      <c r="BL126" s="22">
        <v>31214</v>
      </c>
      <c r="BM126" s="96">
        <f t="shared" si="114"/>
        <v>0.11792246707035396</v>
      </c>
      <c r="BN126" s="22"/>
      <c r="BO126" s="22"/>
    </row>
    <row r="127" spans="1:67">
      <c r="A127" s="80" t="s">
        <v>29</v>
      </c>
      <c r="B127" s="80" t="s">
        <v>29</v>
      </c>
      <c r="C127" s="81" t="s">
        <v>236</v>
      </c>
      <c r="D127" s="33" t="s">
        <v>61</v>
      </c>
      <c r="E127" s="33" t="s">
        <v>61</v>
      </c>
      <c r="F127" s="33" t="s">
        <v>217</v>
      </c>
      <c r="G127" s="33" t="s">
        <v>235</v>
      </c>
      <c r="H127" s="33" t="s">
        <v>219</v>
      </c>
      <c r="I127" s="110"/>
      <c r="J127" s="111">
        <v>6012</v>
      </c>
      <c r="K127" s="111"/>
      <c r="L127" s="29">
        <f t="shared" si="89"/>
        <v>-1</v>
      </c>
      <c r="M127" s="22"/>
      <c r="N127" s="22"/>
      <c r="O127" s="29" t="e">
        <f t="shared" si="90"/>
        <v>#DIV/0!</v>
      </c>
      <c r="P127" s="22">
        <f t="shared" si="91"/>
        <v>6012</v>
      </c>
      <c r="Q127" s="22">
        <f t="shared" si="91"/>
        <v>0</v>
      </c>
      <c r="R127" s="29">
        <f t="shared" si="92"/>
        <v>-1</v>
      </c>
      <c r="S127" s="38"/>
      <c r="T127" s="38">
        <v>4898</v>
      </c>
      <c r="U127" s="29" t="e">
        <f t="shared" si="93"/>
        <v>#DIV/0!</v>
      </c>
      <c r="V127" s="38">
        <f t="shared" si="94"/>
        <v>6012</v>
      </c>
      <c r="W127" s="38">
        <f t="shared" si="94"/>
        <v>4898</v>
      </c>
      <c r="X127" s="29">
        <f t="shared" si="95"/>
        <v>-0.18529607451763142</v>
      </c>
      <c r="Y127" s="22"/>
      <c r="Z127" s="22"/>
      <c r="AA127" s="29" t="e">
        <f t="shared" si="96"/>
        <v>#DIV/0!</v>
      </c>
      <c r="AB127" s="22">
        <f t="shared" si="97"/>
        <v>6012</v>
      </c>
      <c r="AC127" s="22">
        <f t="shared" si="97"/>
        <v>4898</v>
      </c>
      <c r="AD127" s="29">
        <f t="shared" si="98"/>
        <v>-0.18529607451763142</v>
      </c>
      <c r="AE127" s="22">
        <v>3076</v>
      </c>
      <c r="AF127" s="22"/>
      <c r="AG127" s="29">
        <f t="shared" si="99"/>
        <v>-1</v>
      </c>
      <c r="AH127" s="22">
        <f t="shared" si="100"/>
        <v>9088</v>
      </c>
      <c r="AI127" s="22">
        <f t="shared" si="100"/>
        <v>4898</v>
      </c>
      <c r="AJ127" s="29">
        <f t="shared" si="101"/>
        <v>-0.46104753521126762</v>
      </c>
      <c r="AK127" s="22">
        <v>3076</v>
      </c>
      <c r="AL127" s="22"/>
      <c r="AM127" s="29">
        <f t="shared" si="102"/>
        <v>-1</v>
      </c>
      <c r="AN127" s="22">
        <f t="shared" si="103"/>
        <v>12164</v>
      </c>
      <c r="AO127" s="22">
        <f t="shared" si="103"/>
        <v>4898</v>
      </c>
      <c r="AP127" s="29">
        <f t="shared" si="104"/>
        <v>-0.59733640249917785</v>
      </c>
      <c r="AQ127" s="22"/>
      <c r="AR127" s="22"/>
      <c r="AS127" s="29" t="e">
        <f t="shared" si="105"/>
        <v>#DIV/0!</v>
      </c>
      <c r="AT127" s="22">
        <f t="shared" si="106"/>
        <v>12164</v>
      </c>
      <c r="AU127" s="22">
        <f t="shared" si="106"/>
        <v>4898</v>
      </c>
      <c r="AV127" s="29">
        <f t="shared" si="107"/>
        <v>-0.59733640249917785</v>
      </c>
      <c r="AW127" s="38"/>
      <c r="AX127" s="38"/>
      <c r="AY127" s="29" t="e">
        <f t="shared" si="108"/>
        <v>#DIV/0!</v>
      </c>
      <c r="AZ127" s="38">
        <f t="shared" si="109"/>
        <v>12164</v>
      </c>
      <c r="BA127" s="38">
        <f t="shared" si="109"/>
        <v>4898</v>
      </c>
      <c r="BB127" s="29">
        <f t="shared" si="110"/>
        <v>-0.59733640249917785</v>
      </c>
      <c r="BC127" s="38"/>
      <c r="BD127" s="38"/>
      <c r="BE127" s="29" t="e">
        <f t="shared" si="111"/>
        <v>#DIV/0!</v>
      </c>
      <c r="BF127" s="38">
        <f t="shared" si="112"/>
        <v>12164</v>
      </c>
      <c r="BG127" s="38">
        <f t="shared" si="112"/>
        <v>4898</v>
      </c>
      <c r="BH127" s="29">
        <f t="shared" si="113"/>
        <v>-0.59733640249917785</v>
      </c>
      <c r="BI127" s="102"/>
      <c r="BJ127" s="111"/>
      <c r="BK127" s="22"/>
      <c r="BL127" s="22">
        <v>12164</v>
      </c>
      <c r="BM127" s="96" t="e">
        <f t="shared" si="114"/>
        <v>#DIV/0!</v>
      </c>
      <c r="BN127" s="22"/>
      <c r="BO127" s="22"/>
    </row>
    <row r="128" spans="1:67">
      <c r="A128" s="80" t="s">
        <v>29</v>
      </c>
      <c r="B128" s="80" t="s">
        <v>29</v>
      </c>
      <c r="C128" s="81" t="s">
        <v>237</v>
      </c>
      <c r="D128" s="33" t="s">
        <v>88</v>
      </c>
      <c r="E128" s="33" t="s">
        <v>88</v>
      </c>
      <c r="F128" s="33" t="s">
        <v>217</v>
      </c>
      <c r="G128" s="176" t="s">
        <v>80</v>
      </c>
      <c r="H128" s="33" t="s">
        <v>88</v>
      </c>
      <c r="I128" s="110"/>
      <c r="J128" s="111">
        <v>63679.7</v>
      </c>
      <c r="K128" s="111">
        <v>24583</v>
      </c>
      <c r="L128" s="29">
        <f t="shared" si="89"/>
        <v>-0.61395860847334394</v>
      </c>
      <c r="M128" s="22">
        <v>31724</v>
      </c>
      <c r="N128" s="22">
        <f>51707.42</f>
        <v>51707.42</v>
      </c>
      <c r="O128" s="29">
        <f t="shared" si="90"/>
        <v>0.62991489093430841</v>
      </c>
      <c r="P128" s="22">
        <f t="shared" si="91"/>
        <v>95403.7</v>
      </c>
      <c r="Q128" s="22">
        <f t="shared" si="91"/>
        <v>76290.42</v>
      </c>
      <c r="R128" s="29">
        <f t="shared" si="92"/>
        <v>-0.20034107691840042</v>
      </c>
      <c r="S128" s="38">
        <v>16191</v>
      </c>
      <c r="T128" s="38">
        <v>15078</v>
      </c>
      <c r="U128" s="29">
        <f t="shared" si="93"/>
        <v>-6.8741893644617358E-2</v>
      </c>
      <c r="V128" s="38">
        <f t="shared" si="94"/>
        <v>111594.7</v>
      </c>
      <c r="W128" s="38">
        <f t="shared" si="94"/>
        <v>91368.42</v>
      </c>
      <c r="X128" s="29">
        <f t="shared" si="95"/>
        <v>-0.18124767574087297</v>
      </c>
      <c r="Y128" s="22">
        <v>75898.399999999994</v>
      </c>
      <c r="Z128" s="22">
        <v>18492.96</v>
      </c>
      <c r="AA128" s="29">
        <f t="shared" si="96"/>
        <v>-0.75634585182296332</v>
      </c>
      <c r="AB128" s="22">
        <f t="shared" si="97"/>
        <v>187493.09999999998</v>
      </c>
      <c r="AC128" s="22">
        <f t="shared" si="97"/>
        <v>109861.38</v>
      </c>
      <c r="AD128" s="29">
        <f t="shared" si="98"/>
        <v>-0.4140510770796364</v>
      </c>
      <c r="AE128" s="22">
        <v>15950</v>
      </c>
      <c r="AF128" s="22">
        <v>98516.3</v>
      </c>
      <c r="AG128" s="29">
        <f t="shared" si="99"/>
        <v>5.1765705329153606</v>
      </c>
      <c r="AH128" s="22">
        <f t="shared" si="100"/>
        <v>203443.09999999998</v>
      </c>
      <c r="AI128" s="22">
        <f t="shared" si="100"/>
        <v>208377.68</v>
      </c>
      <c r="AJ128" s="29">
        <f t="shared" si="101"/>
        <v>2.4255332326336143E-2</v>
      </c>
      <c r="AK128" s="22">
        <v>24245.1</v>
      </c>
      <c r="AL128" s="22">
        <v>82673.2</v>
      </c>
      <c r="AM128" s="29">
        <f t="shared" si="102"/>
        <v>2.4098931330454403</v>
      </c>
      <c r="AN128" s="22">
        <f t="shared" si="103"/>
        <v>227688.19999999998</v>
      </c>
      <c r="AO128" s="22">
        <f t="shared" si="103"/>
        <v>291050.88</v>
      </c>
      <c r="AP128" s="29">
        <f t="shared" si="104"/>
        <v>0.27828706098954625</v>
      </c>
      <c r="AQ128" s="22">
        <v>67901</v>
      </c>
      <c r="AR128" s="22">
        <v>89412</v>
      </c>
      <c r="AS128" s="29">
        <f t="shared" si="105"/>
        <v>0.3167994580344915</v>
      </c>
      <c r="AT128" s="22">
        <f t="shared" si="106"/>
        <v>295589.19999999995</v>
      </c>
      <c r="AU128" s="22">
        <f t="shared" si="106"/>
        <v>380462.88</v>
      </c>
      <c r="AV128" s="29">
        <f t="shared" si="107"/>
        <v>0.28713390069731926</v>
      </c>
      <c r="AW128" s="38">
        <v>61701</v>
      </c>
      <c r="AX128" s="38">
        <v>67262.720000000001</v>
      </c>
      <c r="AY128" s="29">
        <f t="shared" si="108"/>
        <v>9.013986807345109E-2</v>
      </c>
      <c r="AZ128" s="38">
        <f t="shared" si="109"/>
        <v>357290.19999999995</v>
      </c>
      <c r="BA128" s="38">
        <f t="shared" si="109"/>
        <v>447725.6</v>
      </c>
      <c r="BB128" s="29">
        <f t="shared" si="110"/>
        <v>0.25311469500143025</v>
      </c>
      <c r="BC128" s="38">
        <v>8251.56</v>
      </c>
      <c r="BD128" s="38">
        <v>76510.600000000006</v>
      </c>
      <c r="BE128" s="29">
        <f t="shared" si="111"/>
        <v>8.2722588213622643</v>
      </c>
      <c r="BF128" s="38">
        <f t="shared" si="112"/>
        <v>365541.75999999995</v>
      </c>
      <c r="BG128" s="38">
        <f t="shared" si="112"/>
        <v>524236.19999999995</v>
      </c>
      <c r="BH128" s="29">
        <f t="shared" si="113"/>
        <v>0.43413491251998138</v>
      </c>
      <c r="BI128" s="102">
        <v>119844</v>
      </c>
      <c r="BJ128" s="111">
        <v>114637.78</v>
      </c>
      <c r="BK128" s="22">
        <v>130779.56</v>
      </c>
      <c r="BL128" s="22">
        <v>730803.1</v>
      </c>
      <c r="BM128" s="96" t="e">
        <f t="shared" si="114"/>
        <v>#DIV/0!</v>
      </c>
      <c r="BN128" s="22"/>
      <c r="BO128" s="22"/>
    </row>
    <row r="129" spans="1:67">
      <c r="A129" s="80" t="s">
        <v>29</v>
      </c>
      <c r="B129" s="80" t="s">
        <v>29</v>
      </c>
      <c r="C129" s="81" t="s">
        <v>238</v>
      </c>
      <c r="D129" s="33" t="s">
        <v>61</v>
      </c>
      <c r="E129" s="33" t="s">
        <v>61</v>
      </c>
      <c r="F129" s="176" t="s">
        <v>230</v>
      </c>
      <c r="G129" s="176" t="s">
        <v>230</v>
      </c>
      <c r="H129" s="22" t="s">
        <v>223</v>
      </c>
      <c r="I129" s="110">
        <v>3</v>
      </c>
      <c r="J129" s="111"/>
      <c r="K129" s="111"/>
      <c r="L129" s="29" t="e">
        <f t="shared" si="89"/>
        <v>#DIV/0!</v>
      </c>
      <c r="M129" s="22"/>
      <c r="N129" s="22"/>
      <c r="O129" s="29" t="e">
        <f t="shared" si="90"/>
        <v>#DIV/0!</v>
      </c>
      <c r="P129" s="22">
        <f t="shared" si="91"/>
        <v>0</v>
      </c>
      <c r="Q129" s="22">
        <f t="shared" si="91"/>
        <v>0</v>
      </c>
      <c r="R129" s="29" t="e">
        <f t="shared" si="92"/>
        <v>#DIV/0!</v>
      </c>
      <c r="S129" s="38"/>
      <c r="T129" s="38"/>
      <c r="U129" s="29" t="e">
        <f t="shared" si="93"/>
        <v>#DIV/0!</v>
      </c>
      <c r="V129" s="38">
        <f t="shared" si="94"/>
        <v>0</v>
      </c>
      <c r="W129" s="38">
        <f t="shared" si="94"/>
        <v>0</v>
      </c>
      <c r="X129" s="29" t="e">
        <f t="shared" si="95"/>
        <v>#DIV/0!</v>
      </c>
      <c r="Y129" s="22"/>
      <c r="Z129" s="22"/>
      <c r="AA129" s="29" t="e">
        <f t="shared" si="96"/>
        <v>#DIV/0!</v>
      </c>
      <c r="AB129" s="22">
        <f t="shared" si="97"/>
        <v>0</v>
      </c>
      <c r="AC129" s="22">
        <f t="shared" si="97"/>
        <v>0</v>
      </c>
      <c r="AD129" s="29" t="e">
        <f t="shared" si="98"/>
        <v>#DIV/0!</v>
      </c>
      <c r="AE129" s="22">
        <v>12524</v>
      </c>
      <c r="AF129" s="22"/>
      <c r="AG129" s="29">
        <f t="shared" si="99"/>
        <v>-1</v>
      </c>
      <c r="AH129" s="22">
        <f t="shared" si="100"/>
        <v>12524</v>
      </c>
      <c r="AI129" s="22">
        <f t="shared" si="100"/>
        <v>0</v>
      </c>
      <c r="AJ129" s="29">
        <f t="shared" si="101"/>
        <v>-1</v>
      </c>
      <c r="AK129" s="22"/>
      <c r="AL129" s="22"/>
      <c r="AM129" s="29" t="e">
        <f t="shared" si="102"/>
        <v>#DIV/0!</v>
      </c>
      <c r="AN129" s="22">
        <f t="shared" si="103"/>
        <v>12524</v>
      </c>
      <c r="AO129" s="22">
        <f t="shared" si="103"/>
        <v>0</v>
      </c>
      <c r="AP129" s="29">
        <f t="shared" si="104"/>
        <v>-1</v>
      </c>
      <c r="AQ129" s="22"/>
      <c r="AR129" s="22"/>
      <c r="AS129" s="29" t="e">
        <f t="shared" si="105"/>
        <v>#DIV/0!</v>
      </c>
      <c r="AT129" s="22">
        <f t="shared" si="106"/>
        <v>12524</v>
      </c>
      <c r="AU129" s="22">
        <f t="shared" si="106"/>
        <v>0</v>
      </c>
      <c r="AV129" s="29">
        <f t="shared" si="107"/>
        <v>-1</v>
      </c>
      <c r="AW129" s="38"/>
      <c r="AX129" s="38"/>
      <c r="AY129" s="29" t="e">
        <f t="shared" si="108"/>
        <v>#DIV/0!</v>
      </c>
      <c r="AZ129" s="38">
        <f t="shared" si="109"/>
        <v>12524</v>
      </c>
      <c r="BA129" s="38">
        <f t="shared" si="109"/>
        <v>0</v>
      </c>
      <c r="BB129" s="29">
        <f t="shared" si="110"/>
        <v>-1</v>
      </c>
      <c r="BC129" s="38"/>
      <c r="BD129" s="38">
        <v>7391</v>
      </c>
      <c r="BE129" s="29" t="e">
        <f t="shared" si="111"/>
        <v>#DIV/0!</v>
      </c>
      <c r="BF129" s="38">
        <f t="shared" si="112"/>
        <v>12524</v>
      </c>
      <c r="BG129" s="38">
        <f t="shared" si="112"/>
        <v>7391</v>
      </c>
      <c r="BH129" s="29">
        <f t="shared" si="113"/>
        <v>-0.40985308208240179</v>
      </c>
      <c r="BI129" s="102"/>
      <c r="BJ129" s="111"/>
      <c r="BK129" s="22"/>
      <c r="BL129" s="22">
        <v>12524</v>
      </c>
      <c r="BM129" s="96">
        <f t="shared" si="114"/>
        <v>0.24636666666666665</v>
      </c>
      <c r="BN129" s="22"/>
      <c r="BO129" s="22"/>
    </row>
    <row r="130" spans="1:67">
      <c r="A130" s="80" t="s">
        <v>29</v>
      </c>
      <c r="B130" s="80" t="s">
        <v>29</v>
      </c>
      <c r="C130" s="81" t="s">
        <v>239</v>
      </c>
      <c r="D130" s="33" t="s">
        <v>61</v>
      </c>
      <c r="E130" s="33" t="s">
        <v>61</v>
      </c>
      <c r="F130" s="33" t="s">
        <v>226</v>
      </c>
      <c r="G130" s="33" t="s">
        <v>226</v>
      </c>
      <c r="H130" s="33" t="s">
        <v>214</v>
      </c>
      <c r="I130" s="110">
        <v>1</v>
      </c>
      <c r="J130" s="111"/>
      <c r="K130" s="111"/>
      <c r="L130" s="29" t="e">
        <f t="shared" si="89"/>
        <v>#DIV/0!</v>
      </c>
      <c r="M130" s="22"/>
      <c r="N130" s="22"/>
      <c r="O130" s="29" t="e">
        <f t="shared" si="90"/>
        <v>#DIV/0!</v>
      </c>
      <c r="P130" s="22">
        <f t="shared" si="91"/>
        <v>0</v>
      </c>
      <c r="Q130" s="22">
        <f t="shared" si="91"/>
        <v>0</v>
      </c>
      <c r="R130" s="29" t="e">
        <f t="shared" si="92"/>
        <v>#DIV/0!</v>
      </c>
      <c r="S130" s="38"/>
      <c r="T130" s="38">
        <v>16948</v>
      </c>
      <c r="U130" s="29" t="e">
        <f t="shared" si="93"/>
        <v>#DIV/0!</v>
      </c>
      <c r="V130" s="38">
        <f t="shared" si="94"/>
        <v>0</v>
      </c>
      <c r="W130" s="38">
        <f t="shared" si="94"/>
        <v>16948</v>
      </c>
      <c r="X130" s="29" t="e">
        <f t="shared" si="95"/>
        <v>#DIV/0!</v>
      </c>
      <c r="Y130" s="22"/>
      <c r="Z130" s="22"/>
      <c r="AA130" s="29" t="e">
        <f t="shared" si="96"/>
        <v>#DIV/0!</v>
      </c>
      <c r="AB130" s="22">
        <f t="shared" si="97"/>
        <v>0</v>
      </c>
      <c r="AC130" s="22">
        <f t="shared" si="97"/>
        <v>16948</v>
      </c>
      <c r="AD130" s="29" t="e">
        <f t="shared" si="98"/>
        <v>#DIV/0!</v>
      </c>
      <c r="AE130" s="22"/>
      <c r="AF130" s="22"/>
      <c r="AG130" s="29" t="e">
        <f t="shared" si="99"/>
        <v>#DIV/0!</v>
      </c>
      <c r="AH130" s="22">
        <f t="shared" si="100"/>
        <v>0</v>
      </c>
      <c r="AI130" s="22">
        <f t="shared" si="100"/>
        <v>16948</v>
      </c>
      <c r="AJ130" s="29" t="e">
        <f t="shared" si="101"/>
        <v>#DIV/0!</v>
      </c>
      <c r="AK130" s="22"/>
      <c r="AL130" s="22"/>
      <c r="AM130" s="29" t="e">
        <f t="shared" si="102"/>
        <v>#DIV/0!</v>
      </c>
      <c r="AN130" s="22">
        <f t="shared" si="103"/>
        <v>0</v>
      </c>
      <c r="AO130" s="22">
        <f t="shared" si="103"/>
        <v>16948</v>
      </c>
      <c r="AP130" s="29" t="e">
        <f t="shared" si="104"/>
        <v>#DIV/0!</v>
      </c>
      <c r="AQ130" s="22"/>
      <c r="AR130" s="22"/>
      <c r="AS130" s="29" t="e">
        <f t="shared" si="105"/>
        <v>#DIV/0!</v>
      </c>
      <c r="AT130" s="22">
        <f t="shared" si="106"/>
        <v>0</v>
      </c>
      <c r="AU130" s="22">
        <f t="shared" si="106"/>
        <v>16948</v>
      </c>
      <c r="AV130" s="29" t="e">
        <f t="shared" si="107"/>
        <v>#DIV/0!</v>
      </c>
      <c r="AW130" s="38"/>
      <c r="AX130" s="38"/>
      <c r="AY130" s="29" t="e">
        <f t="shared" si="108"/>
        <v>#DIV/0!</v>
      </c>
      <c r="AZ130" s="38">
        <f t="shared" si="109"/>
        <v>0</v>
      </c>
      <c r="BA130" s="38">
        <f t="shared" si="109"/>
        <v>16948</v>
      </c>
      <c r="BB130" s="29" t="e">
        <f t="shared" si="110"/>
        <v>#DIV/0!</v>
      </c>
      <c r="BC130" s="38">
        <v>5468</v>
      </c>
      <c r="BD130" s="38">
        <v>3081</v>
      </c>
      <c r="BE130" s="29">
        <f t="shared" si="111"/>
        <v>-0.43653986832479885</v>
      </c>
      <c r="BF130" s="38">
        <f t="shared" si="112"/>
        <v>5468</v>
      </c>
      <c r="BG130" s="38">
        <f t="shared" si="112"/>
        <v>20029</v>
      </c>
      <c r="BH130" s="29">
        <f t="shared" si="113"/>
        <v>2.6629480614484273</v>
      </c>
      <c r="BI130" s="102"/>
      <c r="BJ130" s="111"/>
      <c r="BK130" s="22"/>
      <c r="BL130" s="22">
        <v>5468</v>
      </c>
      <c r="BM130" s="96">
        <f t="shared" si="114"/>
        <v>2.0028999999999999</v>
      </c>
      <c r="BN130" s="22"/>
      <c r="BO130" s="22"/>
    </row>
    <row r="131" spans="1:67">
      <c r="A131" s="80" t="s">
        <v>29</v>
      </c>
      <c r="B131" s="80" t="s">
        <v>29</v>
      </c>
      <c r="C131" s="81" t="s">
        <v>240</v>
      </c>
      <c r="D131" s="33" t="s">
        <v>102</v>
      </c>
      <c r="E131" s="33" t="s">
        <v>102</v>
      </c>
      <c r="F131" s="33" t="s">
        <v>217</v>
      </c>
      <c r="G131" s="33" t="s">
        <v>218</v>
      </c>
      <c r="H131" s="33" t="s">
        <v>219</v>
      </c>
      <c r="I131" s="110"/>
      <c r="J131" s="111">
        <v>18329</v>
      </c>
      <c r="K131" s="111"/>
      <c r="L131" s="29">
        <f t="shared" si="89"/>
        <v>-1</v>
      </c>
      <c r="M131" s="22"/>
      <c r="N131" s="22"/>
      <c r="O131" s="29" t="e">
        <f t="shared" si="90"/>
        <v>#DIV/0!</v>
      </c>
      <c r="P131" s="22">
        <f t="shared" si="91"/>
        <v>18329</v>
      </c>
      <c r="Q131" s="22">
        <f t="shared" si="91"/>
        <v>0</v>
      </c>
      <c r="R131" s="29">
        <f t="shared" si="92"/>
        <v>-1</v>
      </c>
      <c r="S131" s="38"/>
      <c r="T131" s="38"/>
      <c r="U131" s="29" t="e">
        <f t="shared" si="93"/>
        <v>#DIV/0!</v>
      </c>
      <c r="V131" s="38">
        <f t="shared" si="94"/>
        <v>18329</v>
      </c>
      <c r="W131" s="38">
        <f t="shared" si="94"/>
        <v>0</v>
      </c>
      <c r="X131" s="29">
        <f t="shared" si="95"/>
        <v>-1</v>
      </c>
      <c r="Y131" s="22"/>
      <c r="Z131" s="22"/>
      <c r="AA131" s="29" t="e">
        <f t="shared" si="96"/>
        <v>#DIV/0!</v>
      </c>
      <c r="AB131" s="22">
        <f t="shared" si="97"/>
        <v>18329</v>
      </c>
      <c r="AC131" s="22">
        <f t="shared" si="97"/>
        <v>0</v>
      </c>
      <c r="AD131" s="29">
        <f t="shared" si="98"/>
        <v>-1</v>
      </c>
      <c r="AE131" s="22"/>
      <c r="AF131" s="22">
        <v>7953</v>
      </c>
      <c r="AG131" s="29" t="e">
        <f t="shared" si="99"/>
        <v>#DIV/0!</v>
      </c>
      <c r="AH131" s="22">
        <f t="shared" si="100"/>
        <v>18329</v>
      </c>
      <c r="AI131" s="22">
        <f t="shared" si="100"/>
        <v>7953</v>
      </c>
      <c r="AJ131" s="29">
        <f t="shared" si="101"/>
        <v>-0.56609744121337768</v>
      </c>
      <c r="AK131" s="22"/>
      <c r="AL131" s="22"/>
      <c r="AM131" s="29" t="e">
        <f t="shared" si="102"/>
        <v>#DIV/0!</v>
      </c>
      <c r="AN131" s="22">
        <f t="shared" si="103"/>
        <v>18329</v>
      </c>
      <c r="AO131" s="22">
        <f t="shared" si="103"/>
        <v>7953</v>
      </c>
      <c r="AP131" s="29">
        <f t="shared" si="104"/>
        <v>-0.56609744121337768</v>
      </c>
      <c r="AQ131" s="22"/>
      <c r="AR131" s="22"/>
      <c r="AS131" s="29" t="e">
        <f t="shared" si="105"/>
        <v>#DIV/0!</v>
      </c>
      <c r="AT131" s="22">
        <f t="shared" si="106"/>
        <v>18329</v>
      </c>
      <c r="AU131" s="22">
        <f t="shared" si="106"/>
        <v>7953</v>
      </c>
      <c r="AV131" s="29">
        <f t="shared" si="107"/>
        <v>-0.56609744121337768</v>
      </c>
      <c r="AW131" s="38"/>
      <c r="AX131" s="38"/>
      <c r="AY131" s="29" t="e">
        <f t="shared" si="108"/>
        <v>#DIV/0!</v>
      </c>
      <c r="AZ131" s="38">
        <f t="shared" si="109"/>
        <v>18329</v>
      </c>
      <c r="BA131" s="38">
        <f t="shared" si="109"/>
        <v>7953</v>
      </c>
      <c r="BB131" s="29">
        <f t="shared" si="110"/>
        <v>-0.56609744121337768</v>
      </c>
      <c r="BC131" s="38"/>
      <c r="BD131" s="38"/>
      <c r="BE131" s="29" t="e">
        <f t="shared" si="111"/>
        <v>#DIV/0!</v>
      </c>
      <c r="BF131" s="38">
        <f t="shared" si="112"/>
        <v>18329</v>
      </c>
      <c r="BG131" s="38">
        <f t="shared" si="112"/>
        <v>7953</v>
      </c>
      <c r="BH131" s="29">
        <f t="shared" si="113"/>
        <v>-0.56609744121337768</v>
      </c>
      <c r="BI131" s="102"/>
      <c r="BJ131" s="111"/>
      <c r="BK131" s="22">
        <v>7600</v>
      </c>
      <c r="BL131" s="22">
        <v>25929</v>
      </c>
      <c r="BM131" s="96" t="e">
        <f t="shared" si="114"/>
        <v>#DIV/0!</v>
      </c>
      <c r="BN131" s="22"/>
      <c r="BO131" s="22"/>
    </row>
    <row r="132" spans="1:67">
      <c r="A132" s="80" t="s">
        <v>29</v>
      </c>
      <c r="B132" s="80" t="s">
        <v>29</v>
      </c>
      <c r="C132" s="81" t="s">
        <v>241</v>
      </c>
      <c r="D132" s="33" t="s">
        <v>102</v>
      </c>
      <c r="E132" s="33" t="s">
        <v>102</v>
      </c>
      <c r="F132" s="33" t="s">
        <v>217</v>
      </c>
      <c r="G132" s="33" t="s">
        <v>235</v>
      </c>
      <c r="H132" s="33" t="s">
        <v>219</v>
      </c>
      <c r="I132" s="110">
        <v>20</v>
      </c>
      <c r="J132" s="111"/>
      <c r="K132" s="111">
        <v>17233</v>
      </c>
      <c r="L132" s="29" t="e">
        <f t="shared" si="89"/>
        <v>#DIV/0!</v>
      </c>
      <c r="M132" s="22"/>
      <c r="N132" s="22">
        <v>12981</v>
      </c>
      <c r="O132" s="29" t="e">
        <f t="shared" si="90"/>
        <v>#DIV/0!</v>
      </c>
      <c r="P132" s="22">
        <f t="shared" si="91"/>
        <v>0</v>
      </c>
      <c r="Q132" s="22">
        <f t="shared" si="91"/>
        <v>30214</v>
      </c>
      <c r="R132" s="29" t="e">
        <f t="shared" si="92"/>
        <v>#DIV/0!</v>
      </c>
      <c r="S132" s="38">
        <v>124460</v>
      </c>
      <c r="T132" s="38">
        <v>7918.9</v>
      </c>
      <c r="U132" s="29">
        <f t="shared" si="93"/>
        <v>-0.93637393540093206</v>
      </c>
      <c r="V132" s="38">
        <f t="shared" si="94"/>
        <v>124460</v>
      </c>
      <c r="W132" s="38">
        <f t="shared" si="94"/>
        <v>38132.9</v>
      </c>
      <c r="X132" s="29">
        <f t="shared" si="95"/>
        <v>-0.69361320906315282</v>
      </c>
      <c r="Y132" s="22">
        <v>29545</v>
      </c>
      <c r="Z132" s="22">
        <v>12020</v>
      </c>
      <c r="AA132" s="29">
        <f t="shared" si="96"/>
        <v>-0.59316297173802668</v>
      </c>
      <c r="AB132" s="22">
        <f t="shared" si="97"/>
        <v>154005</v>
      </c>
      <c r="AC132" s="22">
        <f t="shared" si="97"/>
        <v>50152.9</v>
      </c>
      <c r="AD132" s="29">
        <f t="shared" si="98"/>
        <v>-0.674342391480796</v>
      </c>
      <c r="AE132" s="22">
        <v>24819.5</v>
      </c>
      <c r="AF132" s="22">
        <v>50830.5</v>
      </c>
      <c r="AG132" s="29">
        <f t="shared" si="99"/>
        <v>1.0480066077076491</v>
      </c>
      <c r="AH132" s="22">
        <f t="shared" si="100"/>
        <v>178824.5</v>
      </c>
      <c r="AI132" s="22">
        <f t="shared" si="100"/>
        <v>100983.4</v>
      </c>
      <c r="AJ132" s="29">
        <f t="shared" si="101"/>
        <v>-0.43529326238854293</v>
      </c>
      <c r="AK132" s="22">
        <v>96470.5</v>
      </c>
      <c r="AL132" s="22">
        <v>38001.300000000003</v>
      </c>
      <c r="AM132" s="29">
        <f t="shared" si="102"/>
        <v>-0.60608372507657782</v>
      </c>
      <c r="AN132" s="22">
        <f t="shared" si="103"/>
        <v>275295</v>
      </c>
      <c r="AO132" s="22">
        <f t="shared" si="103"/>
        <v>138984.70000000001</v>
      </c>
      <c r="AP132" s="29">
        <f t="shared" si="104"/>
        <v>-0.49514266514103045</v>
      </c>
      <c r="AQ132" s="22">
        <v>8402</v>
      </c>
      <c r="AR132" s="22">
        <v>20727</v>
      </c>
      <c r="AS132" s="29">
        <f t="shared" si="105"/>
        <v>1.4669126398476555</v>
      </c>
      <c r="AT132" s="22">
        <f t="shared" si="106"/>
        <v>283697</v>
      </c>
      <c r="AU132" s="22">
        <f t="shared" si="106"/>
        <v>159711.70000000001</v>
      </c>
      <c r="AV132" s="29">
        <f t="shared" si="107"/>
        <v>-0.43703423018220144</v>
      </c>
      <c r="AW132" s="38">
        <v>19946.5</v>
      </c>
      <c r="AX132" s="38">
        <v>11805</v>
      </c>
      <c r="AY132" s="29">
        <f t="shared" si="108"/>
        <v>-0.40816684631388966</v>
      </c>
      <c r="AZ132" s="38">
        <f t="shared" si="109"/>
        <v>303643.5</v>
      </c>
      <c r="BA132" s="38">
        <f t="shared" si="109"/>
        <v>171516.7</v>
      </c>
      <c r="BB132" s="29">
        <f t="shared" si="110"/>
        <v>-0.43513791666872492</v>
      </c>
      <c r="BC132" s="38">
        <v>8356</v>
      </c>
      <c r="BD132" s="38">
        <v>14139</v>
      </c>
      <c r="BE132" s="29">
        <f t="shared" si="111"/>
        <v>0.69207754906653896</v>
      </c>
      <c r="BF132" s="38">
        <f t="shared" si="112"/>
        <v>311999.5</v>
      </c>
      <c r="BG132" s="38">
        <f t="shared" si="112"/>
        <v>185655.7</v>
      </c>
      <c r="BH132" s="29">
        <f t="shared" si="113"/>
        <v>-0.40494872587936837</v>
      </c>
      <c r="BI132" s="102">
        <v>6307</v>
      </c>
      <c r="BJ132" s="111">
        <v>7246</v>
      </c>
      <c r="BK132" s="22">
        <v>67344.7</v>
      </c>
      <c r="BL132" s="22">
        <v>392897.2</v>
      </c>
      <c r="BM132" s="96">
        <f t="shared" si="114"/>
        <v>0.92827850000000001</v>
      </c>
      <c r="BN132" s="22"/>
      <c r="BO132" s="22"/>
    </row>
    <row r="133" spans="1:67">
      <c r="A133" s="80" t="s">
        <v>29</v>
      </c>
      <c r="B133" s="80" t="s">
        <v>29</v>
      </c>
      <c r="C133" s="81" t="s">
        <v>242</v>
      </c>
      <c r="D133" s="33" t="s">
        <v>102</v>
      </c>
      <c r="E133" s="33" t="s">
        <v>102</v>
      </c>
      <c r="F133" s="176" t="s">
        <v>232</v>
      </c>
      <c r="G133" s="176" t="s">
        <v>232</v>
      </c>
      <c r="H133" s="22" t="s">
        <v>223</v>
      </c>
      <c r="I133" s="110">
        <v>10</v>
      </c>
      <c r="J133" s="111"/>
      <c r="K133" s="111"/>
      <c r="L133" s="29" t="e">
        <f t="shared" si="89"/>
        <v>#DIV/0!</v>
      </c>
      <c r="M133" s="22"/>
      <c r="N133" s="22"/>
      <c r="O133" s="29" t="e">
        <f t="shared" si="90"/>
        <v>#DIV/0!</v>
      </c>
      <c r="P133" s="22">
        <f t="shared" si="91"/>
        <v>0</v>
      </c>
      <c r="Q133" s="22">
        <f t="shared" si="91"/>
        <v>0</v>
      </c>
      <c r="R133" s="29" t="e">
        <f t="shared" si="92"/>
        <v>#DIV/0!</v>
      </c>
      <c r="S133" s="38">
        <v>21714</v>
      </c>
      <c r="T133" s="38"/>
      <c r="U133" s="29">
        <f t="shared" si="93"/>
        <v>-1</v>
      </c>
      <c r="V133" s="38">
        <f t="shared" si="94"/>
        <v>21714</v>
      </c>
      <c r="W133" s="38">
        <f t="shared" si="94"/>
        <v>0</v>
      </c>
      <c r="X133" s="29">
        <f t="shared" si="95"/>
        <v>-1</v>
      </c>
      <c r="Y133" s="22"/>
      <c r="Z133" s="22"/>
      <c r="AA133" s="29" t="e">
        <f t="shared" si="96"/>
        <v>#DIV/0!</v>
      </c>
      <c r="AB133" s="22">
        <f t="shared" si="97"/>
        <v>21714</v>
      </c>
      <c r="AC133" s="22">
        <f t="shared" si="97"/>
        <v>0</v>
      </c>
      <c r="AD133" s="29">
        <f t="shared" si="98"/>
        <v>-1</v>
      </c>
      <c r="AE133" s="22"/>
      <c r="AF133" s="22"/>
      <c r="AG133" s="29" t="e">
        <f t="shared" si="99"/>
        <v>#DIV/0!</v>
      </c>
      <c r="AH133" s="22">
        <f t="shared" si="100"/>
        <v>21714</v>
      </c>
      <c r="AI133" s="22">
        <f t="shared" si="100"/>
        <v>0</v>
      </c>
      <c r="AJ133" s="29">
        <f t="shared" si="101"/>
        <v>-1</v>
      </c>
      <c r="AK133" s="22"/>
      <c r="AL133" s="22"/>
      <c r="AM133" s="29" t="e">
        <f t="shared" si="102"/>
        <v>#DIV/0!</v>
      </c>
      <c r="AN133" s="22">
        <f t="shared" si="103"/>
        <v>21714</v>
      </c>
      <c r="AO133" s="22">
        <f t="shared" si="103"/>
        <v>0</v>
      </c>
      <c r="AP133" s="29">
        <f t="shared" si="104"/>
        <v>-1</v>
      </c>
      <c r="AQ133" s="22"/>
      <c r="AR133" s="22"/>
      <c r="AS133" s="29" t="e">
        <f t="shared" si="105"/>
        <v>#DIV/0!</v>
      </c>
      <c r="AT133" s="22">
        <f t="shared" si="106"/>
        <v>21714</v>
      </c>
      <c r="AU133" s="22">
        <f t="shared" si="106"/>
        <v>0</v>
      </c>
      <c r="AV133" s="29">
        <f t="shared" si="107"/>
        <v>-1</v>
      </c>
      <c r="AW133" s="38"/>
      <c r="AX133" s="38"/>
      <c r="AY133" s="29" t="e">
        <f t="shared" si="108"/>
        <v>#DIV/0!</v>
      </c>
      <c r="AZ133" s="38">
        <f t="shared" si="109"/>
        <v>21714</v>
      </c>
      <c r="BA133" s="38">
        <f t="shared" si="109"/>
        <v>0</v>
      </c>
      <c r="BB133" s="29">
        <f t="shared" si="110"/>
        <v>-1</v>
      </c>
      <c r="BC133" s="38">
        <v>8915</v>
      </c>
      <c r="BD133" s="38"/>
      <c r="BE133" s="29">
        <f t="shared" si="111"/>
        <v>-1</v>
      </c>
      <c r="BF133" s="38">
        <f t="shared" si="112"/>
        <v>30629</v>
      </c>
      <c r="BG133" s="38">
        <f t="shared" si="112"/>
        <v>0</v>
      </c>
      <c r="BH133" s="29">
        <f t="shared" si="113"/>
        <v>-1</v>
      </c>
      <c r="BI133" s="102">
        <v>17830</v>
      </c>
      <c r="BJ133" s="111"/>
      <c r="BK133" s="22"/>
      <c r="BL133" s="22">
        <v>48459</v>
      </c>
      <c r="BM133" s="96">
        <f t="shared" si="114"/>
        <v>0</v>
      </c>
      <c r="BN133" s="22"/>
      <c r="BO133" s="22"/>
    </row>
    <row r="134" spans="1:67">
      <c r="A134" s="80" t="s">
        <v>29</v>
      </c>
      <c r="B134" s="80" t="s">
        <v>29</v>
      </c>
      <c r="C134" s="81" t="s">
        <v>243</v>
      </c>
      <c r="D134" s="33" t="s">
        <v>61</v>
      </c>
      <c r="E134" s="33" t="s">
        <v>61</v>
      </c>
      <c r="F134" s="33" t="s">
        <v>213</v>
      </c>
      <c r="G134" s="33" t="s">
        <v>213</v>
      </c>
      <c r="H134" s="33" t="s">
        <v>214</v>
      </c>
      <c r="I134" s="110"/>
      <c r="J134" s="111"/>
      <c r="K134" s="111"/>
      <c r="L134" s="29" t="e">
        <f t="shared" si="89"/>
        <v>#DIV/0!</v>
      </c>
      <c r="M134" s="22"/>
      <c r="N134" s="22"/>
      <c r="O134" s="29" t="e">
        <f t="shared" si="90"/>
        <v>#DIV/0!</v>
      </c>
      <c r="P134" s="22">
        <f t="shared" si="91"/>
        <v>0</v>
      </c>
      <c r="Q134" s="22">
        <f t="shared" si="91"/>
        <v>0</v>
      </c>
      <c r="R134" s="29" t="e">
        <f t="shared" si="92"/>
        <v>#DIV/0!</v>
      </c>
      <c r="S134" s="38"/>
      <c r="T134" s="38"/>
      <c r="U134" s="29" t="e">
        <f t="shared" si="93"/>
        <v>#DIV/0!</v>
      </c>
      <c r="V134" s="38">
        <f t="shared" si="94"/>
        <v>0</v>
      </c>
      <c r="W134" s="38">
        <f t="shared" si="94"/>
        <v>0</v>
      </c>
      <c r="X134" s="29" t="e">
        <f t="shared" si="95"/>
        <v>#DIV/0!</v>
      </c>
      <c r="Y134" s="22"/>
      <c r="Z134" s="22"/>
      <c r="AA134" s="29" t="e">
        <f t="shared" si="96"/>
        <v>#DIV/0!</v>
      </c>
      <c r="AB134" s="22">
        <f t="shared" si="97"/>
        <v>0</v>
      </c>
      <c r="AC134" s="22">
        <f t="shared" si="97"/>
        <v>0</v>
      </c>
      <c r="AD134" s="29" t="e">
        <f t="shared" si="98"/>
        <v>#DIV/0!</v>
      </c>
      <c r="AE134" s="22"/>
      <c r="AF134" s="22"/>
      <c r="AG134" s="29" t="e">
        <f t="shared" si="99"/>
        <v>#DIV/0!</v>
      </c>
      <c r="AH134" s="22">
        <f t="shared" si="100"/>
        <v>0</v>
      </c>
      <c r="AI134" s="22">
        <f t="shared" si="100"/>
        <v>0</v>
      </c>
      <c r="AJ134" s="29" t="e">
        <f t="shared" si="101"/>
        <v>#DIV/0!</v>
      </c>
      <c r="AK134" s="22"/>
      <c r="AL134" s="22"/>
      <c r="AM134" s="29" t="e">
        <f t="shared" si="102"/>
        <v>#DIV/0!</v>
      </c>
      <c r="AN134" s="22">
        <f t="shared" si="103"/>
        <v>0</v>
      </c>
      <c r="AO134" s="22">
        <f t="shared" si="103"/>
        <v>0</v>
      </c>
      <c r="AP134" s="29" t="e">
        <f t="shared" si="104"/>
        <v>#DIV/0!</v>
      </c>
      <c r="AQ134" s="22"/>
      <c r="AR134" s="22"/>
      <c r="AS134" s="29" t="e">
        <f t="shared" si="105"/>
        <v>#DIV/0!</v>
      </c>
      <c r="AT134" s="22">
        <f t="shared" si="106"/>
        <v>0</v>
      </c>
      <c r="AU134" s="22">
        <f t="shared" si="106"/>
        <v>0</v>
      </c>
      <c r="AV134" s="29" t="e">
        <f t="shared" si="107"/>
        <v>#DIV/0!</v>
      </c>
      <c r="AW134" s="38"/>
      <c r="AX134" s="38">
        <v>3899</v>
      </c>
      <c r="AY134" s="29" t="e">
        <f t="shared" si="108"/>
        <v>#DIV/0!</v>
      </c>
      <c r="AZ134" s="38">
        <f t="shared" si="109"/>
        <v>0</v>
      </c>
      <c r="BA134" s="38">
        <f t="shared" si="109"/>
        <v>3899</v>
      </c>
      <c r="BB134" s="29" t="e">
        <f t="shared" si="110"/>
        <v>#DIV/0!</v>
      </c>
      <c r="BC134" s="38"/>
      <c r="BD134" s="38"/>
      <c r="BE134" s="29" t="e">
        <f t="shared" si="111"/>
        <v>#DIV/0!</v>
      </c>
      <c r="BF134" s="38">
        <f t="shared" si="112"/>
        <v>0</v>
      </c>
      <c r="BG134" s="38">
        <f t="shared" si="112"/>
        <v>3899</v>
      </c>
      <c r="BH134" s="29" t="e">
        <f t="shared" si="113"/>
        <v>#DIV/0!</v>
      </c>
      <c r="BI134" s="102"/>
      <c r="BJ134" s="111">
        <v>3869</v>
      </c>
      <c r="BK134" s="22">
        <v>2691</v>
      </c>
      <c r="BL134" s="22">
        <v>6560</v>
      </c>
      <c r="BM134" s="96" t="e">
        <f t="shared" si="114"/>
        <v>#DIV/0!</v>
      </c>
      <c r="BN134" s="22"/>
      <c r="BO134" s="22"/>
    </row>
    <row r="135" spans="1:67">
      <c r="A135" s="80" t="s">
        <v>29</v>
      </c>
      <c r="B135" s="80" t="s">
        <v>29</v>
      </c>
      <c r="C135" s="81" t="s">
        <v>244</v>
      </c>
      <c r="D135" s="33" t="s">
        <v>61</v>
      </c>
      <c r="E135" s="33" t="s">
        <v>61</v>
      </c>
      <c r="F135" s="33" t="s">
        <v>226</v>
      </c>
      <c r="G135" s="33" t="s">
        <v>226</v>
      </c>
      <c r="H135" s="33" t="s">
        <v>214</v>
      </c>
      <c r="I135" s="110">
        <v>10</v>
      </c>
      <c r="J135" s="111">
        <v>12044</v>
      </c>
      <c r="K135" s="111">
        <v>6050</v>
      </c>
      <c r="L135" s="29">
        <f t="shared" si="89"/>
        <v>-0.49767519096645629</v>
      </c>
      <c r="M135" s="22">
        <v>10316</v>
      </c>
      <c r="N135" s="22">
        <v>3090</v>
      </c>
      <c r="O135" s="29">
        <f t="shared" si="90"/>
        <v>-0.7004652966265994</v>
      </c>
      <c r="P135" s="22">
        <f t="shared" si="91"/>
        <v>22360</v>
      </c>
      <c r="Q135" s="22">
        <f t="shared" si="91"/>
        <v>9140</v>
      </c>
      <c r="R135" s="29">
        <f t="shared" si="92"/>
        <v>-0.59123434704830058</v>
      </c>
      <c r="S135" s="38">
        <v>7072</v>
      </c>
      <c r="T135" s="38">
        <v>4140</v>
      </c>
      <c r="U135" s="29">
        <f t="shared" si="93"/>
        <v>-0.41459276018099545</v>
      </c>
      <c r="V135" s="38">
        <f t="shared" si="94"/>
        <v>29432</v>
      </c>
      <c r="W135" s="38">
        <f t="shared" si="94"/>
        <v>13280</v>
      </c>
      <c r="X135" s="29">
        <f t="shared" si="95"/>
        <v>-0.54879043218265833</v>
      </c>
      <c r="Y135" s="22">
        <v>31886</v>
      </c>
      <c r="Z135" s="22">
        <v>6935</v>
      </c>
      <c r="AA135" s="29">
        <f t="shared" si="96"/>
        <v>-0.78250642915386059</v>
      </c>
      <c r="AB135" s="22">
        <f t="shared" si="97"/>
        <v>61318</v>
      </c>
      <c r="AC135" s="22">
        <f t="shared" si="97"/>
        <v>20215</v>
      </c>
      <c r="AD135" s="29">
        <f t="shared" si="98"/>
        <v>-0.67032518999315038</v>
      </c>
      <c r="AE135" s="22">
        <v>1760</v>
      </c>
      <c r="AF135" s="22">
        <v>2212</v>
      </c>
      <c r="AG135" s="29">
        <f t="shared" si="99"/>
        <v>0.25681818181818183</v>
      </c>
      <c r="AH135" s="22">
        <f t="shared" si="100"/>
        <v>63078</v>
      </c>
      <c r="AI135" s="22">
        <f t="shared" si="100"/>
        <v>22427</v>
      </c>
      <c r="AJ135" s="29">
        <f t="shared" si="101"/>
        <v>-0.64445607026221507</v>
      </c>
      <c r="AK135" s="22">
        <v>2992</v>
      </c>
      <c r="AL135" s="22"/>
      <c r="AM135" s="29">
        <f t="shared" si="102"/>
        <v>-1</v>
      </c>
      <c r="AN135" s="22">
        <f t="shared" si="103"/>
        <v>66070</v>
      </c>
      <c r="AO135" s="22">
        <f t="shared" si="103"/>
        <v>22427</v>
      </c>
      <c r="AP135" s="29">
        <f t="shared" si="104"/>
        <v>-0.66055698501589222</v>
      </c>
      <c r="AQ135" s="22"/>
      <c r="AR135" s="22"/>
      <c r="AS135" s="29" t="e">
        <f t="shared" si="105"/>
        <v>#DIV/0!</v>
      </c>
      <c r="AT135" s="22">
        <f t="shared" si="106"/>
        <v>66070</v>
      </c>
      <c r="AU135" s="22">
        <f t="shared" si="106"/>
        <v>22427</v>
      </c>
      <c r="AV135" s="29">
        <f t="shared" si="107"/>
        <v>-0.66055698501589222</v>
      </c>
      <c r="AW135" s="38"/>
      <c r="AX135" s="38">
        <v>4139</v>
      </c>
      <c r="AY135" s="29" t="e">
        <f t="shared" si="108"/>
        <v>#DIV/0!</v>
      </c>
      <c r="AZ135" s="38">
        <f t="shared" si="109"/>
        <v>66070</v>
      </c>
      <c r="BA135" s="38">
        <f t="shared" si="109"/>
        <v>26566</v>
      </c>
      <c r="BB135" s="29">
        <f t="shared" si="110"/>
        <v>-0.59791130619040411</v>
      </c>
      <c r="BC135" s="38"/>
      <c r="BD135" s="38"/>
      <c r="BE135" s="29" t="e">
        <f t="shared" si="111"/>
        <v>#DIV/0!</v>
      </c>
      <c r="BF135" s="38">
        <f t="shared" si="112"/>
        <v>66070</v>
      </c>
      <c r="BG135" s="38">
        <f t="shared" si="112"/>
        <v>26566</v>
      </c>
      <c r="BH135" s="29">
        <f t="shared" si="113"/>
        <v>-0.59791130619040411</v>
      </c>
      <c r="BI135" s="102"/>
      <c r="BJ135" s="111">
        <v>11104</v>
      </c>
      <c r="BK135" s="22">
        <v>15855</v>
      </c>
      <c r="BL135" s="22">
        <v>93029</v>
      </c>
      <c r="BM135" s="96">
        <f t="shared" si="114"/>
        <v>0.26566000000000001</v>
      </c>
      <c r="BN135" s="22"/>
      <c r="BO135" s="22"/>
    </row>
    <row r="136" spans="1:67">
      <c r="A136" s="80" t="s">
        <v>29</v>
      </c>
      <c r="B136" s="80" t="s">
        <v>29</v>
      </c>
      <c r="C136" s="81" t="s">
        <v>245</v>
      </c>
      <c r="D136" s="33" t="s">
        <v>61</v>
      </c>
      <c r="E136" s="33" t="s">
        <v>56</v>
      </c>
      <c r="F136" s="33" t="s">
        <v>226</v>
      </c>
      <c r="G136" s="33" t="s">
        <v>226</v>
      </c>
      <c r="H136" s="33" t="s">
        <v>214</v>
      </c>
      <c r="I136" s="110"/>
      <c r="J136" s="111">
        <v>60000</v>
      </c>
      <c r="K136" s="111">
        <f>151700+20000</f>
        <v>171700</v>
      </c>
      <c r="L136" s="29">
        <f t="shared" si="89"/>
        <v>1.8616666666666668</v>
      </c>
      <c r="M136" s="22">
        <v>50000</v>
      </c>
      <c r="N136" s="22">
        <v>101000</v>
      </c>
      <c r="O136" s="29">
        <f t="shared" si="90"/>
        <v>1.02</v>
      </c>
      <c r="P136" s="22">
        <f t="shared" si="91"/>
        <v>110000</v>
      </c>
      <c r="Q136" s="22">
        <f t="shared" si="91"/>
        <v>272700</v>
      </c>
      <c r="R136" s="29">
        <f t="shared" si="92"/>
        <v>1.479090909090909</v>
      </c>
      <c r="S136" s="38">
        <v>30000</v>
      </c>
      <c r="T136" s="38">
        <v>97000</v>
      </c>
      <c r="U136" s="29">
        <f t="shared" si="93"/>
        <v>2.2333333333333334</v>
      </c>
      <c r="V136" s="38">
        <f t="shared" si="94"/>
        <v>140000</v>
      </c>
      <c r="W136" s="38">
        <f t="shared" si="94"/>
        <v>369700</v>
      </c>
      <c r="X136" s="29">
        <f t="shared" si="95"/>
        <v>1.6407142857142856</v>
      </c>
      <c r="Y136" s="22">
        <v>170000</v>
      </c>
      <c r="Z136" s="22">
        <v>80000</v>
      </c>
      <c r="AA136" s="29">
        <f t="shared" si="96"/>
        <v>-0.52941176470588236</v>
      </c>
      <c r="AB136" s="22">
        <f t="shared" si="97"/>
        <v>310000</v>
      </c>
      <c r="AC136" s="22">
        <f t="shared" si="97"/>
        <v>449700</v>
      </c>
      <c r="AD136" s="29">
        <f t="shared" si="98"/>
        <v>0.45064516129032262</v>
      </c>
      <c r="AE136" s="22">
        <v>60000</v>
      </c>
      <c r="AF136" s="22">
        <v>60000</v>
      </c>
      <c r="AG136" s="29">
        <f t="shared" si="99"/>
        <v>0</v>
      </c>
      <c r="AH136" s="22">
        <f t="shared" si="100"/>
        <v>370000</v>
      </c>
      <c r="AI136" s="22">
        <f t="shared" si="100"/>
        <v>509700</v>
      </c>
      <c r="AJ136" s="29">
        <f t="shared" si="101"/>
        <v>0.3775675675675676</v>
      </c>
      <c r="AK136" s="22">
        <v>140000</v>
      </c>
      <c r="AL136" s="22">
        <v>110000</v>
      </c>
      <c r="AM136" s="29">
        <f t="shared" si="102"/>
        <v>-0.2142857142857143</v>
      </c>
      <c r="AN136" s="22">
        <f t="shared" si="103"/>
        <v>510000</v>
      </c>
      <c r="AO136" s="22">
        <f t="shared" si="103"/>
        <v>619700</v>
      </c>
      <c r="AP136" s="29">
        <f t="shared" si="104"/>
        <v>0.21509803921568627</v>
      </c>
      <c r="AQ136" s="22">
        <v>60000</v>
      </c>
      <c r="AR136" s="22">
        <v>90000</v>
      </c>
      <c r="AS136" s="29">
        <f t="shared" si="105"/>
        <v>0.5</v>
      </c>
      <c r="AT136" s="22">
        <f t="shared" si="106"/>
        <v>570000</v>
      </c>
      <c r="AU136" s="22">
        <f t="shared" si="106"/>
        <v>709700</v>
      </c>
      <c r="AV136" s="29">
        <f t="shared" si="107"/>
        <v>0.24508771929824569</v>
      </c>
      <c r="AW136" s="38">
        <v>85000</v>
      </c>
      <c r="AX136" s="38">
        <v>195000</v>
      </c>
      <c r="AY136" s="29">
        <f t="shared" si="108"/>
        <v>1.2941176470588234</v>
      </c>
      <c r="AZ136" s="38">
        <f t="shared" si="109"/>
        <v>655000</v>
      </c>
      <c r="BA136" s="38">
        <f t="shared" si="109"/>
        <v>904700</v>
      </c>
      <c r="BB136" s="29">
        <f t="shared" si="110"/>
        <v>0.38122137404580148</v>
      </c>
      <c r="BC136" s="38">
        <v>24000</v>
      </c>
      <c r="BD136" s="38">
        <v>70000</v>
      </c>
      <c r="BE136" s="29">
        <f t="shared" si="111"/>
        <v>1.9166666666666665</v>
      </c>
      <c r="BF136" s="38">
        <f t="shared" si="112"/>
        <v>679000</v>
      </c>
      <c r="BG136" s="38">
        <f t="shared" si="112"/>
        <v>974700</v>
      </c>
      <c r="BH136" s="29">
        <f t="shared" si="113"/>
        <v>0.43549337260677468</v>
      </c>
      <c r="BI136" s="102">
        <v>50000</v>
      </c>
      <c r="BJ136" s="111">
        <v>300000</v>
      </c>
      <c r="BK136" s="22">
        <v>220000</v>
      </c>
      <c r="BL136" s="22">
        <v>1249000</v>
      </c>
      <c r="BM136" s="96" t="e">
        <f t="shared" si="114"/>
        <v>#DIV/0!</v>
      </c>
      <c r="BN136" s="22"/>
      <c r="BO136" s="22">
        <v>20000</v>
      </c>
    </row>
    <row r="137" spans="1:67">
      <c r="A137" s="80" t="s">
        <v>29</v>
      </c>
      <c r="B137" s="80" t="s">
        <v>29</v>
      </c>
      <c r="C137" s="81" t="s">
        <v>246</v>
      </c>
      <c r="D137" s="33" t="s">
        <v>61</v>
      </c>
      <c r="E137" s="33" t="s">
        <v>61</v>
      </c>
      <c r="F137" s="33" t="s">
        <v>226</v>
      </c>
      <c r="G137" s="33" t="s">
        <v>226</v>
      </c>
      <c r="H137" s="33" t="s">
        <v>214</v>
      </c>
      <c r="I137" s="110">
        <v>0</v>
      </c>
      <c r="J137" s="111">
        <v>3332</v>
      </c>
      <c r="K137" s="111"/>
      <c r="L137" s="29">
        <f t="shared" si="89"/>
        <v>-1</v>
      </c>
      <c r="M137" s="22">
        <v>11794</v>
      </c>
      <c r="N137" s="22"/>
      <c r="O137" s="29">
        <f t="shared" si="90"/>
        <v>-1</v>
      </c>
      <c r="P137" s="22">
        <f t="shared" si="91"/>
        <v>15126</v>
      </c>
      <c r="Q137" s="22">
        <f t="shared" si="91"/>
        <v>0</v>
      </c>
      <c r="R137" s="29">
        <f t="shared" si="92"/>
        <v>-1</v>
      </c>
      <c r="S137" s="38">
        <v>4371</v>
      </c>
      <c r="T137" s="38"/>
      <c r="U137" s="29">
        <f t="shared" si="93"/>
        <v>-1</v>
      </c>
      <c r="V137" s="38">
        <f t="shared" si="94"/>
        <v>19497</v>
      </c>
      <c r="W137" s="38">
        <f t="shared" si="94"/>
        <v>0</v>
      </c>
      <c r="X137" s="29">
        <f t="shared" si="95"/>
        <v>-1</v>
      </c>
      <c r="Y137" s="22">
        <v>3765</v>
      </c>
      <c r="Z137" s="22"/>
      <c r="AA137" s="29">
        <f t="shared" si="96"/>
        <v>-1</v>
      </c>
      <c r="AB137" s="22">
        <f t="shared" si="97"/>
        <v>23262</v>
      </c>
      <c r="AC137" s="22">
        <f t="shared" si="97"/>
        <v>0</v>
      </c>
      <c r="AD137" s="29">
        <f t="shared" si="98"/>
        <v>-1</v>
      </c>
      <c r="AE137" s="22">
        <v>1887</v>
      </c>
      <c r="AF137" s="22"/>
      <c r="AG137" s="29">
        <f t="shared" si="99"/>
        <v>-1</v>
      </c>
      <c r="AH137" s="22">
        <f t="shared" si="100"/>
        <v>25149</v>
      </c>
      <c r="AI137" s="22">
        <f t="shared" si="100"/>
        <v>0</v>
      </c>
      <c r="AJ137" s="29">
        <f t="shared" si="101"/>
        <v>-1</v>
      </c>
      <c r="AK137" s="22"/>
      <c r="AL137" s="22"/>
      <c r="AM137" s="29" t="e">
        <f t="shared" si="102"/>
        <v>#DIV/0!</v>
      </c>
      <c r="AN137" s="22">
        <f t="shared" si="103"/>
        <v>25149</v>
      </c>
      <c r="AO137" s="22">
        <f t="shared" si="103"/>
        <v>0</v>
      </c>
      <c r="AP137" s="29">
        <f t="shared" si="104"/>
        <v>-1</v>
      </c>
      <c r="AQ137" s="22"/>
      <c r="AR137" s="22"/>
      <c r="AS137" s="29" t="e">
        <f t="shared" si="105"/>
        <v>#DIV/0!</v>
      </c>
      <c r="AT137" s="22">
        <f t="shared" si="106"/>
        <v>25149</v>
      </c>
      <c r="AU137" s="22">
        <f t="shared" si="106"/>
        <v>0</v>
      </c>
      <c r="AV137" s="29">
        <f t="shared" si="107"/>
        <v>-1</v>
      </c>
      <c r="AW137" s="38"/>
      <c r="AX137" s="38"/>
      <c r="AY137" s="29" t="e">
        <f t="shared" si="108"/>
        <v>#DIV/0!</v>
      </c>
      <c r="AZ137" s="38">
        <f t="shared" si="109"/>
        <v>25149</v>
      </c>
      <c r="BA137" s="38">
        <f t="shared" si="109"/>
        <v>0</v>
      </c>
      <c r="BB137" s="29">
        <f t="shared" si="110"/>
        <v>-1</v>
      </c>
      <c r="BC137" s="38"/>
      <c r="BD137" s="38"/>
      <c r="BE137" s="29" t="e">
        <f t="shared" si="111"/>
        <v>#DIV/0!</v>
      </c>
      <c r="BF137" s="38">
        <f t="shared" si="112"/>
        <v>25149</v>
      </c>
      <c r="BG137" s="38">
        <f t="shared" si="112"/>
        <v>0</v>
      </c>
      <c r="BH137" s="29">
        <f t="shared" si="113"/>
        <v>-1</v>
      </c>
      <c r="BI137" s="102"/>
      <c r="BJ137" s="111"/>
      <c r="BK137" s="22"/>
      <c r="BL137" s="22">
        <v>25149</v>
      </c>
      <c r="BM137" s="96" t="e">
        <f t="shared" si="114"/>
        <v>#DIV/0!</v>
      </c>
      <c r="BN137" s="22"/>
      <c r="BO137" s="22"/>
    </row>
    <row r="138" spans="1:67">
      <c r="A138" s="80" t="s">
        <v>29</v>
      </c>
      <c r="B138" s="80" t="s">
        <v>29</v>
      </c>
      <c r="C138" s="81" t="s">
        <v>247</v>
      </c>
      <c r="D138" s="33" t="s">
        <v>102</v>
      </c>
      <c r="E138" s="33" t="s">
        <v>102</v>
      </c>
      <c r="F138" s="33" t="s">
        <v>213</v>
      </c>
      <c r="G138" s="33" t="s">
        <v>213</v>
      </c>
      <c r="H138" s="33" t="s">
        <v>214</v>
      </c>
      <c r="I138" s="110">
        <v>4.8747999999999996</v>
      </c>
      <c r="J138" s="111">
        <v>10328</v>
      </c>
      <c r="K138" s="111"/>
      <c r="L138" s="29">
        <f t="shared" si="89"/>
        <v>-1</v>
      </c>
      <c r="M138" s="22"/>
      <c r="N138" s="22"/>
      <c r="O138" s="29" t="e">
        <f t="shared" si="90"/>
        <v>#DIV/0!</v>
      </c>
      <c r="P138" s="22">
        <f t="shared" si="91"/>
        <v>10328</v>
      </c>
      <c r="Q138" s="22">
        <f t="shared" si="91"/>
        <v>0</v>
      </c>
      <c r="R138" s="29">
        <f t="shared" si="92"/>
        <v>-1</v>
      </c>
      <c r="S138" s="38"/>
      <c r="T138" s="38"/>
      <c r="U138" s="29" t="e">
        <f t="shared" si="93"/>
        <v>#DIV/0!</v>
      </c>
      <c r="V138" s="38">
        <f t="shared" si="94"/>
        <v>10328</v>
      </c>
      <c r="W138" s="38">
        <f t="shared" si="94"/>
        <v>0</v>
      </c>
      <c r="X138" s="29">
        <f t="shared" si="95"/>
        <v>-1</v>
      </c>
      <c r="Y138" s="22">
        <v>9494</v>
      </c>
      <c r="Z138" s="22"/>
      <c r="AA138" s="29">
        <f t="shared" si="96"/>
        <v>-1</v>
      </c>
      <c r="AB138" s="22">
        <f t="shared" si="97"/>
        <v>19822</v>
      </c>
      <c r="AC138" s="22">
        <f t="shared" si="97"/>
        <v>0</v>
      </c>
      <c r="AD138" s="29">
        <f t="shared" si="98"/>
        <v>-1</v>
      </c>
      <c r="AE138" s="22">
        <v>10328</v>
      </c>
      <c r="AF138" s="22"/>
      <c r="AG138" s="29">
        <f t="shared" si="99"/>
        <v>-1</v>
      </c>
      <c r="AH138" s="22">
        <f t="shared" si="100"/>
        <v>30150</v>
      </c>
      <c r="AI138" s="22">
        <f t="shared" si="100"/>
        <v>0</v>
      </c>
      <c r="AJ138" s="29">
        <f t="shared" si="101"/>
        <v>-1</v>
      </c>
      <c r="AK138" s="22"/>
      <c r="AL138" s="22"/>
      <c r="AM138" s="29" t="e">
        <f t="shared" si="102"/>
        <v>#DIV/0!</v>
      </c>
      <c r="AN138" s="22">
        <f t="shared" si="103"/>
        <v>30150</v>
      </c>
      <c r="AO138" s="22">
        <f t="shared" si="103"/>
        <v>0</v>
      </c>
      <c r="AP138" s="29">
        <f t="shared" si="104"/>
        <v>-1</v>
      </c>
      <c r="AQ138" s="22"/>
      <c r="AR138" s="22"/>
      <c r="AS138" s="29" t="e">
        <f t="shared" si="105"/>
        <v>#DIV/0!</v>
      </c>
      <c r="AT138" s="22">
        <f t="shared" si="106"/>
        <v>30150</v>
      </c>
      <c r="AU138" s="22">
        <f t="shared" si="106"/>
        <v>0</v>
      </c>
      <c r="AV138" s="29">
        <f t="shared" si="107"/>
        <v>-1</v>
      </c>
      <c r="AW138" s="38"/>
      <c r="AX138" s="38">
        <v>10328</v>
      </c>
      <c r="AY138" s="29" t="e">
        <f t="shared" si="108"/>
        <v>#DIV/0!</v>
      </c>
      <c r="AZ138" s="38">
        <f t="shared" si="109"/>
        <v>30150</v>
      </c>
      <c r="BA138" s="38">
        <f t="shared" si="109"/>
        <v>10328</v>
      </c>
      <c r="BB138" s="29">
        <f t="shared" si="110"/>
        <v>-0.6574461028192371</v>
      </c>
      <c r="BC138" s="38"/>
      <c r="BD138" s="38"/>
      <c r="BE138" s="29" t="e">
        <f t="shared" si="111"/>
        <v>#DIV/0!</v>
      </c>
      <c r="BF138" s="38">
        <f t="shared" si="112"/>
        <v>30150</v>
      </c>
      <c r="BG138" s="38">
        <f t="shared" si="112"/>
        <v>10328</v>
      </c>
      <c r="BH138" s="29">
        <f t="shared" si="113"/>
        <v>-0.6574461028192371</v>
      </c>
      <c r="BI138" s="102"/>
      <c r="BJ138" s="111"/>
      <c r="BK138" s="22">
        <v>20656</v>
      </c>
      <c r="BL138" s="22">
        <v>50806</v>
      </c>
      <c r="BM138" s="96">
        <f t="shared" si="114"/>
        <v>0.21186510215803725</v>
      </c>
      <c r="BN138" s="22"/>
      <c r="BO138" s="22"/>
    </row>
    <row r="139" spans="1:67">
      <c r="A139" s="80" t="s">
        <v>29</v>
      </c>
      <c r="B139" s="80" t="s">
        <v>29</v>
      </c>
      <c r="C139" s="81" t="s">
        <v>248</v>
      </c>
      <c r="D139" s="33" t="s">
        <v>61</v>
      </c>
      <c r="E139" s="33" t="s">
        <v>61</v>
      </c>
      <c r="F139" s="33" t="s">
        <v>213</v>
      </c>
      <c r="G139" s="33" t="s">
        <v>213</v>
      </c>
      <c r="H139" s="33" t="s">
        <v>214</v>
      </c>
      <c r="I139" s="110">
        <v>3</v>
      </c>
      <c r="J139" s="111"/>
      <c r="K139" s="111"/>
      <c r="L139" s="29" t="e">
        <f t="shared" si="89"/>
        <v>#DIV/0!</v>
      </c>
      <c r="M139" s="22"/>
      <c r="N139" s="22"/>
      <c r="O139" s="29" t="e">
        <f t="shared" si="90"/>
        <v>#DIV/0!</v>
      </c>
      <c r="P139" s="22">
        <f t="shared" si="91"/>
        <v>0</v>
      </c>
      <c r="Q139" s="22">
        <f t="shared" si="91"/>
        <v>0</v>
      </c>
      <c r="R139" s="29" t="e">
        <f t="shared" si="92"/>
        <v>#DIV/0!</v>
      </c>
      <c r="S139" s="38">
        <v>8707</v>
      </c>
      <c r="T139" s="38"/>
      <c r="U139" s="29">
        <f t="shared" si="93"/>
        <v>-1</v>
      </c>
      <c r="V139" s="38">
        <f t="shared" si="94"/>
        <v>8707</v>
      </c>
      <c r="W139" s="38">
        <f t="shared" si="94"/>
        <v>0</v>
      </c>
      <c r="X139" s="29">
        <f t="shared" si="95"/>
        <v>-1</v>
      </c>
      <c r="Y139" s="22">
        <v>2224</v>
      </c>
      <c r="Z139" s="22"/>
      <c r="AA139" s="29">
        <f t="shared" si="96"/>
        <v>-1</v>
      </c>
      <c r="AB139" s="22">
        <f t="shared" si="97"/>
        <v>10931</v>
      </c>
      <c r="AC139" s="22">
        <f t="shared" si="97"/>
        <v>0</v>
      </c>
      <c r="AD139" s="29">
        <f t="shared" si="98"/>
        <v>-1</v>
      </c>
      <c r="AE139" s="22">
        <v>3539</v>
      </c>
      <c r="AF139" s="22"/>
      <c r="AG139" s="29">
        <f t="shared" si="99"/>
        <v>-1</v>
      </c>
      <c r="AH139" s="22">
        <f t="shared" si="100"/>
        <v>14470</v>
      </c>
      <c r="AI139" s="22">
        <f t="shared" si="100"/>
        <v>0</v>
      </c>
      <c r="AJ139" s="29">
        <f t="shared" si="101"/>
        <v>-1</v>
      </c>
      <c r="AK139" s="22"/>
      <c r="AL139" s="22"/>
      <c r="AM139" s="29" t="e">
        <f t="shared" si="102"/>
        <v>#DIV/0!</v>
      </c>
      <c r="AN139" s="22">
        <f t="shared" si="103"/>
        <v>14470</v>
      </c>
      <c r="AO139" s="22">
        <f t="shared" si="103"/>
        <v>0</v>
      </c>
      <c r="AP139" s="29">
        <f t="shared" si="104"/>
        <v>-1</v>
      </c>
      <c r="AQ139" s="22"/>
      <c r="AR139" s="22"/>
      <c r="AS139" s="29" t="e">
        <f t="shared" si="105"/>
        <v>#DIV/0!</v>
      </c>
      <c r="AT139" s="22">
        <f t="shared" si="106"/>
        <v>14470</v>
      </c>
      <c r="AU139" s="22">
        <f t="shared" si="106"/>
        <v>0</v>
      </c>
      <c r="AV139" s="29">
        <f t="shared" si="107"/>
        <v>-1</v>
      </c>
      <c r="AW139" s="38"/>
      <c r="AX139" s="38"/>
      <c r="AY139" s="29" t="e">
        <f t="shared" si="108"/>
        <v>#DIV/0!</v>
      </c>
      <c r="AZ139" s="38">
        <f t="shared" si="109"/>
        <v>14470</v>
      </c>
      <c r="BA139" s="38">
        <f t="shared" si="109"/>
        <v>0</v>
      </c>
      <c r="BB139" s="29">
        <f t="shared" si="110"/>
        <v>-1</v>
      </c>
      <c r="BC139" s="38"/>
      <c r="BD139" s="38">
        <v>6445</v>
      </c>
      <c r="BE139" s="29" t="e">
        <f t="shared" si="111"/>
        <v>#DIV/0!</v>
      </c>
      <c r="BF139" s="38">
        <f t="shared" si="112"/>
        <v>14470</v>
      </c>
      <c r="BG139" s="38">
        <f t="shared" si="112"/>
        <v>6445</v>
      </c>
      <c r="BH139" s="29">
        <f t="shared" si="113"/>
        <v>-0.55459571527297857</v>
      </c>
      <c r="BI139" s="102"/>
      <c r="BJ139" s="111">
        <v>5716</v>
      </c>
      <c r="BK139" s="22"/>
      <c r="BL139" s="22">
        <v>20186</v>
      </c>
      <c r="BM139" s="96">
        <f t="shared" si="114"/>
        <v>0.21483333333333332</v>
      </c>
      <c r="BN139" s="22"/>
      <c r="BO139" s="22"/>
    </row>
    <row r="140" spans="1:67">
      <c r="A140" s="80" t="s">
        <v>29</v>
      </c>
      <c r="B140" s="80" t="s">
        <v>29</v>
      </c>
      <c r="C140" s="81" t="s">
        <v>249</v>
      </c>
      <c r="D140" s="33" t="s">
        <v>102</v>
      </c>
      <c r="E140" s="33" t="s">
        <v>102</v>
      </c>
      <c r="F140" s="33" t="s">
        <v>222</v>
      </c>
      <c r="G140" s="33" t="s">
        <v>222</v>
      </c>
      <c r="H140" s="22" t="s">
        <v>223</v>
      </c>
      <c r="I140" s="110">
        <v>10</v>
      </c>
      <c r="J140" s="111">
        <v>35619</v>
      </c>
      <c r="K140" s="111"/>
      <c r="L140" s="29">
        <f t="shared" si="89"/>
        <v>-1</v>
      </c>
      <c r="M140" s="22"/>
      <c r="N140" s="22"/>
      <c r="O140" s="29" t="e">
        <f t="shared" si="90"/>
        <v>#DIV/0!</v>
      </c>
      <c r="P140" s="22">
        <f t="shared" si="91"/>
        <v>35619</v>
      </c>
      <c r="Q140" s="22">
        <f t="shared" si="91"/>
        <v>0</v>
      </c>
      <c r="R140" s="29">
        <f t="shared" si="92"/>
        <v>-1</v>
      </c>
      <c r="S140" s="38"/>
      <c r="T140" s="38"/>
      <c r="U140" s="29" t="e">
        <f t="shared" si="93"/>
        <v>#DIV/0!</v>
      </c>
      <c r="V140" s="38">
        <f t="shared" si="94"/>
        <v>35619</v>
      </c>
      <c r="W140" s="38">
        <f t="shared" si="94"/>
        <v>0</v>
      </c>
      <c r="X140" s="29">
        <f t="shared" si="95"/>
        <v>-1</v>
      </c>
      <c r="Y140" s="22"/>
      <c r="Z140" s="22"/>
      <c r="AA140" s="29" t="e">
        <f t="shared" si="96"/>
        <v>#DIV/0!</v>
      </c>
      <c r="AB140" s="22">
        <f t="shared" si="97"/>
        <v>35619</v>
      </c>
      <c r="AC140" s="22">
        <f t="shared" si="97"/>
        <v>0</v>
      </c>
      <c r="AD140" s="29">
        <f t="shared" si="98"/>
        <v>-1</v>
      </c>
      <c r="AE140" s="22"/>
      <c r="AF140" s="22"/>
      <c r="AG140" s="29" t="e">
        <f t="shared" si="99"/>
        <v>#DIV/0!</v>
      </c>
      <c r="AH140" s="22">
        <f t="shared" si="100"/>
        <v>35619</v>
      </c>
      <c r="AI140" s="22">
        <f t="shared" si="100"/>
        <v>0</v>
      </c>
      <c r="AJ140" s="29">
        <f t="shared" si="101"/>
        <v>-1</v>
      </c>
      <c r="AK140" s="22"/>
      <c r="AL140" s="22"/>
      <c r="AM140" s="29" t="e">
        <f t="shared" si="102"/>
        <v>#DIV/0!</v>
      </c>
      <c r="AN140" s="22">
        <f t="shared" si="103"/>
        <v>35619</v>
      </c>
      <c r="AO140" s="22">
        <f t="shared" si="103"/>
        <v>0</v>
      </c>
      <c r="AP140" s="29">
        <f t="shared" si="104"/>
        <v>-1</v>
      </c>
      <c r="AQ140" s="22"/>
      <c r="AR140" s="22"/>
      <c r="AS140" s="29" t="e">
        <f t="shared" si="105"/>
        <v>#DIV/0!</v>
      </c>
      <c r="AT140" s="22">
        <f t="shared" si="106"/>
        <v>35619</v>
      </c>
      <c r="AU140" s="22">
        <f t="shared" si="106"/>
        <v>0</v>
      </c>
      <c r="AV140" s="29">
        <f t="shared" si="107"/>
        <v>-1</v>
      </c>
      <c r="AW140" s="38"/>
      <c r="AX140" s="38"/>
      <c r="AY140" s="29" t="e">
        <f t="shared" si="108"/>
        <v>#DIV/0!</v>
      </c>
      <c r="AZ140" s="38">
        <f t="shared" si="109"/>
        <v>35619</v>
      </c>
      <c r="BA140" s="38">
        <f t="shared" si="109"/>
        <v>0</v>
      </c>
      <c r="BB140" s="29">
        <f t="shared" si="110"/>
        <v>-1</v>
      </c>
      <c r="BC140" s="38"/>
      <c r="BD140" s="38"/>
      <c r="BE140" s="29" t="e">
        <f t="shared" si="111"/>
        <v>#DIV/0!</v>
      </c>
      <c r="BF140" s="38">
        <f t="shared" si="112"/>
        <v>35619</v>
      </c>
      <c r="BG140" s="38">
        <f t="shared" si="112"/>
        <v>0</v>
      </c>
      <c r="BH140" s="29">
        <f t="shared" si="113"/>
        <v>-1</v>
      </c>
      <c r="BI140" s="102"/>
      <c r="BJ140" s="111"/>
      <c r="BK140" s="22"/>
      <c r="BL140" s="22">
        <v>35619</v>
      </c>
      <c r="BM140" s="96">
        <f t="shared" si="114"/>
        <v>0</v>
      </c>
      <c r="BN140" s="22"/>
      <c r="BO140" s="22"/>
    </row>
    <row r="141" spans="1:67">
      <c r="A141" s="80" t="s">
        <v>29</v>
      </c>
      <c r="B141" s="80" t="s">
        <v>29</v>
      </c>
      <c r="C141" s="108" t="s">
        <v>250</v>
      </c>
      <c r="D141" s="33" t="s">
        <v>102</v>
      </c>
      <c r="E141" s="33" t="s">
        <v>102</v>
      </c>
      <c r="F141" s="33" t="s">
        <v>230</v>
      </c>
      <c r="G141" s="33" t="s">
        <v>230</v>
      </c>
      <c r="H141" s="33" t="s">
        <v>219</v>
      </c>
      <c r="I141" s="110">
        <v>30</v>
      </c>
      <c r="J141" s="111">
        <v>32882</v>
      </c>
      <c r="K141" s="111">
        <v>36829</v>
      </c>
      <c r="L141" s="29">
        <f t="shared" si="89"/>
        <v>0.12003527765950972</v>
      </c>
      <c r="M141" s="22"/>
      <c r="N141" s="22"/>
      <c r="O141" s="29" t="e">
        <f t="shared" si="90"/>
        <v>#DIV/0!</v>
      </c>
      <c r="P141" s="22">
        <f t="shared" si="91"/>
        <v>32882</v>
      </c>
      <c r="Q141" s="22">
        <f t="shared" si="91"/>
        <v>36829</v>
      </c>
      <c r="R141" s="29">
        <f t="shared" si="92"/>
        <v>0.12003527765950972</v>
      </c>
      <c r="S141" s="38">
        <v>4598</v>
      </c>
      <c r="T141" s="38"/>
      <c r="U141" s="29">
        <f t="shared" si="93"/>
        <v>-1</v>
      </c>
      <c r="V141" s="38">
        <f t="shared" si="94"/>
        <v>37480</v>
      </c>
      <c r="W141" s="38">
        <f t="shared" si="94"/>
        <v>36829</v>
      </c>
      <c r="X141" s="29">
        <f t="shared" si="95"/>
        <v>-1.7369263607257213E-2</v>
      </c>
      <c r="Y141" s="22">
        <v>63078</v>
      </c>
      <c r="Z141" s="22">
        <v>10328</v>
      </c>
      <c r="AA141" s="29">
        <f t="shared" si="96"/>
        <v>-0.83626621008909607</v>
      </c>
      <c r="AB141" s="22">
        <f t="shared" si="97"/>
        <v>100558</v>
      </c>
      <c r="AC141" s="22">
        <f t="shared" si="97"/>
        <v>47157</v>
      </c>
      <c r="AD141" s="29">
        <f t="shared" si="98"/>
        <v>-0.53104675908430954</v>
      </c>
      <c r="AE141" s="22">
        <v>9859</v>
      </c>
      <c r="AF141" s="22">
        <v>4068</v>
      </c>
      <c r="AG141" s="29">
        <f t="shared" si="99"/>
        <v>-0.58738208743280251</v>
      </c>
      <c r="AH141" s="22">
        <f t="shared" si="100"/>
        <v>110417</v>
      </c>
      <c r="AI141" s="22">
        <f t="shared" si="100"/>
        <v>51225</v>
      </c>
      <c r="AJ141" s="29">
        <f t="shared" si="101"/>
        <v>-0.53607687222076317</v>
      </c>
      <c r="AK141" s="22">
        <v>3868</v>
      </c>
      <c r="AL141" s="22"/>
      <c r="AM141" s="29">
        <f t="shared" si="102"/>
        <v>-1</v>
      </c>
      <c r="AN141" s="22">
        <f t="shared" si="103"/>
        <v>114285</v>
      </c>
      <c r="AO141" s="22">
        <f t="shared" si="103"/>
        <v>51225</v>
      </c>
      <c r="AP141" s="29">
        <f t="shared" si="104"/>
        <v>-0.5517784486153039</v>
      </c>
      <c r="AQ141" s="22"/>
      <c r="AR141" s="22"/>
      <c r="AS141" s="29" t="e">
        <f t="shared" si="105"/>
        <v>#DIV/0!</v>
      </c>
      <c r="AT141" s="22">
        <f t="shared" si="106"/>
        <v>114285</v>
      </c>
      <c r="AU141" s="22">
        <f t="shared" si="106"/>
        <v>51225</v>
      </c>
      <c r="AV141" s="29">
        <f t="shared" si="107"/>
        <v>-0.5517784486153039</v>
      </c>
      <c r="AW141" s="38"/>
      <c r="AX141" s="38"/>
      <c r="AY141" s="29" t="e">
        <f t="shared" si="108"/>
        <v>#DIV/0!</v>
      </c>
      <c r="AZ141" s="38">
        <f t="shared" si="109"/>
        <v>114285</v>
      </c>
      <c r="BA141" s="38">
        <f t="shared" si="109"/>
        <v>51225</v>
      </c>
      <c r="BB141" s="29">
        <f t="shared" si="110"/>
        <v>-0.5517784486153039</v>
      </c>
      <c r="BC141" s="38"/>
      <c r="BD141" s="38"/>
      <c r="BE141" s="29" t="e">
        <f t="shared" si="111"/>
        <v>#DIV/0!</v>
      </c>
      <c r="BF141" s="38">
        <f t="shared" si="112"/>
        <v>114285</v>
      </c>
      <c r="BG141" s="38">
        <f t="shared" si="112"/>
        <v>51225</v>
      </c>
      <c r="BH141" s="29">
        <f t="shared" si="113"/>
        <v>-0.5517784486153039</v>
      </c>
      <c r="BI141" s="102">
        <v>10000</v>
      </c>
      <c r="BJ141" s="111">
        <v>4742</v>
      </c>
      <c r="BK141" s="22"/>
      <c r="BL141" s="22">
        <v>129027</v>
      </c>
      <c r="BM141" s="96">
        <f t="shared" si="114"/>
        <v>0.17074999999999999</v>
      </c>
      <c r="BN141" s="22"/>
      <c r="BO141" s="22"/>
    </row>
    <row r="142" spans="1:67">
      <c r="A142" s="80" t="s">
        <v>29</v>
      </c>
      <c r="B142" s="80" t="s">
        <v>29</v>
      </c>
      <c r="C142" s="108" t="s">
        <v>251</v>
      </c>
      <c r="D142" s="33" t="s">
        <v>102</v>
      </c>
      <c r="E142" s="33" t="s">
        <v>102</v>
      </c>
      <c r="F142" s="33" t="s">
        <v>217</v>
      </c>
      <c r="G142" s="33" t="s">
        <v>218</v>
      </c>
      <c r="H142" s="33" t="s">
        <v>219</v>
      </c>
      <c r="I142" s="110">
        <v>0</v>
      </c>
      <c r="J142" s="111"/>
      <c r="K142" s="111"/>
      <c r="L142" s="29" t="e">
        <f t="shared" si="89"/>
        <v>#DIV/0!</v>
      </c>
      <c r="M142" s="22"/>
      <c r="N142" s="22"/>
      <c r="O142" s="29" t="e">
        <f t="shared" si="90"/>
        <v>#DIV/0!</v>
      </c>
      <c r="P142" s="22">
        <f t="shared" si="91"/>
        <v>0</v>
      </c>
      <c r="Q142" s="22">
        <f t="shared" si="91"/>
        <v>0</v>
      </c>
      <c r="R142" s="29" t="e">
        <f t="shared" si="92"/>
        <v>#DIV/0!</v>
      </c>
      <c r="S142" s="38"/>
      <c r="T142" s="38"/>
      <c r="U142" s="29" t="e">
        <f t="shared" si="93"/>
        <v>#DIV/0!</v>
      </c>
      <c r="V142" s="38">
        <f t="shared" si="94"/>
        <v>0</v>
      </c>
      <c r="W142" s="38">
        <f t="shared" si="94"/>
        <v>0</v>
      </c>
      <c r="X142" s="29" t="e">
        <f t="shared" si="95"/>
        <v>#DIV/0!</v>
      </c>
      <c r="Y142" s="22"/>
      <c r="Z142" s="22"/>
      <c r="AA142" s="29" t="e">
        <f t="shared" si="96"/>
        <v>#DIV/0!</v>
      </c>
      <c r="AB142" s="22">
        <f t="shared" si="97"/>
        <v>0</v>
      </c>
      <c r="AC142" s="22">
        <f t="shared" si="97"/>
        <v>0</v>
      </c>
      <c r="AD142" s="29" t="e">
        <f t="shared" si="98"/>
        <v>#DIV/0!</v>
      </c>
      <c r="AE142" s="22"/>
      <c r="AF142" s="22"/>
      <c r="AG142" s="29" t="e">
        <f t="shared" si="99"/>
        <v>#DIV/0!</v>
      </c>
      <c r="AH142" s="22">
        <f t="shared" si="100"/>
        <v>0</v>
      </c>
      <c r="AI142" s="22">
        <f t="shared" si="100"/>
        <v>0</v>
      </c>
      <c r="AJ142" s="29" t="e">
        <f t="shared" si="101"/>
        <v>#DIV/0!</v>
      </c>
      <c r="AK142" s="22"/>
      <c r="AL142" s="22"/>
      <c r="AM142" s="29" t="e">
        <f t="shared" si="102"/>
        <v>#DIV/0!</v>
      </c>
      <c r="AN142" s="22">
        <f t="shared" si="103"/>
        <v>0</v>
      </c>
      <c r="AO142" s="22">
        <f t="shared" si="103"/>
        <v>0</v>
      </c>
      <c r="AP142" s="29" t="e">
        <f t="shared" si="104"/>
        <v>#DIV/0!</v>
      </c>
      <c r="AQ142" s="22"/>
      <c r="AR142" s="22"/>
      <c r="AS142" s="29" t="e">
        <f t="shared" si="105"/>
        <v>#DIV/0!</v>
      </c>
      <c r="AT142" s="22">
        <f t="shared" si="106"/>
        <v>0</v>
      </c>
      <c r="AU142" s="22">
        <f t="shared" si="106"/>
        <v>0</v>
      </c>
      <c r="AV142" s="29" t="e">
        <f t="shared" si="107"/>
        <v>#DIV/0!</v>
      </c>
      <c r="AW142" s="38"/>
      <c r="AX142" s="38"/>
      <c r="AY142" s="29" t="e">
        <f t="shared" si="108"/>
        <v>#DIV/0!</v>
      </c>
      <c r="AZ142" s="38">
        <f t="shared" si="109"/>
        <v>0</v>
      </c>
      <c r="BA142" s="38">
        <f t="shared" si="109"/>
        <v>0</v>
      </c>
      <c r="BB142" s="29" t="e">
        <f t="shared" si="110"/>
        <v>#DIV/0!</v>
      </c>
      <c r="BC142" s="38"/>
      <c r="BD142" s="38"/>
      <c r="BE142" s="29" t="e">
        <f t="shared" si="111"/>
        <v>#DIV/0!</v>
      </c>
      <c r="BF142" s="38">
        <f t="shared" si="112"/>
        <v>0</v>
      </c>
      <c r="BG142" s="38">
        <f t="shared" si="112"/>
        <v>0</v>
      </c>
      <c r="BH142" s="29" t="e">
        <f t="shared" si="113"/>
        <v>#DIV/0!</v>
      </c>
      <c r="BI142" s="102"/>
      <c r="BJ142" s="111">
        <v>18239</v>
      </c>
      <c r="BK142" s="22">
        <v>18239</v>
      </c>
      <c r="BL142" s="22">
        <v>36478</v>
      </c>
      <c r="BM142" s="96" t="e">
        <f t="shared" si="114"/>
        <v>#DIV/0!</v>
      </c>
      <c r="BN142" s="22"/>
      <c r="BO142" s="22"/>
    </row>
    <row r="143" spans="1:67">
      <c r="A143" s="80" t="s">
        <v>29</v>
      </c>
      <c r="B143" s="80" t="s">
        <v>29</v>
      </c>
      <c r="C143" s="108" t="s">
        <v>252</v>
      </c>
      <c r="D143" s="33" t="s">
        <v>114</v>
      </c>
      <c r="E143" s="33" t="s">
        <v>114</v>
      </c>
      <c r="F143" s="33" t="s">
        <v>217</v>
      </c>
      <c r="G143" s="33" t="s">
        <v>218</v>
      </c>
      <c r="H143" s="33" t="s">
        <v>219</v>
      </c>
      <c r="I143" s="110">
        <v>0</v>
      </c>
      <c r="J143" s="111">
        <v>2780</v>
      </c>
      <c r="K143" s="111"/>
      <c r="L143" s="29">
        <f t="shared" si="89"/>
        <v>-1</v>
      </c>
      <c r="M143" s="22"/>
      <c r="N143" s="22"/>
      <c r="O143" s="29" t="e">
        <f t="shared" si="90"/>
        <v>#DIV/0!</v>
      </c>
      <c r="P143" s="22">
        <f t="shared" si="91"/>
        <v>2780</v>
      </c>
      <c r="Q143" s="22">
        <f t="shared" si="91"/>
        <v>0</v>
      </c>
      <c r="R143" s="29">
        <f t="shared" si="92"/>
        <v>-1</v>
      </c>
      <c r="S143" s="38"/>
      <c r="T143" s="38"/>
      <c r="U143" s="29" t="e">
        <f t="shared" si="93"/>
        <v>#DIV/0!</v>
      </c>
      <c r="V143" s="38">
        <f t="shared" si="94"/>
        <v>2780</v>
      </c>
      <c r="W143" s="38">
        <f t="shared" si="94"/>
        <v>0</v>
      </c>
      <c r="X143" s="29">
        <f t="shared" si="95"/>
        <v>-1</v>
      </c>
      <c r="Y143" s="22"/>
      <c r="Z143" s="22"/>
      <c r="AA143" s="29" t="e">
        <f t="shared" si="96"/>
        <v>#DIV/0!</v>
      </c>
      <c r="AB143" s="22">
        <f t="shared" si="97"/>
        <v>2780</v>
      </c>
      <c r="AC143" s="22">
        <f t="shared" si="97"/>
        <v>0</v>
      </c>
      <c r="AD143" s="29">
        <f t="shared" si="98"/>
        <v>-1</v>
      </c>
      <c r="AE143" s="22"/>
      <c r="AF143" s="22"/>
      <c r="AG143" s="29" t="e">
        <f t="shared" si="99"/>
        <v>#DIV/0!</v>
      </c>
      <c r="AH143" s="22">
        <f t="shared" si="100"/>
        <v>2780</v>
      </c>
      <c r="AI143" s="22">
        <f t="shared" si="100"/>
        <v>0</v>
      </c>
      <c r="AJ143" s="29">
        <f t="shared" si="101"/>
        <v>-1</v>
      </c>
      <c r="AK143" s="22">
        <v>2594</v>
      </c>
      <c r="AL143" s="22"/>
      <c r="AM143" s="29">
        <f t="shared" si="102"/>
        <v>-1</v>
      </c>
      <c r="AN143" s="22">
        <f t="shared" si="103"/>
        <v>5374</v>
      </c>
      <c r="AO143" s="22">
        <f t="shared" si="103"/>
        <v>0</v>
      </c>
      <c r="AP143" s="29">
        <f t="shared" si="104"/>
        <v>-1</v>
      </c>
      <c r="AQ143" s="22"/>
      <c r="AR143" s="22"/>
      <c r="AS143" s="29" t="e">
        <f t="shared" si="105"/>
        <v>#DIV/0!</v>
      </c>
      <c r="AT143" s="22">
        <f t="shared" si="106"/>
        <v>5374</v>
      </c>
      <c r="AU143" s="22">
        <f t="shared" si="106"/>
        <v>0</v>
      </c>
      <c r="AV143" s="29">
        <f t="shared" si="107"/>
        <v>-1</v>
      </c>
      <c r="AW143" s="38"/>
      <c r="AX143" s="38"/>
      <c r="AY143" s="29" t="e">
        <f t="shared" si="108"/>
        <v>#DIV/0!</v>
      </c>
      <c r="AZ143" s="38">
        <f t="shared" si="109"/>
        <v>5374</v>
      </c>
      <c r="BA143" s="38">
        <f t="shared" si="109"/>
        <v>0</v>
      </c>
      <c r="BB143" s="29">
        <f t="shared" si="110"/>
        <v>-1</v>
      </c>
      <c r="BC143" s="38"/>
      <c r="BD143" s="38"/>
      <c r="BE143" s="29" t="e">
        <f t="shared" si="111"/>
        <v>#DIV/0!</v>
      </c>
      <c r="BF143" s="38">
        <f t="shared" si="112"/>
        <v>5374</v>
      </c>
      <c r="BG143" s="38">
        <f t="shared" si="112"/>
        <v>0</v>
      </c>
      <c r="BH143" s="29">
        <f t="shared" si="113"/>
        <v>-1</v>
      </c>
      <c r="BI143" s="102"/>
      <c r="BJ143" s="111"/>
      <c r="BK143" s="22">
        <v>2594</v>
      </c>
      <c r="BL143" s="22">
        <v>7968</v>
      </c>
      <c r="BM143" s="96" t="e">
        <f t="shared" si="114"/>
        <v>#DIV/0!</v>
      </c>
      <c r="BN143" s="22"/>
      <c r="BO143" s="22"/>
    </row>
    <row r="144" spans="1:67">
      <c r="A144" s="80" t="s">
        <v>29</v>
      </c>
      <c r="B144" s="80" t="s">
        <v>29</v>
      </c>
      <c r="C144" s="108" t="s">
        <v>253</v>
      </c>
      <c r="D144" s="33" t="s">
        <v>102</v>
      </c>
      <c r="E144" s="33" t="s">
        <v>102</v>
      </c>
      <c r="F144" s="176" t="s">
        <v>230</v>
      </c>
      <c r="G144" s="176" t="s">
        <v>230</v>
      </c>
      <c r="H144" s="22" t="s">
        <v>223</v>
      </c>
      <c r="I144" s="110">
        <v>10</v>
      </c>
      <c r="J144" s="111"/>
      <c r="K144" s="111"/>
      <c r="L144" s="29" t="e">
        <f t="shared" si="89"/>
        <v>#DIV/0!</v>
      </c>
      <c r="M144" s="22">
        <v>16642</v>
      </c>
      <c r="N144" s="22"/>
      <c r="O144" s="29">
        <f t="shared" si="90"/>
        <v>-1</v>
      </c>
      <c r="P144" s="22">
        <f t="shared" si="91"/>
        <v>16642</v>
      </c>
      <c r="Q144" s="22">
        <f t="shared" si="91"/>
        <v>0</v>
      </c>
      <c r="R144" s="29">
        <f t="shared" si="92"/>
        <v>-1</v>
      </c>
      <c r="S144" s="38"/>
      <c r="T144" s="38">
        <v>1857</v>
      </c>
      <c r="U144" s="29" t="e">
        <f t="shared" si="93"/>
        <v>#DIV/0!</v>
      </c>
      <c r="V144" s="38">
        <f t="shared" si="94"/>
        <v>16642</v>
      </c>
      <c r="W144" s="38">
        <f t="shared" si="94"/>
        <v>1857</v>
      </c>
      <c r="X144" s="29">
        <f t="shared" si="95"/>
        <v>-0.88841485398389619</v>
      </c>
      <c r="Y144" s="22">
        <v>10388</v>
      </c>
      <c r="Z144" s="22"/>
      <c r="AA144" s="29">
        <f t="shared" si="96"/>
        <v>-1</v>
      </c>
      <c r="AB144" s="22">
        <f t="shared" si="97"/>
        <v>27030</v>
      </c>
      <c r="AC144" s="22">
        <f t="shared" si="97"/>
        <v>1857</v>
      </c>
      <c r="AD144" s="29">
        <f t="shared" si="98"/>
        <v>-0.93129855715871257</v>
      </c>
      <c r="AE144" s="22">
        <v>2624</v>
      </c>
      <c r="AF144" s="22"/>
      <c r="AG144" s="29">
        <f t="shared" si="99"/>
        <v>-1</v>
      </c>
      <c r="AH144" s="22">
        <f t="shared" si="100"/>
        <v>29654</v>
      </c>
      <c r="AI144" s="22">
        <f t="shared" si="100"/>
        <v>1857</v>
      </c>
      <c r="AJ144" s="29">
        <f t="shared" si="101"/>
        <v>-0.9373777567950361</v>
      </c>
      <c r="AK144" s="22"/>
      <c r="AL144" s="22"/>
      <c r="AM144" s="29" t="e">
        <f t="shared" si="102"/>
        <v>#DIV/0!</v>
      </c>
      <c r="AN144" s="22">
        <f t="shared" si="103"/>
        <v>29654</v>
      </c>
      <c r="AO144" s="22">
        <f t="shared" si="103"/>
        <v>1857</v>
      </c>
      <c r="AP144" s="29">
        <f t="shared" si="104"/>
        <v>-0.9373777567950361</v>
      </c>
      <c r="AQ144" s="22"/>
      <c r="AR144" s="22"/>
      <c r="AS144" s="29" t="e">
        <f t="shared" si="105"/>
        <v>#DIV/0!</v>
      </c>
      <c r="AT144" s="22">
        <f t="shared" si="106"/>
        <v>29654</v>
      </c>
      <c r="AU144" s="22">
        <f t="shared" si="106"/>
        <v>1857</v>
      </c>
      <c r="AV144" s="29">
        <f t="shared" si="107"/>
        <v>-0.9373777567950361</v>
      </c>
      <c r="AW144" s="38"/>
      <c r="AX144" s="38"/>
      <c r="AY144" s="29" t="e">
        <f t="shared" si="108"/>
        <v>#DIV/0!</v>
      </c>
      <c r="AZ144" s="38">
        <f t="shared" si="109"/>
        <v>29654</v>
      </c>
      <c r="BA144" s="38">
        <f t="shared" si="109"/>
        <v>1857</v>
      </c>
      <c r="BB144" s="29">
        <f t="shared" si="110"/>
        <v>-0.9373777567950361</v>
      </c>
      <c r="BC144" s="38"/>
      <c r="BD144" s="38"/>
      <c r="BE144" s="29" t="e">
        <f t="shared" si="111"/>
        <v>#DIV/0!</v>
      </c>
      <c r="BF144" s="38">
        <f t="shared" si="112"/>
        <v>29654</v>
      </c>
      <c r="BG144" s="38">
        <f t="shared" si="112"/>
        <v>1857</v>
      </c>
      <c r="BH144" s="29">
        <f t="shared" si="113"/>
        <v>-0.9373777567950361</v>
      </c>
      <c r="BI144" s="102">
        <v>11543</v>
      </c>
      <c r="BJ144" s="111"/>
      <c r="BK144" s="22"/>
      <c r="BL144" s="22">
        <v>41197</v>
      </c>
      <c r="BM144" s="96">
        <f t="shared" si="114"/>
        <v>1.857E-2</v>
      </c>
      <c r="BN144" s="22"/>
      <c r="BO144" s="22"/>
    </row>
    <row r="145" spans="1:67">
      <c r="A145" s="80" t="s">
        <v>29</v>
      </c>
      <c r="B145" s="80" t="s">
        <v>29</v>
      </c>
      <c r="C145" s="108" t="s">
        <v>254</v>
      </c>
      <c r="D145" s="33" t="s">
        <v>61</v>
      </c>
      <c r="E145" s="33" t="s">
        <v>61</v>
      </c>
      <c r="F145" s="33" t="s">
        <v>217</v>
      </c>
      <c r="G145" s="33" t="s">
        <v>235</v>
      </c>
      <c r="H145" s="33" t="s">
        <v>219</v>
      </c>
      <c r="I145" s="110">
        <v>0</v>
      </c>
      <c r="J145" s="111"/>
      <c r="K145" s="111"/>
      <c r="L145" s="29" t="e">
        <f t="shared" si="89"/>
        <v>#DIV/0!</v>
      </c>
      <c r="M145" s="22"/>
      <c r="N145" s="22"/>
      <c r="O145" s="29" t="e">
        <f t="shared" si="90"/>
        <v>#DIV/0!</v>
      </c>
      <c r="P145" s="22">
        <f t="shared" si="91"/>
        <v>0</v>
      </c>
      <c r="Q145" s="22">
        <f t="shared" si="91"/>
        <v>0</v>
      </c>
      <c r="R145" s="29" t="e">
        <f t="shared" si="92"/>
        <v>#DIV/0!</v>
      </c>
      <c r="S145" s="38"/>
      <c r="T145" s="38"/>
      <c r="U145" s="29" t="e">
        <f t="shared" si="93"/>
        <v>#DIV/0!</v>
      </c>
      <c r="V145" s="38">
        <f t="shared" si="94"/>
        <v>0</v>
      </c>
      <c r="W145" s="38">
        <f t="shared" si="94"/>
        <v>0</v>
      </c>
      <c r="X145" s="29" t="e">
        <f t="shared" si="95"/>
        <v>#DIV/0!</v>
      </c>
      <c r="Y145" s="22"/>
      <c r="Z145" s="22"/>
      <c r="AA145" s="29" t="e">
        <f t="shared" si="96"/>
        <v>#DIV/0!</v>
      </c>
      <c r="AB145" s="22">
        <f t="shared" si="97"/>
        <v>0</v>
      </c>
      <c r="AC145" s="22">
        <f t="shared" si="97"/>
        <v>0</v>
      </c>
      <c r="AD145" s="29" t="e">
        <f t="shared" si="98"/>
        <v>#DIV/0!</v>
      </c>
      <c r="AE145" s="22"/>
      <c r="AF145" s="22"/>
      <c r="AG145" s="29" t="e">
        <f t="shared" si="99"/>
        <v>#DIV/0!</v>
      </c>
      <c r="AH145" s="22">
        <f t="shared" si="100"/>
        <v>0</v>
      </c>
      <c r="AI145" s="22">
        <f t="shared" si="100"/>
        <v>0</v>
      </c>
      <c r="AJ145" s="29" t="e">
        <f t="shared" si="101"/>
        <v>#DIV/0!</v>
      </c>
      <c r="AK145" s="22"/>
      <c r="AL145" s="22"/>
      <c r="AM145" s="29" t="e">
        <f t="shared" si="102"/>
        <v>#DIV/0!</v>
      </c>
      <c r="AN145" s="22">
        <f t="shared" si="103"/>
        <v>0</v>
      </c>
      <c r="AO145" s="22">
        <f t="shared" si="103"/>
        <v>0</v>
      </c>
      <c r="AP145" s="29" t="e">
        <f t="shared" si="104"/>
        <v>#DIV/0!</v>
      </c>
      <c r="AQ145" s="22"/>
      <c r="AR145" s="22"/>
      <c r="AS145" s="29" t="e">
        <f t="shared" si="105"/>
        <v>#DIV/0!</v>
      </c>
      <c r="AT145" s="22">
        <f t="shared" si="106"/>
        <v>0</v>
      </c>
      <c r="AU145" s="22">
        <f t="shared" si="106"/>
        <v>0</v>
      </c>
      <c r="AV145" s="29" t="e">
        <f t="shared" si="107"/>
        <v>#DIV/0!</v>
      </c>
      <c r="AW145" s="38"/>
      <c r="AX145" s="38"/>
      <c r="AY145" s="29" t="e">
        <f t="shared" si="108"/>
        <v>#DIV/0!</v>
      </c>
      <c r="AZ145" s="38">
        <f t="shared" si="109"/>
        <v>0</v>
      </c>
      <c r="BA145" s="38">
        <f t="shared" si="109"/>
        <v>0</v>
      </c>
      <c r="BB145" s="29" t="e">
        <f t="shared" si="110"/>
        <v>#DIV/0!</v>
      </c>
      <c r="BC145" s="38"/>
      <c r="BD145" s="38"/>
      <c r="BE145" s="29" t="e">
        <f t="shared" si="111"/>
        <v>#DIV/0!</v>
      </c>
      <c r="BF145" s="38">
        <f t="shared" si="112"/>
        <v>0</v>
      </c>
      <c r="BG145" s="38">
        <f t="shared" si="112"/>
        <v>0</v>
      </c>
      <c r="BH145" s="29" t="e">
        <f t="shared" si="113"/>
        <v>#DIV/0!</v>
      </c>
      <c r="BI145" s="102">
        <v>30000</v>
      </c>
      <c r="BJ145" s="111"/>
      <c r="BK145" s="22"/>
      <c r="BL145" s="22">
        <v>30000</v>
      </c>
      <c r="BM145" s="96" t="e">
        <f t="shared" si="114"/>
        <v>#DIV/0!</v>
      </c>
      <c r="BN145" s="22"/>
      <c r="BO145" s="22"/>
    </row>
    <row r="146" spans="1:67">
      <c r="A146" s="80" t="s">
        <v>29</v>
      </c>
      <c r="B146" s="80" t="s">
        <v>29</v>
      </c>
      <c r="C146" s="108" t="s">
        <v>255</v>
      </c>
      <c r="D146" s="33" t="s">
        <v>114</v>
      </c>
      <c r="E146" s="33" t="s">
        <v>114</v>
      </c>
      <c r="F146" s="33" t="s">
        <v>213</v>
      </c>
      <c r="G146" s="33" t="s">
        <v>213</v>
      </c>
      <c r="H146" s="33" t="s">
        <v>214</v>
      </c>
      <c r="I146" s="110">
        <v>10</v>
      </c>
      <c r="J146" s="111"/>
      <c r="K146" s="111"/>
      <c r="L146" s="29" t="e">
        <f t="shared" si="89"/>
        <v>#DIV/0!</v>
      </c>
      <c r="M146" s="22"/>
      <c r="N146" s="22"/>
      <c r="O146" s="29" t="e">
        <f t="shared" si="90"/>
        <v>#DIV/0!</v>
      </c>
      <c r="P146" s="22">
        <f t="shared" si="91"/>
        <v>0</v>
      </c>
      <c r="Q146" s="22">
        <f t="shared" si="91"/>
        <v>0</v>
      </c>
      <c r="R146" s="29" t="e">
        <f t="shared" si="92"/>
        <v>#DIV/0!</v>
      </c>
      <c r="S146" s="38"/>
      <c r="T146" s="38">
        <v>-4080</v>
      </c>
      <c r="U146" s="29" t="e">
        <f t="shared" si="93"/>
        <v>#DIV/0!</v>
      </c>
      <c r="V146" s="38">
        <f t="shared" si="94"/>
        <v>0</v>
      </c>
      <c r="W146" s="38">
        <f t="shared" si="94"/>
        <v>-4080</v>
      </c>
      <c r="X146" s="29" t="e">
        <f t="shared" si="95"/>
        <v>#DIV/0!</v>
      </c>
      <c r="Y146" s="22"/>
      <c r="Z146" s="22"/>
      <c r="AA146" s="29" t="e">
        <f t="shared" si="96"/>
        <v>#DIV/0!</v>
      </c>
      <c r="AB146" s="22">
        <f t="shared" si="97"/>
        <v>0</v>
      </c>
      <c r="AC146" s="22">
        <f t="shared" si="97"/>
        <v>-4080</v>
      </c>
      <c r="AD146" s="29" t="e">
        <f t="shared" si="98"/>
        <v>#DIV/0!</v>
      </c>
      <c r="AE146" s="22"/>
      <c r="AF146" s="22">
        <v>-720</v>
      </c>
      <c r="AG146" s="29" t="e">
        <f t="shared" si="99"/>
        <v>#DIV/0!</v>
      </c>
      <c r="AH146" s="22">
        <f t="shared" si="100"/>
        <v>0</v>
      </c>
      <c r="AI146" s="22">
        <f t="shared" si="100"/>
        <v>-4800</v>
      </c>
      <c r="AJ146" s="29" t="e">
        <f t="shared" si="101"/>
        <v>#DIV/0!</v>
      </c>
      <c r="AK146" s="22">
        <v>8991</v>
      </c>
      <c r="AL146" s="22"/>
      <c r="AM146" s="29">
        <f t="shared" si="102"/>
        <v>-1</v>
      </c>
      <c r="AN146" s="22">
        <f t="shared" si="103"/>
        <v>8991</v>
      </c>
      <c r="AO146" s="22">
        <f t="shared" si="103"/>
        <v>-4800</v>
      </c>
      <c r="AP146" s="29">
        <f t="shared" si="104"/>
        <v>-1.5338672005338672</v>
      </c>
      <c r="AQ146" s="22"/>
      <c r="AR146" s="22"/>
      <c r="AS146" s="29" t="e">
        <f t="shared" si="105"/>
        <v>#DIV/0!</v>
      </c>
      <c r="AT146" s="22">
        <f t="shared" si="106"/>
        <v>8991</v>
      </c>
      <c r="AU146" s="22">
        <f t="shared" si="106"/>
        <v>-4800</v>
      </c>
      <c r="AV146" s="29">
        <f t="shared" si="107"/>
        <v>-1.5338672005338672</v>
      </c>
      <c r="AW146" s="38"/>
      <c r="AX146" s="38"/>
      <c r="AY146" s="29" t="e">
        <f t="shared" si="108"/>
        <v>#DIV/0!</v>
      </c>
      <c r="AZ146" s="38">
        <f t="shared" si="109"/>
        <v>8991</v>
      </c>
      <c r="BA146" s="38">
        <f t="shared" si="109"/>
        <v>-4800</v>
      </c>
      <c r="BB146" s="29">
        <f t="shared" si="110"/>
        <v>-1.5338672005338672</v>
      </c>
      <c r="BC146" s="38">
        <v>4800</v>
      </c>
      <c r="BD146" s="38">
        <v>4597</v>
      </c>
      <c r="BE146" s="29">
        <f t="shared" si="111"/>
        <v>-4.2291666666666616E-2</v>
      </c>
      <c r="BF146" s="38">
        <f t="shared" si="112"/>
        <v>13791</v>
      </c>
      <c r="BG146" s="38">
        <f t="shared" si="112"/>
        <v>-203</v>
      </c>
      <c r="BH146" s="29">
        <f t="shared" si="113"/>
        <v>-1.0147197447610761</v>
      </c>
      <c r="BI146" s="102"/>
      <c r="BJ146" s="111"/>
      <c r="BK146" s="22">
        <v>10235</v>
      </c>
      <c r="BL146" s="22">
        <v>24026</v>
      </c>
      <c r="BM146" s="96">
        <f t="shared" si="114"/>
        <v>-2.0299999999999997E-3</v>
      </c>
      <c r="BN146" s="22"/>
      <c r="BO146" s="22"/>
    </row>
    <row r="147" spans="1:67">
      <c r="A147" s="80" t="s">
        <v>29</v>
      </c>
      <c r="B147" s="80" t="s">
        <v>29</v>
      </c>
      <c r="C147" s="108" t="s">
        <v>256</v>
      </c>
      <c r="D147" s="33" t="s">
        <v>61</v>
      </c>
      <c r="E147" s="33" t="s">
        <v>61</v>
      </c>
      <c r="F147" s="33" t="s">
        <v>226</v>
      </c>
      <c r="G147" s="33" t="s">
        <v>226</v>
      </c>
      <c r="H147" s="33" t="s">
        <v>214</v>
      </c>
      <c r="I147" s="110">
        <v>0</v>
      </c>
      <c r="J147" s="111">
        <v>31502</v>
      </c>
      <c r="K147" s="111"/>
      <c r="L147" s="29">
        <f t="shared" si="89"/>
        <v>-1</v>
      </c>
      <c r="M147" s="22"/>
      <c r="N147" s="22"/>
      <c r="O147" s="29" t="e">
        <f t="shared" si="90"/>
        <v>#DIV/0!</v>
      </c>
      <c r="P147" s="22">
        <f t="shared" si="91"/>
        <v>31502</v>
      </c>
      <c r="Q147" s="22">
        <f t="shared" si="91"/>
        <v>0</v>
      </c>
      <c r="R147" s="29">
        <f t="shared" si="92"/>
        <v>-1</v>
      </c>
      <c r="S147" s="38">
        <v>72790</v>
      </c>
      <c r="T147" s="38"/>
      <c r="U147" s="29">
        <f t="shared" si="93"/>
        <v>-1</v>
      </c>
      <c r="V147" s="38">
        <f t="shared" si="94"/>
        <v>104292</v>
      </c>
      <c r="W147" s="38">
        <f t="shared" si="94"/>
        <v>0</v>
      </c>
      <c r="X147" s="29">
        <f t="shared" si="95"/>
        <v>-1</v>
      </c>
      <c r="Y147" s="22">
        <v>5831</v>
      </c>
      <c r="Z147" s="22"/>
      <c r="AA147" s="29">
        <f t="shared" si="96"/>
        <v>-1</v>
      </c>
      <c r="AB147" s="22">
        <f t="shared" si="97"/>
        <v>110123</v>
      </c>
      <c r="AC147" s="22">
        <f t="shared" si="97"/>
        <v>0</v>
      </c>
      <c r="AD147" s="29">
        <f t="shared" si="98"/>
        <v>-1</v>
      </c>
      <c r="AE147" s="22"/>
      <c r="AF147" s="22"/>
      <c r="AG147" s="29" t="e">
        <f t="shared" si="99"/>
        <v>#DIV/0!</v>
      </c>
      <c r="AH147" s="22">
        <f t="shared" si="100"/>
        <v>110123</v>
      </c>
      <c r="AI147" s="22">
        <f t="shared" si="100"/>
        <v>0</v>
      </c>
      <c r="AJ147" s="29">
        <f t="shared" si="101"/>
        <v>-1</v>
      </c>
      <c r="AK147" s="22">
        <v>605</v>
      </c>
      <c r="AL147" s="22"/>
      <c r="AM147" s="29">
        <f t="shared" si="102"/>
        <v>-1</v>
      </c>
      <c r="AN147" s="22">
        <f t="shared" si="103"/>
        <v>110728</v>
      </c>
      <c r="AO147" s="22">
        <f t="shared" si="103"/>
        <v>0</v>
      </c>
      <c r="AP147" s="29">
        <f t="shared" si="104"/>
        <v>-1</v>
      </c>
      <c r="AQ147" s="22">
        <v>1655</v>
      </c>
      <c r="AR147" s="22"/>
      <c r="AS147" s="29">
        <f t="shared" si="105"/>
        <v>-1</v>
      </c>
      <c r="AT147" s="22">
        <f t="shared" si="106"/>
        <v>112383</v>
      </c>
      <c r="AU147" s="22">
        <f t="shared" si="106"/>
        <v>0</v>
      </c>
      <c r="AV147" s="29">
        <f t="shared" si="107"/>
        <v>-1</v>
      </c>
      <c r="AW147" s="38">
        <v>8510</v>
      </c>
      <c r="AX147" s="38"/>
      <c r="AY147" s="29">
        <f t="shared" si="108"/>
        <v>-1</v>
      </c>
      <c r="AZ147" s="38">
        <f t="shared" si="109"/>
        <v>120893</v>
      </c>
      <c r="BA147" s="38">
        <f t="shared" si="109"/>
        <v>0</v>
      </c>
      <c r="BB147" s="29">
        <f t="shared" si="110"/>
        <v>-1</v>
      </c>
      <c r="BC147" s="38">
        <v>4861</v>
      </c>
      <c r="BD147" s="38"/>
      <c r="BE147" s="29">
        <f t="shared" si="111"/>
        <v>-1</v>
      </c>
      <c r="BF147" s="38">
        <f t="shared" si="112"/>
        <v>125754</v>
      </c>
      <c r="BG147" s="38">
        <f t="shared" si="112"/>
        <v>0</v>
      </c>
      <c r="BH147" s="29">
        <f t="shared" si="113"/>
        <v>-1</v>
      </c>
      <c r="BI147" s="102"/>
      <c r="BJ147" s="111">
        <v>-72790</v>
      </c>
      <c r="BK147" s="22">
        <v>9560</v>
      </c>
      <c r="BL147" s="22">
        <v>62524</v>
      </c>
      <c r="BM147" s="96" t="e">
        <f t="shared" si="114"/>
        <v>#DIV/0!</v>
      </c>
      <c r="BN147" s="22"/>
      <c r="BO147" s="22"/>
    </row>
    <row r="148" spans="1:67">
      <c r="A148" s="80" t="s">
        <v>29</v>
      </c>
      <c r="B148" s="80" t="s">
        <v>29</v>
      </c>
      <c r="C148" s="108" t="s">
        <v>257</v>
      </c>
      <c r="D148" s="33" t="s">
        <v>102</v>
      </c>
      <c r="E148" s="33" t="s">
        <v>102</v>
      </c>
      <c r="F148" s="33" t="s">
        <v>217</v>
      </c>
      <c r="G148" s="33" t="s">
        <v>218</v>
      </c>
      <c r="H148" s="33" t="s">
        <v>219</v>
      </c>
      <c r="I148" s="110">
        <v>0</v>
      </c>
      <c r="J148" s="111"/>
      <c r="K148" s="111"/>
      <c r="L148" s="29" t="e">
        <f t="shared" si="89"/>
        <v>#DIV/0!</v>
      </c>
      <c r="M148" s="22"/>
      <c r="N148" s="22"/>
      <c r="O148" s="29" t="e">
        <f t="shared" si="90"/>
        <v>#DIV/0!</v>
      </c>
      <c r="P148" s="22">
        <f t="shared" si="91"/>
        <v>0</v>
      </c>
      <c r="Q148" s="22">
        <f t="shared" si="91"/>
        <v>0</v>
      </c>
      <c r="R148" s="29" t="e">
        <f t="shared" si="92"/>
        <v>#DIV/0!</v>
      </c>
      <c r="S148" s="38"/>
      <c r="T148" s="38"/>
      <c r="U148" s="29" t="e">
        <f t="shared" si="93"/>
        <v>#DIV/0!</v>
      </c>
      <c r="V148" s="38">
        <f t="shared" si="94"/>
        <v>0</v>
      </c>
      <c r="W148" s="38">
        <f t="shared" si="94"/>
        <v>0</v>
      </c>
      <c r="X148" s="29" t="e">
        <f t="shared" si="95"/>
        <v>#DIV/0!</v>
      </c>
      <c r="Y148" s="22">
        <v>9523</v>
      </c>
      <c r="Z148" s="22"/>
      <c r="AA148" s="29">
        <f t="shared" si="96"/>
        <v>-1</v>
      </c>
      <c r="AB148" s="22">
        <f t="shared" si="97"/>
        <v>9523</v>
      </c>
      <c r="AC148" s="22">
        <f t="shared" si="97"/>
        <v>0</v>
      </c>
      <c r="AD148" s="29">
        <f t="shared" si="98"/>
        <v>-1</v>
      </c>
      <c r="AE148" s="22"/>
      <c r="AF148" s="22"/>
      <c r="AG148" s="29" t="e">
        <f t="shared" si="99"/>
        <v>#DIV/0!</v>
      </c>
      <c r="AH148" s="22">
        <f t="shared" si="100"/>
        <v>9523</v>
      </c>
      <c r="AI148" s="22">
        <f t="shared" si="100"/>
        <v>0</v>
      </c>
      <c r="AJ148" s="29">
        <f t="shared" si="101"/>
        <v>-1</v>
      </c>
      <c r="AK148" s="22">
        <v>15368</v>
      </c>
      <c r="AL148" s="22"/>
      <c r="AM148" s="29">
        <f t="shared" si="102"/>
        <v>-1</v>
      </c>
      <c r="AN148" s="22">
        <f t="shared" si="103"/>
        <v>24891</v>
      </c>
      <c r="AO148" s="22">
        <f t="shared" si="103"/>
        <v>0</v>
      </c>
      <c r="AP148" s="29">
        <f t="shared" si="104"/>
        <v>-1</v>
      </c>
      <c r="AQ148" s="22"/>
      <c r="AR148" s="22"/>
      <c r="AS148" s="29" t="e">
        <f t="shared" si="105"/>
        <v>#DIV/0!</v>
      </c>
      <c r="AT148" s="22">
        <f t="shared" si="106"/>
        <v>24891</v>
      </c>
      <c r="AU148" s="22">
        <f t="shared" si="106"/>
        <v>0</v>
      </c>
      <c r="AV148" s="29">
        <f t="shared" si="107"/>
        <v>-1</v>
      </c>
      <c r="AW148" s="38"/>
      <c r="AX148" s="38"/>
      <c r="AY148" s="29" t="e">
        <f t="shared" si="108"/>
        <v>#DIV/0!</v>
      </c>
      <c r="AZ148" s="38">
        <f t="shared" si="109"/>
        <v>24891</v>
      </c>
      <c r="BA148" s="38">
        <f t="shared" si="109"/>
        <v>0</v>
      </c>
      <c r="BB148" s="29">
        <f t="shared" si="110"/>
        <v>-1</v>
      </c>
      <c r="BC148" s="38"/>
      <c r="BD148" s="38">
        <v>5519</v>
      </c>
      <c r="BE148" s="29" t="e">
        <f t="shared" si="111"/>
        <v>#DIV/0!</v>
      </c>
      <c r="BF148" s="38">
        <f t="shared" si="112"/>
        <v>24891</v>
      </c>
      <c r="BG148" s="38">
        <f t="shared" si="112"/>
        <v>5519</v>
      </c>
      <c r="BH148" s="29">
        <f t="shared" si="113"/>
        <v>-0.77827327146358116</v>
      </c>
      <c r="BI148" s="102"/>
      <c r="BJ148" s="111"/>
      <c r="BK148" s="22"/>
      <c r="BL148" s="22">
        <v>24891</v>
      </c>
      <c r="BM148" s="96" t="e">
        <f t="shared" si="114"/>
        <v>#DIV/0!</v>
      </c>
      <c r="BN148" s="22"/>
      <c r="BO148" s="22"/>
    </row>
    <row r="149" spans="1:67">
      <c r="A149" s="80" t="s">
        <v>29</v>
      </c>
      <c r="B149" s="80" t="s">
        <v>29</v>
      </c>
      <c r="C149" s="108" t="s">
        <v>258</v>
      </c>
      <c r="D149" s="33" t="s">
        <v>61</v>
      </c>
      <c r="E149" s="33" t="s">
        <v>61</v>
      </c>
      <c r="F149" s="33" t="s">
        <v>226</v>
      </c>
      <c r="G149" s="33" t="s">
        <v>226</v>
      </c>
      <c r="H149" s="33" t="s">
        <v>214</v>
      </c>
      <c r="I149" s="110">
        <v>1</v>
      </c>
      <c r="J149" s="111"/>
      <c r="K149" s="111"/>
      <c r="L149" s="29" t="e">
        <f t="shared" si="89"/>
        <v>#DIV/0!</v>
      </c>
      <c r="M149" s="22"/>
      <c r="N149" s="22"/>
      <c r="O149" s="29" t="e">
        <f t="shared" si="90"/>
        <v>#DIV/0!</v>
      </c>
      <c r="P149" s="22">
        <f t="shared" si="91"/>
        <v>0</v>
      </c>
      <c r="Q149" s="22">
        <f t="shared" si="91"/>
        <v>0</v>
      </c>
      <c r="R149" s="29" t="e">
        <f t="shared" si="92"/>
        <v>#DIV/0!</v>
      </c>
      <c r="S149" s="38">
        <v>3210</v>
      </c>
      <c r="T149" s="38"/>
      <c r="U149" s="29">
        <f t="shared" si="93"/>
        <v>-1</v>
      </c>
      <c r="V149" s="38">
        <f t="shared" si="94"/>
        <v>3210</v>
      </c>
      <c r="W149" s="38">
        <f t="shared" si="94"/>
        <v>0</v>
      </c>
      <c r="X149" s="29">
        <f t="shared" si="95"/>
        <v>-1</v>
      </c>
      <c r="Y149" s="22"/>
      <c r="Z149" s="22"/>
      <c r="AA149" s="29" t="e">
        <f t="shared" si="96"/>
        <v>#DIV/0!</v>
      </c>
      <c r="AB149" s="22">
        <f t="shared" si="97"/>
        <v>3210</v>
      </c>
      <c r="AC149" s="22">
        <f t="shared" si="97"/>
        <v>0</v>
      </c>
      <c r="AD149" s="29">
        <f t="shared" si="98"/>
        <v>-1</v>
      </c>
      <c r="AE149" s="22"/>
      <c r="AF149" s="22"/>
      <c r="AG149" s="29" t="e">
        <f t="shared" si="99"/>
        <v>#DIV/0!</v>
      </c>
      <c r="AH149" s="22">
        <f t="shared" si="100"/>
        <v>3210</v>
      </c>
      <c r="AI149" s="22">
        <f t="shared" si="100"/>
        <v>0</v>
      </c>
      <c r="AJ149" s="29">
        <f t="shared" si="101"/>
        <v>-1</v>
      </c>
      <c r="AK149" s="22"/>
      <c r="AL149" s="22"/>
      <c r="AM149" s="29" t="e">
        <f t="shared" si="102"/>
        <v>#DIV/0!</v>
      </c>
      <c r="AN149" s="22">
        <f t="shared" si="103"/>
        <v>3210</v>
      </c>
      <c r="AO149" s="22">
        <f t="shared" si="103"/>
        <v>0</v>
      </c>
      <c r="AP149" s="29">
        <f t="shared" si="104"/>
        <v>-1</v>
      </c>
      <c r="AQ149" s="22"/>
      <c r="AR149" s="22"/>
      <c r="AS149" s="29" t="e">
        <f t="shared" si="105"/>
        <v>#DIV/0!</v>
      </c>
      <c r="AT149" s="22">
        <f t="shared" si="106"/>
        <v>3210</v>
      </c>
      <c r="AU149" s="22">
        <f t="shared" si="106"/>
        <v>0</v>
      </c>
      <c r="AV149" s="29">
        <f t="shared" si="107"/>
        <v>-1</v>
      </c>
      <c r="AW149" s="38"/>
      <c r="AX149" s="38"/>
      <c r="AY149" s="29" t="e">
        <f t="shared" si="108"/>
        <v>#DIV/0!</v>
      </c>
      <c r="AZ149" s="38">
        <f t="shared" si="109"/>
        <v>3210</v>
      </c>
      <c r="BA149" s="38">
        <f t="shared" si="109"/>
        <v>0</v>
      </c>
      <c r="BB149" s="29">
        <f t="shared" si="110"/>
        <v>-1</v>
      </c>
      <c r="BC149" s="38"/>
      <c r="BD149" s="38"/>
      <c r="BE149" s="29" t="e">
        <f t="shared" si="111"/>
        <v>#DIV/0!</v>
      </c>
      <c r="BF149" s="38">
        <f t="shared" si="112"/>
        <v>3210</v>
      </c>
      <c r="BG149" s="38">
        <f t="shared" si="112"/>
        <v>0</v>
      </c>
      <c r="BH149" s="29">
        <f t="shared" si="113"/>
        <v>-1</v>
      </c>
      <c r="BI149" s="102"/>
      <c r="BJ149" s="111"/>
      <c r="BK149" s="22">
        <v>3919</v>
      </c>
      <c r="BL149" s="22">
        <v>7129</v>
      </c>
      <c r="BM149" s="96">
        <f t="shared" si="114"/>
        <v>0</v>
      </c>
      <c r="BN149" s="22"/>
      <c r="BO149" s="22"/>
    </row>
    <row r="150" spans="1:67">
      <c r="A150" s="80" t="s">
        <v>29</v>
      </c>
      <c r="B150" s="80" t="s">
        <v>29</v>
      </c>
      <c r="C150" s="108" t="s">
        <v>259</v>
      </c>
      <c r="D150" s="33" t="s">
        <v>102</v>
      </c>
      <c r="E150" s="33" t="s">
        <v>102</v>
      </c>
      <c r="F150" s="33" t="s">
        <v>226</v>
      </c>
      <c r="G150" s="33" t="s">
        <v>226</v>
      </c>
      <c r="H150" s="33" t="s">
        <v>214</v>
      </c>
      <c r="I150" s="110">
        <v>2</v>
      </c>
      <c r="J150" s="111"/>
      <c r="K150" s="111"/>
      <c r="L150" s="29" t="e">
        <f t="shared" si="89"/>
        <v>#DIV/0!</v>
      </c>
      <c r="M150" s="22"/>
      <c r="N150" s="22"/>
      <c r="O150" s="29" t="e">
        <f t="shared" si="90"/>
        <v>#DIV/0!</v>
      </c>
      <c r="P150" s="22">
        <f t="shared" si="91"/>
        <v>0</v>
      </c>
      <c r="Q150" s="22">
        <f t="shared" si="91"/>
        <v>0</v>
      </c>
      <c r="R150" s="29" t="e">
        <f t="shared" si="92"/>
        <v>#DIV/0!</v>
      </c>
      <c r="S150" s="38"/>
      <c r="T150" s="38"/>
      <c r="U150" s="29" t="e">
        <f t="shared" si="93"/>
        <v>#DIV/0!</v>
      </c>
      <c r="V150" s="38">
        <f t="shared" si="94"/>
        <v>0</v>
      </c>
      <c r="W150" s="38">
        <f t="shared" si="94"/>
        <v>0</v>
      </c>
      <c r="X150" s="29" t="e">
        <f t="shared" si="95"/>
        <v>#DIV/0!</v>
      </c>
      <c r="Y150" s="22"/>
      <c r="Z150" s="22"/>
      <c r="AA150" s="29" t="e">
        <f t="shared" si="96"/>
        <v>#DIV/0!</v>
      </c>
      <c r="AB150" s="22">
        <f t="shared" si="97"/>
        <v>0</v>
      </c>
      <c r="AC150" s="22">
        <f t="shared" si="97"/>
        <v>0</v>
      </c>
      <c r="AD150" s="29" t="e">
        <f t="shared" si="98"/>
        <v>#DIV/0!</v>
      </c>
      <c r="AE150" s="22"/>
      <c r="AF150" s="22"/>
      <c r="AG150" s="29" t="e">
        <f t="shared" si="99"/>
        <v>#DIV/0!</v>
      </c>
      <c r="AH150" s="22">
        <f t="shared" si="100"/>
        <v>0</v>
      </c>
      <c r="AI150" s="22">
        <f t="shared" si="100"/>
        <v>0</v>
      </c>
      <c r="AJ150" s="29" t="e">
        <f t="shared" si="101"/>
        <v>#DIV/0!</v>
      </c>
      <c r="AK150" s="22"/>
      <c r="AL150" s="22"/>
      <c r="AM150" s="29" t="e">
        <f t="shared" si="102"/>
        <v>#DIV/0!</v>
      </c>
      <c r="AN150" s="22">
        <f t="shared" si="103"/>
        <v>0</v>
      </c>
      <c r="AO150" s="22">
        <f t="shared" si="103"/>
        <v>0</v>
      </c>
      <c r="AP150" s="29" t="e">
        <f t="shared" si="104"/>
        <v>#DIV/0!</v>
      </c>
      <c r="AQ150" s="22"/>
      <c r="AR150" s="22"/>
      <c r="AS150" s="29" t="e">
        <f t="shared" si="105"/>
        <v>#DIV/0!</v>
      </c>
      <c r="AT150" s="22">
        <f t="shared" si="106"/>
        <v>0</v>
      </c>
      <c r="AU150" s="22">
        <f t="shared" si="106"/>
        <v>0</v>
      </c>
      <c r="AV150" s="29" t="e">
        <f t="shared" si="107"/>
        <v>#DIV/0!</v>
      </c>
      <c r="AW150" s="38"/>
      <c r="AX150" s="38"/>
      <c r="AY150" s="29" t="e">
        <f t="shared" si="108"/>
        <v>#DIV/0!</v>
      </c>
      <c r="AZ150" s="38">
        <f t="shared" si="109"/>
        <v>0</v>
      </c>
      <c r="BA150" s="38">
        <f t="shared" si="109"/>
        <v>0</v>
      </c>
      <c r="BB150" s="29" t="e">
        <f t="shared" si="110"/>
        <v>#DIV/0!</v>
      </c>
      <c r="BC150" s="38"/>
      <c r="BD150" s="38"/>
      <c r="BE150" s="29" t="e">
        <f t="shared" si="111"/>
        <v>#DIV/0!</v>
      </c>
      <c r="BF150" s="38">
        <f t="shared" si="112"/>
        <v>0</v>
      </c>
      <c r="BG150" s="38">
        <f t="shared" si="112"/>
        <v>0</v>
      </c>
      <c r="BH150" s="29" t="e">
        <f t="shared" si="113"/>
        <v>#DIV/0!</v>
      </c>
      <c r="BI150" s="102"/>
      <c r="BJ150" s="111"/>
      <c r="BK150" s="22">
        <v>14090</v>
      </c>
      <c r="BL150" s="22">
        <v>14090</v>
      </c>
      <c r="BM150" s="96">
        <f t="shared" si="114"/>
        <v>0</v>
      </c>
      <c r="BN150" s="22"/>
      <c r="BO150" s="22"/>
    </row>
    <row r="151" spans="1:67">
      <c r="A151" s="80" t="s">
        <v>29</v>
      </c>
      <c r="B151" s="80" t="s">
        <v>29</v>
      </c>
      <c r="C151" s="108" t="s">
        <v>260</v>
      </c>
      <c r="D151" s="33" t="s">
        <v>102</v>
      </c>
      <c r="E151" s="33" t="s">
        <v>102</v>
      </c>
      <c r="F151" s="33" t="s">
        <v>217</v>
      </c>
      <c r="G151" s="33" t="s">
        <v>218</v>
      </c>
      <c r="H151" s="33" t="s">
        <v>219</v>
      </c>
      <c r="I151" s="110">
        <v>4</v>
      </c>
      <c r="J151" s="111"/>
      <c r="K151" s="111">
        <v>18040</v>
      </c>
      <c r="L151" s="29" t="e">
        <f t="shared" si="89"/>
        <v>#DIV/0!</v>
      </c>
      <c r="M151" s="22"/>
      <c r="N151" s="22"/>
      <c r="O151" s="29" t="e">
        <f t="shared" si="90"/>
        <v>#DIV/0!</v>
      </c>
      <c r="P151" s="22">
        <f t="shared" si="91"/>
        <v>0</v>
      </c>
      <c r="Q151" s="22">
        <f t="shared" si="91"/>
        <v>18040</v>
      </c>
      <c r="R151" s="29" t="e">
        <f t="shared" si="92"/>
        <v>#DIV/0!</v>
      </c>
      <c r="S151" s="38"/>
      <c r="T151" s="38">
        <v>18354</v>
      </c>
      <c r="U151" s="29" t="e">
        <f t="shared" si="93"/>
        <v>#DIV/0!</v>
      </c>
      <c r="V151" s="38">
        <f t="shared" si="94"/>
        <v>0</v>
      </c>
      <c r="W151" s="38">
        <f t="shared" si="94"/>
        <v>36394</v>
      </c>
      <c r="X151" s="29" t="e">
        <f t="shared" si="95"/>
        <v>#DIV/0!</v>
      </c>
      <c r="Y151" s="22">
        <v>20720</v>
      </c>
      <c r="Z151" s="22"/>
      <c r="AA151" s="29">
        <f t="shared" si="96"/>
        <v>-1</v>
      </c>
      <c r="AB151" s="22">
        <f t="shared" si="97"/>
        <v>20720</v>
      </c>
      <c r="AC151" s="22">
        <f t="shared" si="97"/>
        <v>36394</v>
      </c>
      <c r="AD151" s="29">
        <f t="shared" si="98"/>
        <v>0.7564671814671815</v>
      </c>
      <c r="AE151" s="22">
        <v>-1100</v>
      </c>
      <c r="AF151" s="22"/>
      <c r="AG151" s="29">
        <f t="shared" si="99"/>
        <v>-1</v>
      </c>
      <c r="AH151" s="22">
        <f t="shared" si="100"/>
        <v>19620</v>
      </c>
      <c r="AI151" s="22">
        <f t="shared" si="100"/>
        <v>36394</v>
      </c>
      <c r="AJ151" s="29">
        <f t="shared" si="101"/>
        <v>0.85494393476044861</v>
      </c>
      <c r="AK151" s="22"/>
      <c r="AL151" s="22"/>
      <c r="AM151" s="29" t="e">
        <f t="shared" si="102"/>
        <v>#DIV/0!</v>
      </c>
      <c r="AN151" s="22">
        <f t="shared" si="103"/>
        <v>19620</v>
      </c>
      <c r="AO151" s="22">
        <f t="shared" si="103"/>
        <v>36394</v>
      </c>
      <c r="AP151" s="29">
        <f t="shared" si="104"/>
        <v>0.85494393476044861</v>
      </c>
      <c r="AQ151" s="22"/>
      <c r="AR151" s="22"/>
      <c r="AS151" s="29" t="e">
        <f t="shared" si="105"/>
        <v>#DIV/0!</v>
      </c>
      <c r="AT151" s="22">
        <f t="shared" si="106"/>
        <v>19620</v>
      </c>
      <c r="AU151" s="22">
        <f t="shared" si="106"/>
        <v>36394</v>
      </c>
      <c r="AV151" s="29">
        <f t="shared" si="107"/>
        <v>0.85494393476044861</v>
      </c>
      <c r="AW151" s="38"/>
      <c r="AX151" s="38"/>
      <c r="AY151" s="29" t="e">
        <f t="shared" si="108"/>
        <v>#DIV/0!</v>
      </c>
      <c r="AZ151" s="38">
        <f t="shared" si="109"/>
        <v>19620</v>
      </c>
      <c r="BA151" s="38">
        <f t="shared" si="109"/>
        <v>36394</v>
      </c>
      <c r="BB151" s="29">
        <f t="shared" si="110"/>
        <v>0.85494393476044861</v>
      </c>
      <c r="BC151" s="38"/>
      <c r="BD151" s="38"/>
      <c r="BE151" s="29" t="e">
        <f t="shared" si="111"/>
        <v>#DIV/0!</v>
      </c>
      <c r="BF151" s="38">
        <f t="shared" si="112"/>
        <v>19620</v>
      </c>
      <c r="BG151" s="38">
        <f t="shared" si="112"/>
        <v>36394</v>
      </c>
      <c r="BH151" s="29">
        <f t="shared" si="113"/>
        <v>0.85494393476044861</v>
      </c>
      <c r="BI151" s="102"/>
      <c r="BJ151" s="111"/>
      <c r="BK151" s="22">
        <v>47089</v>
      </c>
      <c r="BL151" s="22">
        <v>66709</v>
      </c>
      <c r="BM151" s="96">
        <f t="shared" si="114"/>
        <v>0.90985000000000005</v>
      </c>
      <c r="BN151" s="22"/>
      <c r="BO151" s="22"/>
    </row>
    <row r="152" spans="1:67">
      <c r="A152" s="80" t="s">
        <v>29</v>
      </c>
      <c r="B152" s="80" t="s">
        <v>29</v>
      </c>
      <c r="C152" s="108" t="s">
        <v>261</v>
      </c>
      <c r="D152" s="33" t="s">
        <v>61</v>
      </c>
      <c r="E152" s="33" t="s">
        <v>61</v>
      </c>
      <c r="F152" s="33" t="s">
        <v>217</v>
      </c>
      <c r="G152" s="33" t="s">
        <v>235</v>
      </c>
      <c r="H152" s="33" t="s">
        <v>219</v>
      </c>
      <c r="I152" s="110">
        <v>0</v>
      </c>
      <c r="J152" s="111">
        <v>10190</v>
      </c>
      <c r="K152" s="111"/>
      <c r="L152" s="29">
        <f t="shared" si="89"/>
        <v>-1</v>
      </c>
      <c r="M152" s="22"/>
      <c r="N152" s="22"/>
      <c r="O152" s="29" t="e">
        <f t="shared" si="90"/>
        <v>#DIV/0!</v>
      </c>
      <c r="P152" s="22">
        <f t="shared" si="91"/>
        <v>10190</v>
      </c>
      <c r="Q152" s="22">
        <f t="shared" si="91"/>
        <v>0</v>
      </c>
      <c r="R152" s="29">
        <f t="shared" si="92"/>
        <v>-1</v>
      </c>
      <c r="S152" s="38"/>
      <c r="T152" s="38">
        <v>4898</v>
      </c>
      <c r="U152" s="29" t="e">
        <f t="shared" si="93"/>
        <v>#DIV/0!</v>
      </c>
      <c r="V152" s="38">
        <f t="shared" si="94"/>
        <v>10190</v>
      </c>
      <c r="W152" s="38">
        <f t="shared" si="94"/>
        <v>4898</v>
      </c>
      <c r="X152" s="29">
        <f t="shared" si="95"/>
        <v>-0.51933267909715408</v>
      </c>
      <c r="Y152" s="22">
        <v>2070</v>
      </c>
      <c r="Z152" s="22"/>
      <c r="AA152" s="29">
        <f t="shared" si="96"/>
        <v>-1</v>
      </c>
      <c r="AB152" s="22">
        <f t="shared" si="97"/>
        <v>12260</v>
      </c>
      <c r="AC152" s="22">
        <f t="shared" si="97"/>
        <v>4898</v>
      </c>
      <c r="AD152" s="29">
        <f t="shared" si="98"/>
        <v>-0.600489396411093</v>
      </c>
      <c r="AE152" s="22"/>
      <c r="AF152" s="22">
        <v>2691</v>
      </c>
      <c r="AG152" s="29" t="e">
        <f t="shared" si="99"/>
        <v>#DIV/0!</v>
      </c>
      <c r="AH152" s="22">
        <f t="shared" si="100"/>
        <v>12260</v>
      </c>
      <c r="AI152" s="22">
        <f t="shared" si="100"/>
        <v>7589</v>
      </c>
      <c r="AJ152" s="29">
        <f t="shared" si="101"/>
        <v>-0.38099510603588904</v>
      </c>
      <c r="AK152" s="22">
        <v>6600</v>
      </c>
      <c r="AL152" s="22">
        <v>8324</v>
      </c>
      <c r="AM152" s="29">
        <f t="shared" si="102"/>
        <v>0.26121212121212123</v>
      </c>
      <c r="AN152" s="22">
        <f t="shared" si="103"/>
        <v>18860</v>
      </c>
      <c r="AO152" s="22">
        <f t="shared" si="103"/>
        <v>15913</v>
      </c>
      <c r="AP152" s="29">
        <f t="shared" si="104"/>
        <v>-0.15625662778366911</v>
      </c>
      <c r="AQ152" s="22"/>
      <c r="AR152" s="22"/>
      <c r="AS152" s="29" t="e">
        <f t="shared" si="105"/>
        <v>#DIV/0!</v>
      </c>
      <c r="AT152" s="22">
        <f t="shared" si="106"/>
        <v>18860</v>
      </c>
      <c r="AU152" s="22">
        <f t="shared" si="106"/>
        <v>15913</v>
      </c>
      <c r="AV152" s="29">
        <f t="shared" si="107"/>
        <v>-0.15625662778366911</v>
      </c>
      <c r="AW152" s="38"/>
      <c r="AX152" s="38">
        <v>4914</v>
      </c>
      <c r="AY152" s="29" t="e">
        <f t="shared" si="108"/>
        <v>#DIV/0!</v>
      </c>
      <c r="AZ152" s="38">
        <f t="shared" si="109"/>
        <v>18860</v>
      </c>
      <c r="BA152" s="38">
        <f t="shared" si="109"/>
        <v>20827</v>
      </c>
      <c r="BB152" s="29">
        <f t="shared" si="110"/>
        <v>0.10429480381760348</v>
      </c>
      <c r="BC152" s="38"/>
      <c r="BD152" s="38">
        <v>3149</v>
      </c>
      <c r="BE152" s="29" t="e">
        <f t="shared" si="111"/>
        <v>#DIV/0!</v>
      </c>
      <c r="BF152" s="38">
        <f t="shared" si="112"/>
        <v>18860</v>
      </c>
      <c r="BG152" s="38">
        <f t="shared" si="112"/>
        <v>23976</v>
      </c>
      <c r="BH152" s="29">
        <f t="shared" si="113"/>
        <v>0.2712619300106045</v>
      </c>
      <c r="BI152" s="102">
        <v>8455</v>
      </c>
      <c r="BJ152" s="111">
        <v>3076</v>
      </c>
      <c r="BK152" s="22"/>
      <c r="BL152" s="22">
        <v>30391</v>
      </c>
      <c r="BM152" s="96" t="e">
        <f t="shared" si="114"/>
        <v>#DIV/0!</v>
      </c>
      <c r="BN152" s="22"/>
      <c r="BO152" s="22"/>
    </row>
    <row r="153" spans="1:67">
      <c r="A153" s="80" t="s">
        <v>29</v>
      </c>
      <c r="B153" s="80" t="s">
        <v>29</v>
      </c>
      <c r="C153" s="108" t="s">
        <v>262</v>
      </c>
      <c r="D153" s="33" t="s">
        <v>102</v>
      </c>
      <c r="E153" s="33" t="s">
        <v>102</v>
      </c>
      <c r="F153" s="33" t="s">
        <v>217</v>
      </c>
      <c r="G153" s="33" t="s">
        <v>263</v>
      </c>
      <c r="H153" s="33" t="s">
        <v>219</v>
      </c>
      <c r="I153" s="110">
        <v>4.8014000000000001</v>
      </c>
      <c r="J153" s="111"/>
      <c r="K153" s="111">
        <v>12654</v>
      </c>
      <c r="L153" s="29" t="e">
        <f t="shared" si="89"/>
        <v>#DIV/0!</v>
      </c>
      <c r="M153" s="22"/>
      <c r="N153" s="22"/>
      <c r="O153" s="29" t="e">
        <f t="shared" si="90"/>
        <v>#DIV/0!</v>
      </c>
      <c r="P153" s="22">
        <f t="shared" si="91"/>
        <v>0</v>
      </c>
      <c r="Q153" s="22">
        <f t="shared" si="91"/>
        <v>12654</v>
      </c>
      <c r="R153" s="29" t="e">
        <f t="shared" si="92"/>
        <v>#DIV/0!</v>
      </c>
      <c r="S153" s="38"/>
      <c r="T153" s="38">
        <v>14635</v>
      </c>
      <c r="U153" s="29" t="e">
        <f t="shared" si="93"/>
        <v>#DIV/0!</v>
      </c>
      <c r="V153" s="38">
        <f t="shared" si="94"/>
        <v>0</v>
      </c>
      <c r="W153" s="38">
        <f t="shared" si="94"/>
        <v>27289</v>
      </c>
      <c r="X153" s="29" t="e">
        <f t="shared" si="95"/>
        <v>#DIV/0!</v>
      </c>
      <c r="Y153" s="22">
        <v>13520</v>
      </c>
      <c r="Z153" s="22"/>
      <c r="AA153" s="29">
        <f t="shared" si="96"/>
        <v>-1</v>
      </c>
      <c r="AB153" s="22">
        <f t="shared" si="97"/>
        <v>13520</v>
      </c>
      <c r="AC153" s="22">
        <f t="shared" si="97"/>
        <v>27289</v>
      </c>
      <c r="AD153" s="29">
        <f t="shared" si="98"/>
        <v>1.0184171597633136</v>
      </c>
      <c r="AE153" s="22">
        <v>6598</v>
      </c>
      <c r="AF153" s="22"/>
      <c r="AG153" s="29">
        <f t="shared" si="99"/>
        <v>-1</v>
      </c>
      <c r="AH153" s="22">
        <f t="shared" si="100"/>
        <v>20118</v>
      </c>
      <c r="AI153" s="22">
        <f t="shared" si="100"/>
        <v>27289</v>
      </c>
      <c r="AJ153" s="29">
        <f t="shared" si="101"/>
        <v>0.3564469629187792</v>
      </c>
      <c r="AK153" s="22">
        <v>11393</v>
      </c>
      <c r="AL153" s="22">
        <v>3803</v>
      </c>
      <c r="AM153" s="29">
        <f t="shared" si="102"/>
        <v>-0.66619854296497849</v>
      </c>
      <c r="AN153" s="22">
        <f t="shared" si="103"/>
        <v>31511</v>
      </c>
      <c r="AO153" s="22">
        <f t="shared" si="103"/>
        <v>31092</v>
      </c>
      <c r="AP153" s="29">
        <f t="shared" si="104"/>
        <v>-1.3296943924343885E-2</v>
      </c>
      <c r="AQ153" s="22">
        <v>16300</v>
      </c>
      <c r="AR153" s="22">
        <v>4305</v>
      </c>
      <c r="AS153" s="29">
        <f t="shared" si="105"/>
        <v>-0.73588957055214732</v>
      </c>
      <c r="AT153" s="22">
        <f t="shared" si="106"/>
        <v>47811</v>
      </c>
      <c r="AU153" s="22">
        <f t="shared" si="106"/>
        <v>35397</v>
      </c>
      <c r="AV153" s="29">
        <f t="shared" si="107"/>
        <v>-0.25964736148585055</v>
      </c>
      <c r="AW153" s="38">
        <v>3765</v>
      </c>
      <c r="AX153" s="38"/>
      <c r="AY153" s="29">
        <f t="shared" si="108"/>
        <v>-1</v>
      </c>
      <c r="AZ153" s="38">
        <f t="shared" si="109"/>
        <v>51576</v>
      </c>
      <c r="BA153" s="38">
        <f t="shared" si="109"/>
        <v>35397</v>
      </c>
      <c r="BB153" s="29">
        <f t="shared" si="110"/>
        <v>-0.31369241507677992</v>
      </c>
      <c r="BC153" s="38"/>
      <c r="BD153" s="38">
        <v>6439</v>
      </c>
      <c r="BE153" s="29" t="e">
        <f t="shared" si="111"/>
        <v>#DIV/0!</v>
      </c>
      <c r="BF153" s="38">
        <f t="shared" si="112"/>
        <v>51576</v>
      </c>
      <c r="BG153" s="38">
        <f t="shared" si="112"/>
        <v>41836</v>
      </c>
      <c r="BH153" s="29">
        <f t="shared" si="113"/>
        <v>-0.18884752598107646</v>
      </c>
      <c r="BI153" s="102"/>
      <c r="BJ153" s="111">
        <v>5389</v>
      </c>
      <c r="BK153" s="22">
        <v>828</v>
      </c>
      <c r="BL153" s="22">
        <v>57793</v>
      </c>
      <c r="BM153" s="96">
        <f t="shared" si="114"/>
        <v>0.87132919565126843</v>
      </c>
      <c r="BN153" s="22"/>
      <c r="BO153" s="22"/>
    </row>
    <row r="154" spans="1:67">
      <c r="A154" s="80" t="s">
        <v>29</v>
      </c>
      <c r="B154" s="80" t="s">
        <v>29</v>
      </c>
      <c r="C154" s="108" t="s">
        <v>264</v>
      </c>
      <c r="D154" s="33" t="s">
        <v>114</v>
      </c>
      <c r="E154" s="33" t="s">
        <v>114</v>
      </c>
      <c r="F154" s="33" t="s">
        <v>217</v>
      </c>
      <c r="G154" s="33" t="s">
        <v>80</v>
      </c>
      <c r="H154" s="33" t="s">
        <v>219</v>
      </c>
      <c r="I154" s="110">
        <v>28</v>
      </c>
      <c r="J154" s="111"/>
      <c r="K154" s="111">
        <v>2024</v>
      </c>
      <c r="L154" s="29" t="e">
        <f t="shared" si="89"/>
        <v>#DIV/0!</v>
      </c>
      <c r="M154" s="22"/>
      <c r="N154" s="22">
        <v>8445.84</v>
      </c>
      <c r="O154" s="29" t="e">
        <f t="shared" si="90"/>
        <v>#DIV/0!</v>
      </c>
      <c r="P154" s="22">
        <f t="shared" si="91"/>
        <v>0</v>
      </c>
      <c r="Q154" s="22">
        <f t="shared" si="91"/>
        <v>10469.84</v>
      </c>
      <c r="R154" s="29" t="e">
        <f t="shared" si="92"/>
        <v>#DIV/0!</v>
      </c>
      <c r="S154" s="38"/>
      <c r="T154" s="38"/>
      <c r="U154" s="29" t="e">
        <f t="shared" si="93"/>
        <v>#DIV/0!</v>
      </c>
      <c r="V154" s="38">
        <f t="shared" si="94"/>
        <v>0</v>
      </c>
      <c r="W154" s="38">
        <f t="shared" si="94"/>
        <v>10469.84</v>
      </c>
      <c r="X154" s="29" t="e">
        <f t="shared" si="95"/>
        <v>#DIV/0!</v>
      </c>
      <c r="Y154" s="22"/>
      <c r="Z154" s="22">
        <v>24539.8</v>
      </c>
      <c r="AA154" s="29" t="e">
        <f t="shared" si="96"/>
        <v>#DIV/0!</v>
      </c>
      <c r="AB154" s="22">
        <f t="shared" si="97"/>
        <v>0</v>
      </c>
      <c r="AC154" s="22">
        <f t="shared" si="97"/>
        <v>35009.64</v>
      </c>
      <c r="AD154" s="29" t="e">
        <f t="shared" si="98"/>
        <v>#DIV/0!</v>
      </c>
      <c r="AE154" s="22"/>
      <c r="AF154" s="22">
        <v>18827.5</v>
      </c>
      <c r="AG154" s="29" t="e">
        <f t="shared" si="99"/>
        <v>#DIV/0!</v>
      </c>
      <c r="AH154" s="22">
        <f t="shared" si="100"/>
        <v>0</v>
      </c>
      <c r="AI154" s="22">
        <f t="shared" si="100"/>
        <v>53837.14</v>
      </c>
      <c r="AJ154" s="29" t="e">
        <f t="shared" si="101"/>
        <v>#DIV/0!</v>
      </c>
      <c r="AK154" s="22"/>
      <c r="AL154" s="22">
        <v>51848.85</v>
      </c>
      <c r="AM154" s="29" t="e">
        <f t="shared" si="102"/>
        <v>#DIV/0!</v>
      </c>
      <c r="AN154" s="22">
        <f t="shared" si="103"/>
        <v>0</v>
      </c>
      <c r="AO154" s="22">
        <f t="shared" si="103"/>
        <v>105685.98999999999</v>
      </c>
      <c r="AP154" s="29" t="e">
        <f t="shared" si="104"/>
        <v>#DIV/0!</v>
      </c>
      <c r="AQ154" s="22"/>
      <c r="AR154" s="22">
        <v>4399.2</v>
      </c>
      <c r="AS154" s="29" t="e">
        <f t="shared" si="105"/>
        <v>#DIV/0!</v>
      </c>
      <c r="AT154" s="22">
        <f t="shared" si="106"/>
        <v>0</v>
      </c>
      <c r="AU154" s="22">
        <f t="shared" si="106"/>
        <v>110085.18999999999</v>
      </c>
      <c r="AV154" s="29" t="e">
        <f t="shared" si="107"/>
        <v>#DIV/0!</v>
      </c>
      <c r="AW154" s="38">
        <v>2640</v>
      </c>
      <c r="AX154" s="38">
        <v>57282.79</v>
      </c>
      <c r="AY154" s="29">
        <f t="shared" si="108"/>
        <v>20.698026515151515</v>
      </c>
      <c r="AZ154" s="38">
        <f t="shared" si="109"/>
        <v>2640</v>
      </c>
      <c r="BA154" s="38">
        <f t="shared" si="109"/>
        <v>167367.97999999998</v>
      </c>
      <c r="BB154" s="29">
        <f t="shared" si="110"/>
        <v>62.396962121212113</v>
      </c>
      <c r="BC154" s="38">
        <v>873.36</v>
      </c>
      <c r="BD154" s="38">
        <v>2517.5</v>
      </c>
      <c r="BE154" s="29">
        <f t="shared" si="111"/>
        <v>1.8825455711275989</v>
      </c>
      <c r="BF154" s="38">
        <f t="shared" si="112"/>
        <v>3513.36</v>
      </c>
      <c r="BG154" s="38">
        <f t="shared" si="112"/>
        <v>169885.47999999998</v>
      </c>
      <c r="BH154" s="29">
        <f t="shared" si="113"/>
        <v>47.354133934467285</v>
      </c>
      <c r="BI154" s="102">
        <v>29873.1</v>
      </c>
      <c r="BJ154" s="111">
        <v>22911.5</v>
      </c>
      <c r="BK154" s="22">
        <v>6688</v>
      </c>
      <c r="BL154" s="22">
        <v>62985.96</v>
      </c>
      <c r="BM154" s="96">
        <f t="shared" si="114"/>
        <v>0.6067338571428571</v>
      </c>
      <c r="BN154" s="22"/>
      <c r="BO154" s="22"/>
    </row>
    <row r="155" spans="1:67">
      <c r="A155" s="80" t="s">
        <v>29</v>
      </c>
      <c r="B155" s="80" t="s">
        <v>29</v>
      </c>
      <c r="C155" s="108" t="s">
        <v>265</v>
      </c>
      <c r="D155" s="33" t="s">
        <v>102</v>
      </c>
      <c r="E155" s="33" t="s">
        <v>102</v>
      </c>
      <c r="F155" s="33" t="s">
        <v>217</v>
      </c>
      <c r="G155" s="33" t="s">
        <v>263</v>
      </c>
      <c r="H155" s="33" t="s">
        <v>219</v>
      </c>
      <c r="I155" s="110"/>
      <c r="J155" s="111">
        <v>3911</v>
      </c>
      <c r="K155" s="111"/>
      <c r="L155" s="29">
        <f t="shared" si="89"/>
        <v>-1</v>
      </c>
      <c r="M155" s="22"/>
      <c r="N155" s="22"/>
      <c r="O155" s="29" t="e">
        <f t="shared" si="90"/>
        <v>#DIV/0!</v>
      </c>
      <c r="P155" s="22">
        <f t="shared" si="91"/>
        <v>3911</v>
      </c>
      <c r="Q155" s="22">
        <f t="shared" si="91"/>
        <v>0</v>
      </c>
      <c r="R155" s="29">
        <f t="shared" si="92"/>
        <v>-1</v>
      </c>
      <c r="S155" s="38"/>
      <c r="T155" s="38"/>
      <c r="U155" s="29" t="e">
        <f t="shared" si="93"/>
        <v>#DIV/0!</v>
      </c>
      <c r="V155" s="38">
        <f t="shared" si="94"/>
        <v>3911</v>
      </c>
      <c r="W155" s="38">
        <f t="shared" si="94"/>
        <v>0</v>
      </c>
      <c r="X155" s="29">
        <f t="shared" si="95"/>
        <v>-1</v>
      </c>
      <c r="Y155" s="22"/>
      <c r="Z155" s="22"/>
      <c r="AA155" s="29" t="e">
        <f t="shared" si="96"/>
        <v>#DIV/0!</v>
      </c>
      <c r="AB155" s="22">
        <f t="shared" si="97"/>
        <v>3911</v>
      </c>
      <c r="AC155" s="22">
        <f t="shared" si="97"/>
        <v>0</v>
      </c>
      <c r="AD155" s="29">
        <f t="shared" si="98"/>
        <v>-1</v>
      </c>
      <c r="AE155" s="22"/>
      <c r="AF155" s="22"/>
      <c r="AG155" s="29" t="e">
        <f t="shared" si="99"/>
        <v>#DIV/0!</v>
      </c>
      <c r="AH155" s="22">
        <f t="shared" si="100"/>
        <v>3911</v>
      </c>
      <c r="AI155" s="22">
        <f t="shared" si="100"/>
        <v>0</v>
      </c>
      <c r="AJ155" s="29">
        <f t="shared" si="101"/>
        <v>-1</v>
      </c>
      <c r="AK155" s="22"/>
      <c r="AL155" s="22"/>
      <c r="AM155" s="29" t="e">
        <f t="shared" si="102"/>
        <v>#DIV/0!</v>
      </c>
      <c r="AN155" s="22">
        <f t="shared" si="103"/>
        <v>3911</v>
      </c>
      <c r="AO155" s="22">
        <f t="shared" si="103"/>
        <v>0</v>
      </c>
      <c r="AP155" s="29">
        <f t="shared" si="104"/>
        <v>-1</v>
      </c>
      <c r="AQ155" s="22"/>
      <c r="AR155" s="22"/>
      <c r="AS155" s="29" t="e">
        <f t="shared" si="105"/>
        <v>#DIV/0!</v>
      </c>
      <c r="AT155" s="22">
        <f t="shared" si="106"/>
        <v>3911</v>
      </c>
      <c r="AU155" s="22">
        <f t="shared" si="106"/>
        <v>0</v>
      </c>
      <c r="AV155" s="29">
        <f t="shared" si="107"/>
        <v>-1</v>
      </c>
      <c r="AW155" s="38"/>
      <c r="AX155" s="38"/>
      <c r="AY155" s="29" t="e">
        <f t="shared" si="108"/>
        <v>#DIV/0!</v>
      </c>
      <c r="AZ155" s="38">
        <f t="shared" si="109"/>
        <v>3911</v>
      </c>
      <c r="BA155" s="38">
        <f t="shared" si="109"/>
        <v>0</v>
      </c>
      <c r="BB155" s="29">
        <f t="shared" si="110"/>
        <v>-1</v>
      </c>
      <c r="BC155" s="38"/>
      <c r="BD155" s="38"/>
      <c r="BE155" s="29" t="e">
        <f t="shared" si="111"/>
        <v>#DIV/0!</v>
      </c>
      <c r="BF155" s="38">
        <f t="shared" si="112"/>
        <v>3911</v>
      </c>
      <c r="BG155" s="38">
        <f t="shared" si="112"/>
        <v>0</v>
      </c>
      <c r="BH155" s="29">
        <f t="shared" si="113"/>
        <v>-1</v>
      </c>
      <c r="BI155" s="102"/>
      <c r="BJ155" s="111"/>
      <c r="BK155" s="22"/>
      <c r="BL155" s="22">
        <v>3911</v>
      </c>
      <c r="BM155" s="96" t="e">
        <f t="shared" si="114"/>
        <v>#DIV/0!</v>
      </c>
      <c r="BN155" s="22"/>
      <c r="BO155" s="22"/>
    </row>
    <row r="156" spans="1:67">
      <c r="A156" s="80" t="s">
        <v>29</v>
      </c>
      <c r="B156" s="80" t="s">
        <v>29</v>
      </c>
      <c r="C156" s="108" t="s">
        <v>266</v>
      </c>
      <c r="D156" s="33" t="s">
        <v>102</v>
      </c>
      <c r="E156" s="33" t="s">
        <v>102</v>
      </c>
      <c r="F156" s="33" t="s">
        <v>213</v>
      </c>
      <c r="G156" s="33" t="s">
        <v>213</v>
      </c>
      <c r="H156" s="33" t="s">
        <v>214</v>
      </c>
      <c r="I156" s="110"/>
      <c r="J156" s="111"/>
      <c r="K156" s="111"/>
      <c r="L156" s="29" t="e">
        <f t="shared" si="89"/>
        <v>#DIV/0!</v>
      </c>
      <c r="M156" s="22">
        <v>6431</v>
      </c>
      <c r="N156" s="22"/>
      <c r="O156" s="29">
        <f t="shared" si="90"/>
        <v>-1</v>
      </c>
      <c r="P156" s="22">
        <f t="shared" si="91"/>
        <v>6431</v>
      </c>
      <c r="Q156" s="22">
        <f t="shared" si="91"/>
        <v>0</v>
      </c>
      <c r="R156" s="29">
        <f t="shared" si="92"/>
        <v>-1</v>
      </c>
      <c r="S156" s="38"/>
      <c r="T156" s="38"/>
      <c r="U156" s="29" t="e">
        <f t="shared" si="93"/>
        <v>#DIV/0!</v>
      </c>
      <c r="V156" s="38">
        <f t="shared" si="94"/>
        <v>6431</v>
      </c>
      <c r="W156" s="38">
        <f t="shared" si="94"/>
        <v>0</v>
      </c>
      <c r="X156" s="29">
        <f t="shared" si="95"/>
        <v>-1</v>
      </c>
      <c r="Y156" s="22"/>
      <c r="Z156" s="22"/>
      <c r="AA156" s="29" t="e">
        <f t="shared" si="96"/>
        <v>#DIV/0!</v>
      </c>
      <c r="AB156" s="22">
        <f t="shared" si="97"/>
        <v>6431</v>
      </c>
      <c r="AC156" s="22">
        <f t="shared" si="97"/>
        <v>0</v>
      </c>
      <c r="AD156" s="29">
        <f t="shared" si="98"/>
        <v>-1</v>
      </c>
      <c r="AE156" s="22"/>
      <c r="AF156" s="22">
        <v>6566</v>
      </c>
      <c r="AG156" s="29" t="e">
        <f t="shared" si="99"/>
        <v>#DIV/0!</v>
      </c>
      <c r="AH156" s="22">
        <f t="shared" si="100"/>
        <v>6431</v>
      </c>
      <c r="AI156" s="22">
        <f t="shared" si="100"/>
        <v>6566</v>
      </c>
      <c r="AJ156" s="29">
        <f t="shared" si="101"/>
        <v>2.0992069662571833E-2</v>
      </c>
      <c r="AK156" s="22"/>
      <c r="AL156" s="22"/>
      <c r="AM156" s="29" t="e">
        <f t="shared" si="102"/>
        <v>#DIV/0!</v>
      </c>
      <c r="AN156" s="22">
        <f t="shared" si="103"/>
        <v>6431</v>
      </c>
      <c r="AO156" s="22">
        <f t="shared" si="103"/>
        <v>6566</v>
      </c>
      <c r="AP156" s="29">
        <f t="shared" si="104"/>
        <v>2.0992069662571833E-2</v>
      </c>
      <c r="AQ156" s="22"/>
      <c r="AR156" s="22"/>
      <c r="AS156" s="29" t="e">
        <f t="shared" si="105"/>
        <v>#DIV/0!</v>
      </c>
      <c r="AT156" s="22">
        <f t="shared" si="106"/>
        <v>6431</v>
      </c>
      <c r="AU156" s="22">
        <f t="shared" si="106"/>
        <v>6566</v>
      </c>
      <c r="AV156" s="29">
        <f t="shared" si="107"/>
        <v>2.0992069662571833E-2</v>
      </c>
      <c r="AW156" s="38"/>
      <c r="AX156" s="38"/>
      <c r="AY156" s="29" t="e">
        <f t="shared" si="108"/>
        <v>#DIV/0!</v>
      </c>
      <c r="AZ156" s="38">
        <f t="shared" si="109"/>
        <v>6431</v>
      </c>
      <c r="BA156" s="38">
        <f t="shared" si="109"/>
        <v>6566</v>
      </c>
      <c r="BB156" s="29">
        <f t="shared" si="110"/>
        <v>2.0992069662571833E-2</v>
      </c>
      <c r="BC156" s="38"/>
      <c r="BD156" s="38">
        <v>5382</v>
      </c>
      <c r="BE156" s="29" t="e">
        <f t="shared" si="111"/>
        <v>#DIV/0!</v>
      </c>
      <c r="BF156" s="38">
        <f t="shared" si="112"/>
        <v>6431</v>
      </c>
      <c r="BG156" s="38">
        <f t="shared" si="112"/>
        <v>11948</v>
      </c>
      <c r="BH156" s="29">
        <f t="shared" si="113"/>
        <v>0.85787591354377235</v>
      </c>
      <c r="BI156" s="102"/>
      <c r="BJ156" s="111"/>
      <c r="BK156" s="22"/>
      <c r="BL156" s="22">
        <v>6431</v>
      </c>
      <c r="BM156" s="96" t="e">
        <f t="shared" si="114"/>
        <v>#DIV/0!</v>
      </c>
      <c r="BN156" s="22"/>
      <c r="BO156" s="22"/>
    </row>
    <row r="157" spans="1:67">
      <c r="A157" s="80" t="s">
        <v>29</v>
      </c>
      <c r="B157" s="80" t="s">
        <v>29</v>
      </c>
      <c r="C157" s="108" t="s">
        <v>267</v>
      </c>
      <c r="D157" s="33" t="s">
        <v>61</v>
      </c>
      <c r="E157" s="33" t="s">
        <v>61</v>
      </c>
      <c r="F157" s="33" t="s">
        <v>217</v>
      </c>
      <c r="G157" s="33" t="s">
        <v>235</v>
      </c>
      <c r="H157" s="33" t="s">
        <v>219</v>
      </c>
      <c r="I157" s="110">
        <v>0</v>
      </c>
      <c r="J157" s="111"/>
      <c r="K157" s="111"/>
      <c r="L157" s="29" t="e">
        <f t="shared" si="89"/>
        <v>#DIV/0!</v>
      </c>
      <c r="M157" s="22">
        <v>20000</v>
      </c>
      <c r="N157" s="22"/>
      <c r="O157" s="29">
        <f t="shared" si="90"/>
        <v>-1</v>
      </c>
      <c r="P157" s="22">
        <f t="shared" si="91"/>
        <v>20000</v>
      </c>
      <c r="Q157" s="22">
        <f t="shared" si="91"/>
        <v>0</v>
      </c>
      <c r="R157" s="29">
        <f t="shared" si="92"/>
        <v>-1</v>
      </c>
      <c r="S157" s="38"/>
      <c r="T157" s="38">
        <v>7105</v>
      </c>
      <c r="U157" s="29" t="e">
        <f t="shared" si="93"/>
        <v>#DIV/0!</v>
      </c>
      <c r="V157" s="38">
        <f t="shared" si="94"/>
        <v>20000</v>
      </c>
      <c r="W157" s="38">
        <f t="shared" si="94"/>
        <v>7105</v>
      </c>
      <c r="X157" s="29">
        <f t="shared" si="95"/>
        <v>-0.64474999999999993</v>
      </c>
      <c r="Y157" s="22"/>
      <c r="Z157" s="22"/>
      <c r="AA157" s="29" t="e">
        <f t="shared" si="96"/>
        <v>#DIV/0!</v>
      </c>
      <c r="AB157" s="22">
        <f t="shared" si="97"/>
        <v>20000</v>
      </c>
      <c r="AC157" s="22">
        <f t="shared" si="97"/>
        <v>7105</v>
      </c>
      <c r="AD157" s="29">
        <f t="shared" si="98"/>
        <v>-0.64474999999999993</v>
      </c>
      <c r="AE157" s="22"/>
      <c r="AF157" s="22"/>
      <c r="AG157" s="29" t="e">
        <f t="shared" si="99"/>
        <v>#DIV/0!</v>
      </c>
      <c r="AH157" s="22">
        <f t="shared" si="100"/>
        <v>20000</v>
      </c>
      <c r="AI157" s="22">
        <f t="shared" si="100"/>
        <v>7105</v>
      </c>
      <c r="AJ157" s="29">
        <f t="shared" si="101"/>
        <v>-0.64474999999999993</v>
      </c>
      <c r="AK157" s="22">
        <v>2310</v>
      </c>
      <c r="AL157" s="22"/>
      <c r="AM157" s="29">
        <f t="shared" si="102"/>
        <v>-1</v>
      </c>
      <c r="AN157" s="22">
        <f t="shared" si="103"/>
        <v>22310</v>
      </c>
      <c r="AO157" s="22">
        <f t="shared" si="103"/>
        <v>7105</v>
      </c>
      <c r="AP157" s="29">
        <f t="shared" si="104"/>
        <v>-0.68153294486777227</v>
      </c>
      <c r="AQ157" s="22"/>
      <c r="AR157" s="22"/>
      <c r="AS157" s="29" t="e">
        <f t="shared" si="105"/>
        <v>#DIV/0!</v>
      </c>
      <c r="AT157" s="22">
        <f t="shared" si="106"/>
        <v>22310</v>
      </c>
      <c r="AU157" s="22">
        <f t="shared" si="106"/>
        <v>7105</v>
      </c>
      <c r="AV157" s="29">
        <f t="shared" si="107"/>
        <v>-0.68153294486777227</v>
      </c>
      <c r="AW157" s="38"/>
      <c r="AX157" s="38"/>
      <c r="AY157" s="29" t="e">
        <f t="shared" si="108"/>
        <v>#DIV/0!</v>
      </c>
      <c r="AZ157" s="38">
        <f t="shared" si="109"/>
        <v>22310</v>
      </c>
      <c r="BA157" s="38">
        <f t="shared" si="109"/>
        <v>7105</v>
      </c>
      <c r="BB157" s="29">
        <f t="shared" si="110"/>
        <v>-0.68153294486777227</v>
      </c>
      <c r="BC157" s="38">
        <v>15249</v>
      </c>
      <c r="BD157" s="38"/>
      <c r="BE157" s="29">
        <f t="shared" si="111"/>
        <v>-1</v>
      </c>
      <c r="BF157" s="38">
        <f t="shared" si="112"/>
        <v>37559</v>
      </c>
      <c r="BG157" s="38">
        <f t="shared" si="112"/>
        <v>7105</v>
      </c>
      <c r="BH157" s="29">
        <f t="shared" si="113"/>
        <v>-0.81083095929071591</v>
      </c>
      <c r="BI157" s="102">
        <v>5443</v>
      </c>
      <c r="BJ157" s="111"/>
      <c r="BK157" s="22"/>
      <c r="BL157" s="22">
        <v>43002</v>
      </c>
      <c r="BM157" s="96" t="e">
        <f t="shared" si="114"/>
        <v>#DIV/0!</v>
      </c>
      <c r="BN157" s="22"/>
      <c r="BO157" s="22"/>
    </row>
    <row r="158" spans="1:67">
      <c r="A158" s="80" t="s">
        <v>29</v>
      </c>
      <c r="B158" s="80" t="s">
        <v>29</v>
      </c>
      <c r="C158" s="86" t="s">
        <v>268</v>
      </c>
      <c r="D158" s="22" t="s">
        <v>61</v>
      </c>
      <c r="E158" s="33" t="s">
        <v>61</v>
      </c>
      <c r="F158" s="33" t="s">
        <v>226</v>
      </c>
      <c r="G158" s="33" t="s">
        <v>226</v>
      </c>
      <c r="H158" s="22" t="s">
        <v>214</v>
      </c>
      <c r="I158" s="110"/>
      <c r="J158" s="111"/>
      <c r="K158" s="111"/>
      <c r="L158" s="29" t="e">
        <f t="shared" si="89"/>
        <v>#DIV/0!</v>
      </c>
      <c r="M158" s="22"/>
      <c r="N158" s="22">
        <v>10000</v>
      </c>
      <c r="O158" s="29" t="e">
        <f t="shared" si="90"/>
        <v>#DIV/0!</v>
      </c>
      <c r="P158" s="22">
        <f t="shared" si="91"/>
        <v>0</v>
      </c>
      <c r="Q158" s="22">
        <f t="shared" si="91"/>
        <v>10000</v>
      </c>
      <c r="R158" s="29" t="e">
        <f t="shared" si="92"/>
        <v>#DIV/0!</v>
      </c>
      <c r="S158" s="38"/>
      <c r="T158" s="38"/>
      <c r="U158" s="29" t="e">
        <f t="shared" si="93"/>
        <v>#DIV/0!</v>
      </c>
      <c r="V158" s="38">
        <f t="shared" si="94"/>
        <v>0</v>
      </c>
      <c r="W158" s="38">
        <f t="shared" si="94"/>
        <v>10000</v>
      </c>
      <c r="X158" s="29" t="e">
        <f t="shared" si="95"/>
        <v>#DIV/0!</v>
      </c>
      <c r="Y158" s="22">
        <v>10000</v>
      </c>
      <c r="Z158" s="22"/>
      <c r="AA158" s="29">
        <f t="shared" si="96"/>
        <v>-1</v>
      </c>
      <c r="AB158" s="22">
        <f t="shared" si="97"/>
        <v>10000</v>
      </c>
      <c r="AC158" s="22">
        <f t="shared" si="97"/>
        <v>10000</v>
      </c>
      <c r="AD158" s="29">
        <f t="shared" si="98"/>
        <v>0</v>
      </c>
      <c r="AE158" s="22"/>
      <c r="AF158" s="22"/>
      <c r="AG158" s="29" t="e">
        <f t="shared" si="99"/>
        <v>#DIV/0!</v>
      </c>
      <c r="AH158" s="22">
        <f t="shared" si="100"/>
        <v>10000</v>
      </c>
      <c r="AI158" s="22">
        <f t="shared" si="100"/>
        <v>10000</v>
      </c>
      <c r="AJ158" s="29">
        <f t="shared" si="101"/>
        <v>0</v>
      </c>
      <c r="AK158" s="22"/>
      <c r="AL158" s="22"/>
      <c r="AM158" s="29" t="e">
        <f t="shared" si="102"/>
        <v>#DIV/0!</v>
      </c>
      <c r="AN158" s="22">
        <f t="shared" si="103"/>
        <v>10000</v>
      </c>
      <c r="AO158" s="22">
        <f t="shared" si="103"/>
        <v>10000</v>
      </c>
      <c r="AP158" s="29">
        <f t="shared" si="104"/>
        <v>0</v>
      </c>
      <c r="AQ158" s="22"/>
      <c r="AR158" s="22">
        <v>4124</v>
      </c>
      <c r="AS158" s="29" t="e">
        <f t="shared" si="105"/>
        <v>#DIV/0!</v>
      </c>
      <c r="AT158" s="22">
        <f t="shared" si="106"/>
        <v>10000</v>
      </c>
      <c r="AU158" s="22">
        <f t="shared" si="106"/>
        <v>14124</v>
      </c>
      <c r="AV158" s="29">
        <f t="shared" si="107"/>
        <v>0.4124000000000001</v>
      </c>
      <c r="AW158" s="38"/>
      <c r="AX158" s="38"/>
      <c r="AY158" s="29" t="e">
        <f t="shared" si="108"/>
        <v>#DIV/0!</v>
      </c>
      <c r="AZ158" s="38">
        <f t="shared" si="109"/>
        <v>10000</v>
      </c>
      <c r="BA158" s="38">
        <f t="shared" si="109"/>
        <v>14124</v>
      </c>
      <c r="BB158" s="29">
        <f t="shared" si="110"/>
        <v>0.4124000000000001</v>
      </c>
      <c r="BC158" s="38"/>
      <c r="BD158" s="38">
        <v>4124</v>
      </c>
      <c r="BE158" s="29" t="e">
        <f t="shared" si="111"/>
        <v>#DIV/0!</v>
      </c>
      <c r="BF158" s="38">
        <f t="shared" si="112"/>
        <v>10000</v>
      </c>
      <c r="BG158" s="38">
        <f t="shared" si="112"/>
        <v>18248</v>
      </c>
      <c r="BH158" s="29">
        <f t="shared" si="113"/>
        <v>0.82479999999999998</v>
      </c>
      <c r="BI158" s="102"/>
      <c r="BJ158" s="111">
        <v>10000</v>
      </c>
      <c r="BK158" s="22"/>
      <c r="BL158" s="22">
        <v>20000</v>
      </c>
      <c r="BM158" s="96" t="e">
        <f t="shared" si="114"/>
        <v>#DIV/0!</v>
      </c>
      <c r="BN158" s="22"/>
      <c r="BO158" s="22"/>
    </row>
    <row r="159" spans="1:67">
      <c r="A159" s="80" t="s">
        <v>29</v>
      </c>
      <c r="B159" s="80" t="s">
        <v>29</v>
      </c>
      <c r="C159" s="86" t="s">
        <v>269</v>
      </c>
      <c r="D159" s="22" t="s">
        <v>61</v>
      </c>
      <c r="E159" s="33" t="s">
        <v>61</v>
      </c>
      <c r="F159" s="42" t="s">
        <v>232</v>
      </c>
      <c r="G159" s="42" t="s">
        <v>232</v>
      </c>
      <c r="H159" s="22" t="s">
        <v>223</v>
      </c>
      <c r="I159" s="110">
        <v>5</v>
      </c>
      <c r="J159" s="111"/>
      <c r="K159" s="111"/>
      <c r="L159" s="29" t="e">
        <f t="shared" si="89"/>
        <v>#DIV/0!</v>
      </c>
      <c r="M159" s="22"/>
      <c r="N159" s="22"/>
      <c r="O159" s="29" t="e">
        <f t="shared" si="90"/>
        <v>#DIV/0!</v>
      </c>
      <c r="P159" s="22">
        <f t="shared" si="91"/>
        <v>0</v>
      </c>
      <c r="Q159" s="22">
        <f t="shared" si="91"/>
        <v>0</v>
      </c>
      <c r="R159" s="29" t="e">
        <f t="shared" si="92"/>
        <v>#DIV/0!</v>
      </c>
      <c r="S159" s="38"/>
      <c r="T159" s="38"/>
      <c r="U159" s="29" t="e">
        <f t="shared" si="93"/>
        <v>#DIV/0!</v>
      </c>
      <c r="V159" s="38">
        <f t="shared" si="94"/>
        <v>0</v>
      </c>
      <c r="W159" s="38">
        <f t="shared" si="94"/>
        <v>0</v>
      </c>
      <c r="X159" s="29" t="e">
        <f t="shared" si="95"/>
        <v>#DIV/0!</v>
      </c>
      <c r="Y159" s="22">
        <v>5382</v>
      </c>
      <c r="Z159" s="22"/>
      <c r="AA159" s="29">
        <f t="shared" si="96"/>
        <v>-1</v>
      </c>
      <c r="AB159" s="22">
        <f t="shared" si="97"/>
        <v>5382</v>
      </c>
      <c r="AC159" s="22">
        <f t="shared" si="97"/>
        <v>0</v>
      </c>
      <c r="AD159" s="29">
        <f t="shared" si="98"/>
        <v>-1</v>
      </c>
      <c r="AE159" s="22"/>
      <c r="AF159" s="22"/>
      <c r="AG159" s="29" t="e">
        <f t="shared" si="99"/>
        <v>#DIV/0!</v>
      </c>
      <c r="AH159" s="22">
        <f t="shared" si="100"/>
        <v>5382</v>
      </c>
      <c r="AI159" s="22">
        <f t="shared" si="100"/>
        <v>0</v>
      </c>
      <c r="AJ159" s="29">
        <f t="shared" si="101"/>
        <v>-1</v>
      </c>
      <c r="AK159" s="22"/>
      <c r="AL159" s="22"/>
      <c r="AM159" s="29" t="e">
        <f t="shared" si="102"/>
        <v>#DIV/0!</v>
      </c>
      <c r="AN159" s="22">
        <f t="shared" si="103"/>
        <v>5382</v>
      </c>
      <c r="AO159" s="22">
        <f t="shared" si="103"/>
        <v>0</v>
      </c>
      <c r="AP159" s="29">
        <f t="shared" si="104"/>
        <v>-1</v>
      </c>
      <c r="AQ159" s="22"/>
      <c r="AR159" s="22"/>
      <c r="AS159" s="29" t="e">
        <f t="shared" si="105"/>
        <v>#DIV/0!</v>
      </c>
      <c r="AT159" s="22">
        <f t="shared" si="106"/>
        <v>5382</v>
      </c>
      <c r="AU159" s="22">
        <f t="shared" si="106"/>
        <v>0</v>
      </c>
      <c r="AV159" s="29">
        <f t="shared" si="107"/>
        <v>-1</v>
      </c>
      <c r="AW159" s="38"/>
      <c r="AX159" s="38"/>
      <c r="AY159" s="29" t="e">
        <f t="shared" si="108"/>
        <v>#DIV/0!</v>
      </c>
      <c r="AZ159" s="38">
        <f t="shared" si="109"/>
        <v>5382</v>
      </c>
      <c r="BA159" s="38">
        <f t="shared" si="109"/>
        <v>0</v>
      </c>
      <c r="BB159" s="29">
        <f t="shared" si="110"/>
        <v>-1</v>
      </c>
      <c r="BC159" s="38"/>
      <c r="BD159" s="38"/>
      <c r="BE159" s="29" t="e">
        <f t="shared" si="111"/>
        <v>#DIV/0!</v>
      </c>
      <c r="BF159" s="38">
        <f t="shared" si="112"/>
        <v>5382</v>
      </c>
      <c r="BG159" s="38">
        <f t="shared" si="112"/>
        <v>0</v>
      </c>
      <c r="BH159" s="29">
        <f t="shared" si="113"/>
        <v>-1</v>
      </c>
      <c r="BI159" s="102"/>
      <c r="BJ159" s="111"/>
      <c r="BK159" s="22"/>
      <c r="BL159" s="22">
        <v>5382</v>
      </c>
      <c r="BM159" s="96">
        <f t="shared" si="114"/>
        <v>0</v>
      </c>
      <c r="BN159" s="22"/>
      <c r="BO159" s="22"/>
    </row>
    <row r="160" spans="1:67">
      <c r="A160" s="80" t="s">
        <v>29</v>
      </c>
      <c r="B160" s="80" t="s">
        <v>29</v>
      </c>
      <c r="C160" s="86" t="s">
        <v>270</v>
      </c>
      <c r="D160" s="22" t="s">
        <v>61</v>
      </c>
      <c r="E160" s="33" t="s">
        <v>61</v>
      </c>
      <c r="F160" s="33" t="s">
        <v>213</v>
      </c>
      <c r="G160" s="33" t="s">
        <v>213</v>
      </c>
      <c r="H160" s="22" t="s">
        <v>214</v>
      </c>
      <c r="I160" s="110"/>
      <c r="J160" s="111"/>
      <c r="K160" s="111"/>
      <c r="L160" s="29" t="e">
        <f t="shared" si="89"/>
        <v>#DIV/0!</v>
      </c>
      <c r="M160" s="22"/>
      <c r="N160" s="22">
        <v>2992</v>
      </c>
      <c r="O160" s="29" t="e">
        <f t="shared" si="90"/>
        <v>#DIV/0!</v>
      </c>
      <c r="P160" s="22">
        <f t="shared" si="91"/>
        <v>0</v>
      </c>
      <c r="Q160" s="22">
        <f t="shared" si="91"/>
        <v>2992</v>
      </c>
      <c r="R160" s="29" t="e">
        <f t="shared" si="92"/>
        <v>#DIV/0!</v>
      </c>
      <c r="S160" s="38"/>
      <c r="T160" s="38"/>
      <c r="U160" s="29" t="e">
        <f t="shared" si="93"/>
        <v>#DIV/0!</v>
      </c>
      <c r="V160" s="38">
        <f t="shared" si="94"/>
        <v>0</v>
      </c>
      <c r="W160" s="38">
        <f t="shared" si="94"/>
        <v>2992</v>
      </c>
      <c r="X160" s="29" t="e">
        <f t="shared" si="95"/>
        <v>#DIV/0!</v>
      </c>
      <c r="Y160" s="22"/>
      <c r="Z160" s="22"/>
      <c r="AA160" s="29" t="e">
        <f t="shared" si="96"/>
        <v>#DIV/0!</v>
      </c>
      <c r="AB160" s="22">
        <f t="shared" si="97"/>
        <v>0</v>
      </c>
      <c r="AC160" s="22">
        <f t="shared" si="97"/>
        <v>2992</v>
      </c>
      <c r="AD160" s="29" t="e">
        <f t="shared" si="98"/>
        <v>#DIV/0!</v>
      </c>
      <c r="AE160" s="22">
        <v>5370</v>
      </c>
      <c r="AF160" s="22"/>
      <c r="AG160" s="29">
        <f t="shared" si="99"/>
        <v>-1</v>
      </c>
      <c r="AH160" s="22">
        <f t="shared" si="100"/>
        <v>5370</v>
      </c>
      <c r="AI160" s="22">
        <f t="shared" si="100"/>
        <v>2992</v>
      </c>
      <c r="AJ160" s="29">
        <f t="shared" si="101"/>
        <v>-0.44283054003724398</v>
      </c>
      <c r="AK160" s="22"/>
      <c r="AL160" s="22"/>
      <c r="AM160" s="29" t="e">
        <f t="shared" si="102"/>
        <v>#DIV/0!</v>
      </c>
      <c r="AN160" s="22">
        <f t="shared" si="103"/>
        <v>5370</v>
      </c>
      <c r="AO160" s="22">
        <f t="shared" si="103"/>
        <v>2992</v>
      </c>
      <c r="AP160" s="29">
        <f t="shared" si="104"/>
        <v>-0.44283054003724398</v>
      </c>
      <c r="AQ160" s="22"/>
      <c r="AR160" s="22"/>
      <c r="AS160" s="29" t="e">
        <f t="shared" si="105"/>
        <v>#DIV/0!</v>
      </c>
      <c r="AT160" s="22">
        <f t="shared" si="106"/>
        <v>5370</v>
      </c>
      <c r="AU160" s="22">
        <f t="shared" si="106"/>
        <v>2992</v>
      </c>
      <c r="AV160" s="29">
        <f t="shared" si="107"/>
        <v>-0.44283054003724398</v>
      </c>
      <c r="AW160" s="38"/>
      <c r="AX160" s="38"/>
      <c r="AY160" s="29" t="e">
        <f t="shared" si="108"/>
        <v>#DIV/0!</v>
      </c>
      <c r="AZ160" s="38">
        <f t="shared" si="109"/>
        <v>5370</v>
      </c>
      <c r="BA160" s="38">
        <f t="shared" si="109"/>
        <v>2992</v>
      </c>
      <c r="BB160" s="29">
        <f t="shared" si="110"/>
        <v>-0.44283054003724398</v>
      </c>
      <c r="BC160" s="38"/>
      <c r="BD160" s="38">
        <v>790</v>
      </c>
      <c r="BE160" s="29" t="e">
        <f t="shared" si="111"/>
        <v>#DIV/0!</v>
      </c>
      <c r="BF160" s="38">
        <f t="shared" si="112"/>
        <v>5370</v>
      </c>
      <c r="BG160" s="38">
        <f t="shared" si="112"/>
        <v>3782</v>
      </c>
      <c r="BH160" s="29">
        <f t="shared" si="113"/>
        <v>-0.29571694599627563</v>
      </c>
      <c r="BI160" s="102">
        <v>4058</v>
      </c>
      <c r="BJ160" s="111"/>
      <c r="BK160" s="22"/>
      <c r="BL160" s="22">
        <v>9428</v>
      </c>
      <c r="BM160" s="96" t="e">
        <f t="shared" si="114"/>
        <v>#DIV/0!</v>
      </c>
      <c r="BN160" s="22"/>
      <c r="BO160" s="22"/>
    </row>
    <row r="161" spans="1:67">
      <c r="A161" s="80" t="s">
        <v>29</v>
      </c>
      <c r="B161" s="80" t="s">
        <v>29</v>
      </c>
      <c r="C161" s="86" t="s">
        <v>271</v>
      </c>
      <c r="D161" s="22" t="s">
        <v>61</v>
      </c>
      <c r="E161" s="33" t="s">
        <v>61</v>
      </c>
      <c r="F161" s="33" t="s">
        <v>213</v>
      </c>
      <c r="G161" s="33" t="s">
        <v>213</v>
      </c>
      <c r="H161" s="22" t="s">
        <v>214</v>
      </c>
      <c r="I161" s="110"/>
      <c r="J161" s="111"/>
      <c r="K161" s="111"/>
      <c r="L161" s="29" t="e">
        <f t="shared" si="89"/>
        <v>#DIV/0!</v>
      </c>
      <c r="M161" s="22"/>
      <c r="N161" s="22"/>
      <c r="O161" s="29" t="e">
        <f t="shared" si="90"/>
        <v>#DIV/0!</v>
      </c>
      <c r="P161" s="22">
        <f t="shared" si="91"/>
        <v>0</v>
      </c>
      <c r="Q161" s="22">
        <f t="shared" si="91"/>
        <v>0</v>
      </c>
      <c r="R161" s="29" t="e">
        <f t="shared" si="92"/>
        <v>#DIV/0!</v>
      </c>
      <c r="S161" s="38"/>
      <c r="T161" s="38"/>
      <c r="U161" s="29" t="e">
        <f t="shared" si="93"/>
        <v>#DIV/0!</v>
      </c>
      <c r="V161" s="38">
        <f t="shared" si="94"/>
        <v>0</v>
      </c>
      <c r="W161" s="38">
        <f t="shared" si="94"/>
        <v>0</v>
      </c>
      <c r="X161" s="29" t="e">
        <f t="shared" si="95"/>
        <v>#DIV/0!</v>
      </c>
      <c r="Y161" s="22"/>
      <c r="Z161" s="22"/>
      <c r="AA161" s="29" t="e">
        <f t="shared" si="96"/>
        <v>#DIV/0!</v>
      </c>
      <c r="AB161" s="22">
        <f t="shared" si="97"/>
        <v>0</v>
      </c>
      <c r="AC161" s="22">
        <f t="shared" si="97"/>
        <v>0</v>
      </c>
      <c r="AD161" s="29" t="e">
        <f t="shared" si="98"/>
        <v>#DIV/0!</v>
      </c>
      <c r="AE161" s="22">
        <v>7590</v>
      </c>
      <c r="AF161" s="22"/>
      <c r="AG161" s="29">
        <f t="shared" si="99"/>
        <v>-1</v>
      </c>
      <c r="AH161" s="22">
        <f t="shared" si="100"/>
        <v>7590</v>
      </c>
      <c r="AI161" s="22">
        <f t="shared" si="100"/>
        <v>0</v>
      </c>
      <c r="AJ161" s="29">
        <f t="shared" si="101"/>
        <v>-1</v>
      </c>
      <c r="AK161" s="22">
        <v>11200</v>
      </c>
      <c r="AL161" s="22"/>
      <c r="AM161" s="29">
        <f t="shared" si="102"/>
        <v>-1</v>
      </c>
      <c r="AN161" s="22">
        <f t="shared" si="103"/>
        <v>18790</v>
      </c>
      <c r="AO161" s="22">
        <f t="shared" si="103"/>
        <v>0</v>
      </c>
      <c r="AP161" s="29">
        <f t="shared" si="104"/>
        <v>-1</v>
      </c>
      <c r="AQ161" s="22">
        <v>2148</v>
      </c>
      <c r="AR161" s="22"/>
      <c r="AS161" s="29">
        <f t="shared" si="105"/>
        <v>-1</v>
      </c>
      <c r="AT161" s="22">
        <f t="shared" si="106"/>
        <v>20938</v>
      </c>
      <c r="AU161" s="22">
        <f t="shared" si="106"/>
        <v>0</v>
      </c>
      <c r="AV161" s="29">
        <f t="shared" si="107"/>
        <v>-1</v>
      </c>
      <c r="AW161" s="38">
        <v>3919</v>
      </c>
      <c r="AX161" s="38"/>
      <c r="AY161" s="29">
        <f t="shared" si="108"/>
        <v>-1</v>
      </c>
      <c r="AZ161" s="38">
        <f t="shared" si="109"/>
        <v>24857</v>
      </c>
      <c r="BA161" s="38">
        <f t="shared" si="109"/>
        <v>0</v>
      </c>
      <c r="BB161" s="29">
        <f t="shared" si="110"/>
        <v>-1</v>
      </c>
      <c r="BC161" s="38">
        <v>4887</v>
      </c>
      <c r="BD161" s="38"/>
      <c r="BE161" s="29">
        <f t="shared" si="111"/>
        <v>-1</v>
      </c>
      <c r="BF161" s="38">
        <f t="shared" si="112"/>
        <v>29744</v>
      </c>
      <c r="BG161" s="38">
        <f t="shared" si="112"/>
        <v>0</v>
      </c>
      <c r="BH161" s="29">
        <f t="shared" si="113"/>
        <v>-1</v>
      </c>
      <c r="BI161" s="102">
        <v>23919</v>
      </c>
      <c r="BJ161" s="111"/>
      <c r="BK161" s="22">
        <v>57800</v>
      </c>
      <c r="BL161" s="22">
        <v>111463</v>
      </c>
      <c r="BM161" s="96" t="e">
        <f t="shared" si="114"/>
        <v>#DIV/0!</v>
      </c>
      <c r="BN161" s="22"/>
      <c r="BO161" s="22"/>
    </row>
    <row r="162" spans="1:67">
      <c r="A162" s="80" t="s">
        <v>29</v>
      </c>
      <c r="B162" s="80" t="s">
        <v>29</v>
      </c>
      <c r="C162" s="86" t="s">
        <v>272</v>
      </c>
      <c r="D162" s="22" t="s">
        <v>61</v>
      </c>
      <c r="E162" s="33" t="s">
        <v>61</v>
      </c>
      <c r="F162" s="42" t="s">
        <v>230</v>
      </c>
      <c r="G162" s="42" t="s">
        <v>230</v>
      </c>
      <c r="H162" s="22" t="s">
        <v>223</v>
      </c>
      <c r="I162" s="110"/>
      <c r="J162" s="111"/>
      <c r="K162" s="111"/>
      <c r="L162" s="29" t="e">
        <f t="shared" si="89"/>
        <v>#DIV/0!</v>
      </c>
      <c r="M162" s="22"/>
      <c r="N162" s="22"/>
      <c r="O162" s="29" t="e">
        <f t="shared" si="90"/>
        <v>#DIV/0!</v>
      </c>
      <c r="P162" s="22">
        <f t="shared" si="91"/>
        <v>0</v>
      </c>
      <c r="Q162" s="22">
        <f t="shared" si="91"/>
        <v>0</v>
      </c>
      <c r="R162" s="29" t="e">
        <f t="shared" si="92"/>
        <v>#DIV/0!</v>
      </c>
      <c r="S162" s="38"/>
      <c r="T162" s="38">
        <v>6400</v>
      </c>
      <c r="U162" s="29" t="e">
        <f t="shared" si="93"/>
        <v>#DIV/0!</v>
      </c>
      <c r="V162" s="38">
        <f t="shared" si="94"/>
        <v>0</v>
      </c>
      <c r="W162" s="38">
        <f t="shared" si="94"/>
        <v>6400</v>
      </c>
      <c r="X162" s="29" t="e">
        <f t="shared" si="95"/>
        <v>#DIV/0!</v>
      </c>
      <c r="Y162" s="22"/>
      <c r="Z162" s="22">
        <v>3934</v>
      </c>
      <c r="AA162" s="29" t="e">
        <f t="shared" si="96"/>
        <v>#DIV/0!</v>
      </c>
      <c r="AB162" s="22">
        <f t="shared" si="97"/>
        <v>0</v>
      </c>
      <c r="AC162" s="22">
        <f t="shared" si="97"/>
        <v>10334</v>
      </c>
      <c r="AD162" s="29" t="e">
        <f t="shared" si="98"/>
        <v>#DIV/0!</v>
      </c>
      <c r="AE162" s="22">
        <v>2388</v>
      </c>
      <c r="AF162" s="22">
        <v>2400</v>
      </c>
      <c r="AG162" s="29">
        <f t="shared" si="99"/>
        <v>5.0251256281406143E-3</v>
      </c>
      <c r="AH162" s="22">
        <f t="shared" si="100"/>
        <v>2388</v>
      </c>
      <c r="AI162" s="22">
        <f t="shared" si="100"/>
        <v>12734</v>
      </c>
      <c r="AJ162" s="29">
        <f t="shared" si="101"/>
        <v>4.3324958123953099</v>
      </c>
      <c r="AK162" s="22"/>
      <c r="AL162" s="22"/>
      <c r="AM162" s="29" t="e">
        <f t="shared" si="102"/>
        <v>#DIV/0!</v>
      </c>
      <c r="AN162" s="22">
        <f t="shared" si="103"/>
        <v>2388</v>
      </c>
      <c r="AO162" s="22">
        <f t="shared" si="103"/>
        <v>12734</v>
      </c>
      <c r="AP162" s="29">
        <f t="shared" si="104"/>
        <v>4.3324958123953099</v>
      </c>
      <c r="AQ162" s="22"/>
      <c r="AR162" s="22"/>
      <c r="AS162" s="29" t="e">
        <f t="shared" si="105"/>
        <v>#DIV/0!</v>
      </c>
      <c r="AT162" s="22">
        <f t="shared" si="106"/>
        <v>2388</v>
      </c>
      <c r="AU162" s="22">
        <f t="shared" si="106"/>
        <v>12734</v>
      </c>
      <c r="AV162" s="29">
        <f t="shared" si="107"/>
        <v>4.3324958123953099</v>
      </c>
      <c r="AW162" s="38">
        <v>7700</v>
      </c>
      <c r="AX162" s="38"/>
      <c r="AY162" s="29">
        <f t="shared" si="108"/>
        <v>-1</v>
      </c>
      <c r="AZ162" s="38">
        <f t="shared" si="109"/>
        <v>10088</v>
      </c>
      <c r="BA162" s="38">
        <f t="shared" si="109"/>
        <v>12734</v>
      </c>
      <c r="BB162" s="29">
        <f t="shared" si="110"/>
        <v>0.2622918318794607</v>
      </c>
      <c r="BC162" s="38"/>
      <c r="BD162" s="38"/>
      <c r="BE162" s="29" t="e">
        <f t="shared" si="111"/>
        <v>#DIV/0!</v>
      </c>
      <c r="BF162" s="38">
        <f t="shared" si="112"/>
        <v>10088</v>
      </c>
      <c r="BG162" s="38">
        <f t="shared" si="112"/>
        <v>12734</v>
      </c>
      <c r="BH162" s="29">
        <f t="shared" si="113"/>
        <v>0.2622918318794607</v>
      </c>
      <c r="BI162" s="102"/>
      <c r="BJ162" s="111"/>
      <c r="BK162" s="22"/>
      <c r="BL162" s="22">
        <v>10088</v>
      </c>
      <c r="BM162" s="96" t="e">
        <f t="shared" si="114"/>
        <v>#DIV/0!</v>
      </c>
      <c r="BN162" s="22"/>
      <c r="BO162" s="22"/>
    </row>
    <row r="163" spans="1:67">
      <c r="A163" s="80" t="s">
        <v>29</v>
      </c>
      <c r="B163" s="80" t="s">
        <v>29</v>
      </c>
      <c r="C163" s="86" t="s">
        <v>273</v>
      </c>
      <c r="D163" s="22" t="s">
        <v>61</v>
      </c>
      <c r="E163" s="33" t="s">
        <v>61</v>
      </c>
      <c r="F163" s="42" t="s">
        <v>230</v>
      </c>
      <c r="G163" s="42" t="s">
        <v>230</v>
      </c>
      <c r="H163" s="22" t="s">
        <v>223</v>
      </c>
      <c r="I163" s="110"/>
      <c r="J163" s="111"/>
      <c r="K163" s="111"/>
      <c r="L163" s="29" t="e">
        <f t="shared" si="89"/>
        <v>#DIV/0!</v>
      </c>
      <c r="M163" s="22"/>
      <c r="N163" s="22"/>
      <c r="O163" s="29" t="e">
        <f t="shared" si="90"/>
        <v>#DIV/0!</v>
      </c>
      <c r="P163" s="22">
        <f t="shared" si="91"/>
        <v>0</v>
      </c>
      <c r="Q163" s="22">
        <f t="shared" si="91"/>
        <v>0</v>
      </c>
      <c r="R163" s="29" t="e">
        <f t="shared" si="92"/>
        <v>#DIV/0!</v>
      </c>
      <c r="S163" s="38"/>
      <c r="T163" s="38"/>
      <c r="U163" s="29" t="e">
        <f t="shared" si="93"/>
        <v>#DIV/0!</v>
      </c>
      <c r="V163" s="38">
        <f t="shared" si="94"/>
        <v>0</v>
      </c>
      <c r="W163" s="38">
        <f t="shared" si="94"/>
        <v>0</v>
      </c>
      <c r="X163" s="29" t="e">
        <f t="shared" si="95"/>
        <v>#DIV/0!</v>
      </c>
      <c r="Y163" s="22"/>
      <c r="Z163" s="22"/>
      <c r="AA163" s="29" t="e">
        <f t="shared" si="96"/>
        <v>#DIV/0!</v>
      </c>
      <c r="AB163" s="22">
        <f t="shared" si="97"/>
        <v>0</v>
      </c>
      <c r="AC163" s="22">
        <f t="shared" si="97"/>
        <v>0</v>
      </c>
      <c r="AD163" s="29" t="e">
        <f t="shared" si="98"/>
        <v>#DIV/0!</v>
      </c>
      <c r="AE163" s="22"/>
      <c r="AF163" s="22"/>
      <c r="AG163" s="29" t="e">
        <f t="shared" si="99"/>
        <v>#DIV/0!</v>
      </c>
      <c r="AH163" s="22">
        <f t="shared" si="100"/>
        <v>0</v>
      </c>
      <c r="AI163" s="22">
        <f t="shared" si="100"/>
        <v>0</v>
      </c>
      <c r="AJ163" s="29" t="e">
        <f t="shared" si="101"/>
        <v>#DIV/0!</v>
      </c>
      <c r="AK163" s="22">
        <v>2594</v>
      </c>
      <c r="AL163" s="22"/>
      <c r="AM163" s="29">
        <f t="shared" si="102"/>
        <v>-1</v>
      </c>
      <c r="AN163" s="22">
        <f t="shared" si="103"/>
        <v>2594</v>
      </c>
      <c r="AO163" s="22">
        <f t="shared" si="103"/>
        <v>0</v>
      </c>
      <c r="AP163" s="29">
        <f t="shared" si="104"/>
        <v>-1</v>
      </c>
      <c r="AQ163" s="22"/>
      <c r="AR163" s="22"/>
      <c r="AS163" s="29" t="e">
        <f t="shared" si="105"/>
        <v>#DIV/0!</v>
      </c>
      <c r="AT163" s="22">
        <f t="shared" si="106"/>
        <v>2594</v>
      </c>
      <c r="AU163" s="22">
        <f t="shared" si="106"/>
        <v>0</v>
      </c>
      <c r="AV163" s="29">
        <f t="shared" si="107"/>
        <v>-1</v>
      </c>
      <c r="AW163" s="38"/>
      <c r="AX163" s="38"/>
      <c r="AY163" s="29" t="e">
        <f t="shared" si="108"/>
        <v>#DIV/0!</v>
      </c>
      <c r="AZ163" s="38">
        <f t="shared" si="109"/>
        <v>2594</v>
      </c>
      <c r="BA163" s="38">
        <f t="shared" si="109"/>
        <v>0</v>
      </c>
      <c r="BB163" s="29">
        <f t="shared" si="110"/>
        <v>-1</v>
      </c>
      <c r="BC163" s="38"/>
      <c r="BD163" s="38"/>
      <c r="BE163" s="29" t="e">
        <f t="shared" si="111"/>
        <v>#DIV/0!</v>
      </c>
      <c r="BF163" s="38">
        <f t="shared" si="112"/>
        <v>2594</v>
      </c>
      <c r="BG163" s="38">
        <f t="shared" si="112"/>
        <v>0</v>
      </c>
      <c r="BH163" s="29">
        <f t="shared" si="113"/>
        <v>-1</v>
      </c>
      <c r="BI163" s="102"/>
      <c r="BJ163" s="111"/>
      <c r="BK163" s="22"/>
      <c r="BL163" s="22">
        <v>2594</v>
      </c>
      <c r="BM163" s="96" t="e">
        <f t="shared" si="114"/>
        <v>#DIV/0!</v>
      </c>
      <c r="BN163" s="22"/>
      <c r="BO163" s="22"/>
    </row>
    <row r="164" spans="1:67">
      <c r="A164" s="80" t="s">
        <v>29</v>
      </c>
      <c r="B164" s="80" t="s">
        <v>29</v>
      </c>
      <c r="C164" s="86" t="s">
        <v>274</v>
      </c>
      <c r="D164" s="22" t="s">
        <v>61</v>
      </c>
      <c r="E164" s="33" t="s">
        <v>61</v>
      </c>
      <c r="F164" s="33" t="s">
        <v>213</v>
      </c>
      <c r="G164" s="33" t="s">
        <v>213</v>
      </c>
      <c r="H164" s="22" t="s">
        <v>214</v>
      </c>
      <c r="I164" s="110"/>
      <c r="J164" s="111"/>
      <c r="K164" s="111"/>
      <c r="L164" s="29" t="e">
        <f t="shared" si="89"/>
        <v>#DIV/0!</v>
      </c>
      <c r="M164" s="22"/>
      <c r="N164" s="22"/>
      <c r="O164" s="29" t="e">
        <f t="shared" si="90"/>
        <v>#DIV/0!</v>
      </c>
      <c r="P164" s="22">
        <f t="shared" si="91"/>
        <v>0</v>
      </c>
      <c r="Q164" s="22">
        <f t="shared" si="91"/>
        <v>0</v>
      </c>
      <c r="R164" s="29" t="e">
        <f t="shared" si="92"/>
        <v>#DIV/0!</v>
      </c>
      <c r="S164" s="38"/>
      <c r="T164" s="38"/>
      <c r="U164" s="29" t="e">
        <f t="shared" si="93"/>
        <v>#DIV/0!</v>
      </c>
      <c r="V164" s="38">
        <f t="shared" si="94"/>
        <v>0</v>
      </c>
      <c r="W164" s="38">
        <f t="shared" si="94"/>
        <v>0</v>
      </c>
      <c r="X164" s="29" t="e">
        <f t="shared" si="95"/>
        <v>#DIV/0!</v>
      </c>
      <c r="Y164" s="22"/>
      <c r="Z164" s="22"/>
      <c r="AA164" s="29" t="e">
        <f t="shared" si="96"/>
        <v>#DIV/0!</v>
      </c>
      <c r="AB164" s="22">
        <f t="shared" si="97"/>
        <v>0</v>
      </c>
      <c r="AC164" s="22">
        <f t="shared" si="97"/>
        <v>0</v>
      </c>
      <c r="AD164" s="29" t="e">
        <f t="shared" si="98"/>
        <v>#DIV/0!</v>
      </c>
      <c r="AE164" s="22"/>
      <c r="AF164" s="22"/>
      <c r="AG164" s="29" t="e">
        <f t="shared" si="99"/>
        <v>#DIV/0!</v>
      </c>
      <c r="AH164" s="22">
        <f t="shared" si="100"/>
        <v>0</v>
      </c>
      <c r="AI164" s="22">
        <f t="shared" si="100"/>
        <v>0</v>
      </c>
      <c r="AJ164" s="29" t="e">
        <f t="shared" si="101"/>
        <v>#DIV/0!</v>
      </c>
      <c r="AK164" s="22"/>
      <c r="AL164" s="22"/>
      <c r="AM164" s="29" t="e">
        <f t="shared" si="102"/>
        <v>#DIV/0!</v>
      </c>
      <c r="AN164" s="22">
        <f t="shared" si="103"/>
        <v>0</v>
      </c>
      <c r="AO164" s="22">
        <f t="shared" si="103"/>
        <v>0</v>
      </c>
      <c r="AP164" s="29" t="e">
        <f t="shared" si="104"/>
        <v>#DIV/0!</v>
      </c>
      <c r="AQ164" s="22">
        <v>4000</v>
      </c>
      <c r="AR164" s="22">
        <v>2104</v>
      </c>
      <c r="AS164" s="29">
        <f t="shared" si="105"/>
        <v>-0.47399999999999998</v>
      </c>
      <c r="AT164" s="22">
        <f t="shared" si="106"/>
        <v>4000</v>
      </c>
      <c r="AU164" s="22">
        <f t="shared" si="106"/>
        <v>2104</v>
      </c>
      <c r="AV164" s="29">
        <f t="shared" si="107"/>
        <v>-0.47399999999999998</v>
      </c>
      <c r="AW164" s="38"/>
      <c r="AX164" s="38"/>
      <c r="AY164" s="29" t="e">
        <f t="shared" si="108"/>
        <v>#DIV/0!</v>
      </c>
      <c r="AZ164" s="38">
        <f t="shared" si="109"/>
        <v>4000</v>
      </c>
      <c r="BA164" s="38">
        <f t="shared" si="109"/>
        <v>2104</v>
      </c>
      <c r="BB164" s="29">
        <f t="shared" si="110"/>
        <v>-0.47399999999999998</v>
      </c>
      <c r="BC164" s="38">
        <v>3082</v>
      </c>
      <c r="BD164" s="38"/>
      <c r="BE164" s="29">
        <f t="shared" si="111"/>
        <v>-1</v>
      </c>
      <c r="BF164" s="38">
        <f t="shared" si="112"/>
        <v>7082</v>
      </c>
      <c r="BG164" s="38">
        <f t="shared" si="112"/>
        <v>2104</v>
      </c>
      <c r="BH164" s="29">
        <f t="shared" si="113"/>
        <v>-0.70290878282970914</v>
      </c>
      <c r="BI164" s="102">
        <v>4260</v>
      </c>
      <c r="BJ164" s="111"/>
      <c r="BK164" s="22"/>
      <c r="BL164" s="22">
        <v>11342</v>
      </c>
      <c r="BM164" s="96" t="e">
        <f t="shared" si="114"/>
        <v>#DIV/0!</v>
      </c>
      <c r="BN164" s="22"/>
      <c r="BO164" s="22"/>
    </row>
    <row r="165" spans="1:67">
      <c r="A165" s="80" t="s">
        <v>29</v>
      </c>
      <c r="B165" s="80" t="s">
        <v>29</v>
      </c>
      <c r="C165" s="86" t="s">
        <v>275</v>
      </c>
      <c r="D165" s="22" t="s">
        <v>61</v>
      </c>
      <c r="E165" s="33" t="s">
        <v>61</v>
      </c>
      <c r="F165" s="33" t="s">
        <v>213</v>
      </c>
      <c r="G165" s="33" t="s">
        <v>213</v>
      </c>
      <c r="H165" s="22" t="s">
        <v>214</v>
      </c>
      <c r="I165" s="110"/>
      <c r="J165" s="111"/>
      <c r="K165" s="111"/>
      <c r="L165" s="29" t="e">
        <f t="shared" si="89"/>
        <v>#DIV/0!</v>
      </c>
      <c r="M165" s="22"/>
      <c r="N165" s="22">
        <v>2644</v>
      </c>
      <c r="O165" s="29" t="e">
        <f t="shared" si="90"/>
        <v>#DIV/0!</v>
      </c>
      <c r="P165" s="22">
        <f t="shared" si="91"/>
        <v>0</v>
      </c>
      <c r="Q165" s="22">
        <f t="shared" si="91"/>
        <v>2644</v>
      </c>
      <c r="R165" s="29" t="e">
        <f t="shared" si="92"/>
        <v>#DIV/0!</v>
      </c>
      <c r="S165" s="38"/>
      <c r="T165" s="38"/>
      <c r="U165" s="29" t="e">
        <f t="shared" si="93"/>
        <v>#DIV/0!</v>
      </c>
      <c r="V165" s="38">
        <f t="shared" si="94"/>
        <v>0</v>
      </c>
      <c r="W165" s="38">
        <f t="shared" si="94"/>
        <v>2644</v>
      </c>
      <c r="X165" s="29" t="e">
        <f t="shared" si="95"/>
        <v>#DIV/0!</v>
      </c>
      <c r="Y165" s="22"/>
      <c r="Z165" s="22"/>
      <c r="AA165" s="29" t="e">
        <f t="shared" si="96"/>
        <v>#DIV/0!</v>
      </c>
      <c r="AB165" s="22">
        <f t="shared" si="97"/>
        <v>0</v>
      </c>
      <c r="AC165" s="22">
        <f t="shared" si="97"/>
        <v>2644</v>
      </c>
      <c r="AD165" s="29" t="e">
        <f t="shared" si="98"/>
        <v>#DIV/0!</v>
      </c>
      <c r="AE165" s="22"/>
      <c r="AF165" s="22"/>
      <c r="AG165" s="29" t="e">
        <f t="shared" si="99"/>
        <v>#DIV/0!</v>
      </c>
      <c r="AH165" s="22">
        <f t="shared" si="100"/>
        <v>0</v>
      </c>
      <c r="AI165" s="22">
        <f t="shared" si="100"/>
        <v>2644</v>
      </c>
      <c r="AJ165" s="29" t="e">
        <f t="shared" si="101"/>
        <v>#DIV/0!</v>
      </c>
      <c r="AK165" s="22"/>
      <c r="AL165" s="22"/>
      <c r="AM165" s="29" t="e">
        <f t="shared" si="102"/>
        <v>#DIV/0!</v>
      </c>
      <c r="AN165" s="22">
        <f t="shared" si="103"/>
        <v>0</v>
      </c>
      <c r="AO165" s="22">
        <f t="shared" si="103"/>
        <v>2644</v>
      </c>
      <c r="AP165" s="29" t="e">
        <f t="shared" si="104"/>
        <v>#DIV/0!</v>
      </c>
      <c r="AQ165" s="22">
        <v>18000</v>
      </c>
      <c r="AR165" s="22">
        <v>2200</v>
      </c>
      <c r="AS165" s="29">
        <f t="shared" si="105"/>
        <v>-0.87777777777777777</v>
      </c>
      <c r="AT165" s="22">
        <f t="shared" si="106"/>
        <v>18000</v>
      </c>
      <c r="AU165" s="22">
        <f t="shared" si="106"/>
        <v>4844</v>
      </c>
      <c r="AV165" s="29">
        <f t="shared" si="107"/>
        <v>-0.73088888888888892</v>
      </c>
      <c r="AW165" s="38"/>
      <c r="AX165" s="38">
        <v>5610</v>
      </c>
      <c r="AY165" s="29" t="e">
        <f t="shared" si="108"/>
        <v>#DIV/0!</v>
      </c>
      <c r="AZ165" s="38">
        <f t="shared" si="109"/>
        <v>18000</v>
      </c>
      <c r="BA165" s="38">
        <f t="shared" si="109"/>
        <v>10454</v>
      </c>
      <c r="BB165" s="29">
        <f t="shared" si="110"/>
        <v>-0.41922222222222227</v>
      </c>
      <c r="BC165" s="38">
        <v>20000</v>
      </c>
      <c r="BD165" s="38">
        <v>5988</v>
      </c>
      <c r="BE165" s="29">
        <f t="shared" si="111"/>
        <v>-0.7006</v>
      </c>
      <c r="BF165" s="38">
        <f t="shared" si="112"/>
        <v>38000</v>
      </c>
      <c r="BG165" s="38">
        <f t="shared" si="112"/>
        <v>16442</v>
      </c>
      <c r="BH165" s="29">
        <f t="shared" si="113"/>
        <v>-0.56731578947368422</v>
      </c>
      <c r="BI165" s="102">
        <v>7925</v>
      </c>
      <c r="BJ165" s="111">
        <v>2644</v>
      </c>
      <c r="BK165" s="22">
        <v>2644</v>
      </c>
      <c r="BL165" s="22">
        <v>51213</v>
      </c>
      <c r="BM165" s="96" t="e">
        <f t="shared" si="114"/>
        <v>#DIV/0!</v>
      </c>
      <c r="BN165" s="22"/>
      <c r="BO165" s="22"/>
    </row>
    <row r="166" spans="1:67">
      <c r="A166" s="80" t="s">
        <v>29</v>
      </c>
      <c r="B166" s="80" t="s">
        <v>29</v>
      </c>
      <c r="C166" s="86" t="s">
        <v>276</v>
      </c>
      <c r="D166" s="42" t="s">
        <v>102</v>
      </c>
      <c r="E166" s="33" t="s">
        <v>102</v>
      </c>
      <c r="F166" s="33" t="s">
        <v>217</v>
      </c>
      <c r="G166" s="42"/>
      <c r="H166" s="33" t="s">
        <v>219</v>
      </c>
      <c r="I166" s="110"/>
      <c r="J166" s="111"/>
      <c r="K166" s="111">
        <v>10328</v>
      </c>
      <c r="L166" s="29" t="e">
        <f t="shared" si="89"/>
        <v>#DIV/0!</v>
      </c>
      <c r="M166" s="22"/>
      <c r="N166" s="22"/>
      <c r="O166" s="29" t="e">
        <f t="shared" si="90"/>
        <v>#DIV/0!</v>
      </c>
      <c r="P166" s="22">
        <f t="shared" si="91"/>
        <v>0</v>
      </c>
      <c r="Q166" s="22">
        <f t="shared" si="91"/>
        <v>10328</v>
      </c>
      <c r="R166" s="29" t="e">
        <f t="shared" si="92"/>
        <v>#DIV/0!</v>
      </c>
      <c r="S166" s="38"/>
      <c r="T166" s="38">
        <v>-1000</v>
      </c>
      <c r="U166" s="29" t="e">
        <f t="shared" si="93"/>
        <v>#DIV/0!</v>
      </c>
      <c r="V166" s="38">
        <f t="shared" si="94"/>
        <v>0</v>
      </c>
      <c r="W166" s="38">
        <f t="shared" si="94"/>
        <v>9328</v>
      </c>
      <c r="X166" s="29" t="e">
        <f t="shared" si="95"/>
        <v>#DIV/0!</v>
      </c>
      <c r="Y166" s="22"/>
      <c r="Z166" s="22"/>
      <c r="AA166" s="29" t="e">
        <f t="shared" si="96"/>
        <v>#DIV/0!</v>
      </c>
      <c r="AB166" s="22">
        <f t="shared" si="97"/>
        <v>0</v>
      </c>
      <c r="AC166" s="22">
        <f t="shared" si="97"/>
        <v>9328</v>
      </c>
      <c r="AD166" s="29" t="e">
        <f t="shared" si="98"/>
        <v>#DIV/0!</v>
      </c>
      <c r="AE166" s="22"/>
      <c r="AF166" s="22"/>
      <c r="AG166" s="29" t="e">
        <f t="shared" si="99"/>
        <v>#DIV/0!</v>
      </c>
      <c r="AH166" s="22">
        <f t="shared" si="100"/>
        <v>0</v>
      </c>
      <c r="AI166" s="22">
        <f t="shared" si="100"/>
        <v>9328</v>
      </c>
      <c r="AJ166" s="29" t="e">
        <f t="shared" si="101"/>
        <v>#DIV/0!</v>
      </c>
      <c r="AK166" s="22"/>
      <c r="AL166" s="22"/>
      <c r="AM166" s="29" t="e">
        <f t="shared" si="102"/>
        <v>#DIV/0!</v>
      </c>
      <c r="AN166" s="22">
        <f t="shared" si="103"/>
        <v>0</v>
      </c>
      <c r="AO166" s="22">
        <f t="shared" si="103"/>
        <v>9328</v>
      </c>
      <c r="AP166" s="29" t="e">
        <f t="shared" si="104"/>
        <v>#DIV/0!</v>
      </c>
      <c r="AQ166" s="22">
        <v>3868</v>
      </c>
      <c r="AR166" s="22">
        <v>4092</v>
      </c>
      <c r="AS166" s="29">
        <f t="shared" si="105"/>
        <v>5.7911065149948371E-2</v>
      </c>
      <c r="AT166" s="22">
        <f t="shared" si="106"/>
        <v>3868</v>
      </c>
      <c r="AU166" s="22">
        <f t="shared" si="106"/>
        <v>13420</v>
      </c>
      <c r="AV166" s="29">
        <f t="shared" si="107"/>
        <v>2.4694932781799381</v>
      </c>
      <c r="AW166" s="38"/>
      <c r="AX166" s="38">
        <v>8474</v>
      </c>
      <c r="AY166" s="29" t="e">
        <f t="shared" si="108"/>
        <v>#DIV/0!</v>
      </c>
      <c r="AZ166" s="38">
        <f t="shared" si="109"/>
        <v>3868</v>
      </c>
      <c r="BA166" s="38">
        <f t="shared" si="109"/>
        <v>21894</v>
      </c>
      <c r="BB166" s="29">
        <f t="shared" si="110"/>
        <v>4.6602895553257495</v>
      </c>
      <c r="BC166" s="38"/>
      <c r="BD166" s="38">
        <v>9808</v>
      </c>
      <c r="BE166" s="29" t="e">
        <f t="shared" si="111"/>
        <v>#DIV/0!</v>
      </c>
      <c r="BF166" s="38">
        <f t="shared" si="112"/>
        <v>3868</v>
      </c>
      <c r="BG166" s="38">
        <f t="shared" si="112"/>
        <v>31702</v>
      </c>
      <c r="BH166" s="29">
        <f t="shared" si="113"/>
        <v>7.1959669079627719</v>
      </c>
      <c r="BI166" s="102"/>
      <c r="BJ166" s="111"/>
      <c r="BK166" s="22"/>
      <c r="BL166" s="22">
        <v>3868</v>
      </c>
      <c r="BM166" s="96" t="e">
        <f t="shared" si="114"/>
        <v>#DIV/0!</v>
      </c>
      <c r="BN166" s="22"/>
      <c r="BO166" s="22"/>
    </row>
    <row r="167" spans="1:67">
      <c r="A167" s="80" t="s">
        <v>29</v>
      </c>
      <c r="B167" s="80" t="s">
        <v>29</v>
      </c>
      <c r="C167" s="86" t="s">
        <v>277</v>
      </c>
      <c r="D167" s="22" t="s">
        <v>61</v>
      </c>
      <c r="E167" s="33" t="s">
        <v>61</v>
      </c>
      <c r="F167" s="33" t="s">
        <v>232</v>
      </c>
      <c r="G167" s="33" t="s">
        <v>232</v>
      </c>
      <c r="H167" s="22" t="s">
        <v>223</v>
      </c>
      <c r="I167" s="110"/>
      <c r="J167" s="111"/>
      <c r="K167" s="111"/>
      <c r="L167" s="29" t="e">
        <f t="shared" si="89"/>
        <v>#DIV/0!</v>
      </c>
      <c r="M167" s="22"/>
      <c r="N167" s="22"/>
      <c r="O167" s="29" t="e">
        <f t="shared" si="90"/>
        <v>#DIV/0!</v>
      </c>
      <c r="P167" s="22">
        <f t="shared" si="91"/>
        <v>0</v>
      </c>
      <c r="Q167" s="22">
        <f t="shared" si="91"/>
        <v>0</v>
      </c>
      <c r="R167" s="29" t="e">
        <f t="shared" si="92"/>
        <v>#DIV/0!</v>
      </c>
      <c r="S167" s="38"/>
      <c r="T167" s="38"/>
      <c r="U167" s="29" t="e">
        <f t="shared" si="93"/>
        <v>#DIV/0!</v>
      </c>
      <c r="V167" s="38">
        <f t="shared" si="94"/>
        <v>0</v>
      </c>
      <c r="W167" s="38">
        <f t="shared" si="94"/>
        <v>0</v>
      </c>
      <c r="X167" s="29" t="e">
        <f t="shared" si="95"/>
        <v>#DIV/0!</v>
      </c>
      <c r="Y167" s="22"/>
      <c r="Z167" s="22"/>
      <c r="AA167" s="29" t="e">
        <f t="shared" si="96"/>
        <v>#DIV/0!</v>
      </c>
      <c r="AB167" s="22">
        <f t="shared" si="97"/>
        <v>0</v>
      </c>
      <c r="AC167" s="22">
        <f t="shared" si="97"/>
        <v>0</v>
      </c>
      <c r="AD167" s="29" t="e">
        <f t="shared" si="98"/>
        <v>#DIV/0!</v>
      </c>
      <c r="AE167" s="22"/>
      <c r="AF167" s="22"/>
      <c r="AG167" s="29" t="e">
        <f t="shared" si="99"/>
        <v>#DIV/0!</v>
      </c>
      <c r="AH167" s="22">
        <f t="shared" si="100"/>
        <v>0</v>
      </c>
      <c r="AI167" s="22">
        <f t="shared" si="100"/>
        <v>0</v>
      </c>
      <c r="AJ167" s="29" t="e">
        <f t="shared" si="101"/>
        <v>#DIV/0!</v>
      </c>
      <c r="AK167" s="22"/>
      <c r="AL167" s="22"/>
      <c r="AM167" s="29" t="e">
        <f t="shared" si="102"/>
        <v>#DIV/0!</v>
      </c>
      <c r="AN167" s="22">
        <f t="shared" si="103"/>
        <v>0</v>
      </c>
      <c r="AO167" s="22">
        <f t="shared" si="103"/>
        <v>0</v>
      </c>
      <c r="AP167" s="29" t="e">
        <f t="shared" si="104"/>
        <v>#DIV/0!</v>
      </c>
      <c r="AQ167" s="22">
        <v>2549</v>
      </c>
      <c r="AR167" s="22"/>
      <c r="AS167" s="29">
        <f t="shared" si="105"/>
        <v>-1</v>
      </c>
      <c r="AT167" s="22">
        <f t="shared" si="106"/>
        <v>2549</v>
      </c>
      <c r="AU167" s="22">
        <f t="shared" si="106"/>
        <v>0</v>
      </c>
      <c r="AV167" s="29">
        <f t="shared" si="107"/>
        <v>-1</v>
      </c>
      <c r="AW167" s="38"/>
      <c r="AX167" s="38"/>
      <c r="AY167" s="29" t="e">
        <f t="shared" si="108"/>
        <v>#DIV/0!</v>
      </c>
      <c r="AZ167" s="38">
        <f t="shared" si="109"/>
        <v>2549</v>
      </c>
      <c r="BA167" s="38">
        <f t="shared" si="109"/>
        <v>0</v>
      </c>
      <c r="BB167" s="29">
        <f t="shared" si="110"/>
        <v>-1</v>
      </c>
      <c r="BC167" s="38"/>
      <c r="BD167" s="38"/>
      <c r="BE167" s="29" t="e">
        <f t="shared" si="111"/>
        <v>#DIV/0!</v>
      </c>
      <c r="BF167" s="38">
        <f t="shared" si="112"/>
        <v>2549</v>
      </c>
      <c r="BG167" s="38">
        <f t="shared" si="112"/>
        <v>0</v>
      </c>
      <c r="BH167" s="29">
        <f t="shared" si="113"/>
        <v>-1</v>
      </c>
      <c r="BI167" s="102"/>
      <c r="BJ167" s="111"/>
      <c r="BK167" s="22"/>
      <c r="BL167" s="22">
        <v>2549</v>
      </c>
      <c r="BM167" s="96" t="e">
        <f t="shared" si="114"/>
        <v>#DIV/0!</v>
      </c>
      <c r="BN167" s="22"/>
      <c r="BO167" s="22"/>
    </row>
    <row r="168" spans="1:67">
      <c r="A168" s="80" t="s">
        <v>29</v>
      </c>
      <c r="B168" s="80" t="s">
        <v>29</v>
      </c>
      <c r="C168" s="86" t="s">
        <v>119</v>
      </c>
      <c r="D168" s="22" t="s">
        <v>61</v>
      </c>
      <c r="E168" s="33" t="s">
        <v>61</v>
      </c>
      <c r="F168" s="33" t="s">
        <v>217</v>
      </c>
      <c r="G168" s="33" t="s">
        <v>217</v>
      </c>
      <c r="H168" s="22" t="s">
        <v>223</v>
      </c>
      <c r="I168" s="110"/>
      <c r="J168" s="111"/>
      <c r="K168" s="111">
        <v>5704</v>
      </c>
      <c r="L168" s="29" t="e">
        <f t="shared" si="89"/>
        <v>#DIV/0!</v>
      </c>
      <c r="M168" s="22"/>
      <c r="N168" s="22"/>
      <c r="O168" s="29" t="e">
        <f t="shared" si="90"/>
        <v>#DIV/0!</v>
      </c>
      <c r="P168" s="22">
        <f t="shared" si="91"/>
        <v>0</v>
      </c>
      <c r="Q168" s="22">
        <f t="shared" si="91"/>
        <v>5704</v>
      </c>
      <c r="R168" s="29" t="e">
        <f t="shared" si="92"/>
        <v>#DIV/0!</v>
      </c>
      <c r="S168" s="38"/>
      <c r="T168" s="38"/>
      <c r="U168" s="29" t="e">
        <f t="shared" si="93"/>
        <v>#DIV/0!</v>
      </c>
      <c r="V168" s="38">
        <f t="shared" si="94"/>
        <v>0</v>
      </c>
      <c r="W168" s="38">
        <f t="shared" si="94"/>
        <v>5704</v>
      </c>
      <c r="X168" s="29" t="e">
        <f t="shared" si="95"/>
        <v>#DIV/0!</v>
      </c>
      <c r="Y168" s="22"/>
      <c r="Z168" s="22"/>
      <c r="AA168" s="29" t="e">
        <f t="shared" si="96"/>
        <v>#DIV/0!</v>
      </c>
      <c r="AB168" s="22">
        <f t="shared" si="97"/>
        <v>0</v>
      </c>
      <c r="AC168" s="22">
        <f t="shared" si="97"/>
        <v>5704</v>
      </c>
      <c r="AD168" s="29" t="e">
        <f t="shared" si="98"/>
        <v>#DIV/0!</v>
      </c>
      <c r="AE168" s="22"/>
      <c r="AF168" s="22"/>
      <c r="AG168" s="29" t="e">
        <f t="shared" si="99"/>
        <v>#DIV/0!</v>
      </c>
      <c r="AH168" s="22">
        <f t="shared" si="100"/>
        <v>0</v>
      </c>
      <c r="AI168" s="22">
        <f t="shared" si="100"/>
        <v>5704</v>
      </c>
      <c r="AJ168" s="29" t="e">
        <f t="shared" si="101"/>
        <v>#DIV/0!</v>
      </c>
      <c r="AK168" s="22"/>
      <c r="AL168" s="22"/>
      <c r="AM168" s="29" t="e">
        <f t="shared" si="102"/>
        <v>#DIV/0!</v>
      </c>
      <c r="AN168" s="22">
        <f t="shared" si="103"/>
        <v>0</v>
      </c>
      <c r="AO168" s="22">
        <f t="shared" si="103"/>
        <v>5704</v>
      </c>
      <c r="AP168" s="29" t="e">
        <f t="shared" si="104"/>
        <v>#DIV/0!</v>
      </c>
      <c r="AQ168" s="22"/>
      <c r="AR168" s="22"/>
      <c r="AS168" s="29" t="e">
        <f t="shared" si="105"/>
        <v>#DIV/0!</v>
      </c>
      <c r="AT168" s="22">
        <f t="shared" si="106"/>
        <v>0</v>
      </c>
      <c r="AU168" s="22">
        <f t="shared" si="106"/>
        <v>5704</v>
      </c>
      <c r="AV168" s="29" t="e">
        <f t="shared" si="107"/>
        <v>#DIV/0!</v>
      </c>
      <c r="AW168" s="38">
        <v>2203.4</v>
      </c>
      <c r="AX168" s="38"/>
      <c r="AY168" s="29">
        <f t="shared" si="108"/>
        <v>-1</v>
      </c>
      <c r="AZ168" s="38">
        <f t="shared" si="109"/>
        <v>2203.4</v>
      </c>
      <c r="BA168" s="38">
        <f t="shared" si="109"/>
        <v>5704</v>
      </c>
      <c r="BB168" s="29">
        <f t="shared" si="110"/>
        <v>1.5887265135699371</v>
      </c>
      <c r="BC168" s="38"/>
      <c r="BD168" s="38">
        <v>657.8</v>
      </c>
      <c r="BE168" s="29" t="e">
        <f t="shared" si="111"/>
        <v>#DIV/0!</v>
      </c>
      <c r="BF168" s="38">
        <f t="shared" si="112"/>
        <v>2203.4</v>
      </c>
      <c r="BG168" s="38">
        <f t="shared" si="112"/>
        <v>6361.8</v>
      </c>
      <c r="BH168" s="29">
        <f t="shared" si="113"/>
        <v>1.8872651356993737</v>
      </c>
      <c r="BI168" s="102">
        <v>5772.08</v>
      </c>
      <c r="BJ168" s="111"/>
      <c r="BK168" s="22">
        <v>2058.96</v>
      </c>
      <c r="BL168" s="22">
        <v>10034.44</v>
      </c>
      <c r="BM168" s="96" t="e">
        <f t="shared" si="114"/>
        <v>#DIV/0!</v>
      </c>
      <c r="BN168" s="22"/>
      <c r="BO168" s="22"/>
    </row>
    <row r="169" spans="1:67">
      <c r="A169" s="80" t="s">
        <v>29</v>
      </c>
      <c r="B169" s="80" t="s">
        <v>29</v>
      </c>
      <c r="C169" s="86" t="s">
        <v>278</v>
      </c>
      <c r="D169" s="22" t="s">
        <v>61</v>
      </c>
      <c r="E169" s="33" t="s">
        <v>61</v>
      </c>
      <c r="F169" s="176" t="s">
        <v>232</v>
      </c>
      <c r="G169" s="176" t="s">
        <v>232</v>
      </c>
      <c r="H169" s="22" t="s">
        <v>223</v>
      </c>
      <c r="I169" s="110">
        <v>30</v>
      </c>
      <c r="J169" s="111"/>
      <c r="K169" s="111">
        <v>29664</v>
      </c>
      <c r="L169" s="29" t="e">
        <f t="shared" si="89"/>
        <v>#DIV/0!</v>
      </c>
      <c r="M169" s="22"/>
      <c r="N169" s="22">
        <v>19159</v>
      </c>
      <c r="O169" s="29" t="e">
        <f t="shared" si="90"/>
        <v>#DIV/0!</v>
      </c>
      <c r="P169" s="22">
        <f t="shared" si="91"/>
        <v>0</v>
      </c>
      <c r="Q169" s="22">
        <f t="shared" si="91"/>
        <v>48823</v>
      </c>
      <c r="R169" s="29" t="e">
        <f t="shared" si="92"/>
        <v>#DIV/0!</v>
      </c>
      <c r="S169" s="38"/>
      <c r="T169" s="38">
        <v>1887</v>
      </c>
      <c r="U169" s="29" t="e">
        <f t="shared" si="93"/>
        <v>#DIV/0!</v>
      </c>
      <c r="V169" s="38">
        <f t="shared" si="94"/>
        <v>0</v>
      </c>
      <c r="W169" s="38">
        <f t="shared" si="94"/>
        <v>50710</v>
      </c>
      <c r="X169" s="29" t="e">
        <f t="shared" si="95"/>
        <v>#DIV/0!</v>
      </c>
      <c r="Y169" s="22"/>
      <c r="Z169" s="22">
        <v>9073</v>
      </c>
      <c r="AA169" s="29" t="e">
        <f t="shared" si="96"/>
        <v>#DIV/0!</v>
      </c>
      <c r="AB169" s="22">
        <f t="shared" si="97"/>
        <v>0</v>
      </c>
      <c r="AC169" s="22">
        <f t="shared" si="97"/>
        <v>59783</v>
      </c>
      <c r="AD169" s="29" t="e">
        <f t="shared" si="98"/>
        <v>#DIV/0!</v>
      </c>
      <c r="AE169" s="22"/>
      <c r="AF169" s="22">
        <v>25484</v>
      </c>
      <c r="AG169" s="29" t="e">
        <f t="shared" si="99"/>
        <v>#DIV/0!</v>
      </c>
      <c r="AH169" s="22">
        <f t="shared" si="100"/>
        <v>0</v>
      </c>
      <c r="AI169" s="22">
        <f t="shared" si="100"/>
        <v>85267</v>
      </c>
      <c r="AJ169" s="29" t="e">
        <f t="shared" si="101"/>
        <v>#DIV/0!</v>
      </c>
      <c r="AK169" s="22"/>
      <c r="AL169" s="22">
        <v>6200</v>
      </c>
      <c r="AM169" s="29" t="e">
        <f t="shared" si="102"/>
        <v>#DIV/0!</v>
      </c>
      <c r="AN169" s="22">
        <f t="shared" si="103"/>
        <v>0</v>
      </c>
      <c r="AO169" s="22">
        <f t="shared" si="103"/>
        <v>91467</v>
      </c>
      <c r="AP169" s="29" t="e">
        <f t="shared" si="104"/>
        <v>#DIV/0!</v>
      </c>
      <c r="AQ169" s="22"/>
      <c r="AR169" s="22">
        <v>19429</v>
      </c>
      <c r="AS169" s="29" t="e">
        <f t="shared" si="105"/>
        <v>#DIV/0!</v>
      </c>
      <c r="AT169" s="22">
        <f t="shared" si="106"/>
        <v>0</v>
      </c>
      <c r="AU169" s="22">
        <f t="shared" si="106"/>
        <v>110896</v>
      </c>
      <c r="AV169" s="29" t="e">
        <f t="shared" si="107"/>
        <v>#DIV/0!</v>
      </c>
      <c r="AW169" s="38"/>
      <c r="AX169" s="38">
        <v>28500</v>
      </c>
      <c r="AY169" s="29" t="e">
        <f t="shared" si="108"/>
        <v>#DIV/0!</v>
      </c>
      <c r="AZ169" s="38">
        <f t="shared" si="109"/>
        <v>0</v>
      </c>
      <c r="BA169" s="38">
        <f t="shared" si="109"/>
        <v>139396</v>
      </c>
      <c r="BB169" s="29" t="e">
        <f t="shared" si="110"/>
        <v>#DIV/0!</v>
      </c>
      <c r="BC169" s="38">
        <v>5629</v>
      </c>
      <c r="BD169" s="38">
        <v>34226</v>
      </c>
      <c r="BE169" s="29">
        <f t="shared" si="111"/>
        <v>5.0802984544324037</v>
      </c>
      <c r="BF169" s="38">
        <f t="shared" si="112"/>
        <v>5629</v>
      </c>
      <c r="BG169" s="38">
        <f t="shared" si="112"/>
        <v>173622</v>
      </c>
      <c r="BH169" s="29">
        <f t="shared" si="113"/>
        <v>29.844199680227394</v>
      </c>
      <c r="BI169" s="102">
        <v>24130</v>
      </c>
      <c r="BJ169" s="111">
        <v>38318</v>
      </c>
      <c r="BK169" s="22">
        <v>30121</v>
      </c>
      <c r="BL169" s="22">
        <v>98198</v>
      </c>
      <c r="BM169" s="96">
        <f t="shared" si="114"/>
        <v>0.57874000000000003</v>
      </c>
      <c r="BN169" s="22"/>
      <c r="BO169" s="22"/>
    </row>
    <row r="170" spans="1:67">
      <c r="A170" s="80" t="s">
        <v>29</v>
      </c>
      <c r="B170" s="80" t="s">
        <v>29</v>
      </c>
      <c r="C170" s="86" t="s">
        <v>279</v>
      </c>
      <c r="D170" s="22" t="s">
        <v>61</v>
      </c>
      <c r="E170" s="33" t="s">
        <v>61</v>
      </c>
      <c r="F170" s="33" t="s">
        <v>213</v>
      </c>
      <c r="G170" s="33" t="s">
        <v>213</v>
      </c>
      <c r="H170" s="22" t="s">
        <v>214</v>
      </c>
      <c r="I170" s="110"/>
      <c r="J170" s="111"/>
      <c r="K170" s="111">
        <v>2992</v>
      </c>
      <c r="L170" s="29" t="e">
        <f t="shared" si="89"/>
        <v>#DIV/0!</v>
      </c>
      <c r="M170" s="22"/>
      <c r="N170" s="22"/>
      <c r="O170" s="29" t="e">
        <f t="shared" si="90"/>
        <v>#DIV/0!</v>
      </c>
      <c r="P170" s="22">
        <f t="shared" si="91"/>
        <v>0</v>
      </c>
      <c r="Q170" s="22">
        <f t="shared" si="91"/>
        <v>2992</v>
      </c>
      <c r="R170" s="29" t="e">
        <f t="shared" si="92"/>
        <v>#DIV/0!</v>
      </c>
      <c r="S170" s="38"/>
      <c r="T170" s="38">
        <v>2104</v>
      </c>
      <c r="U170" s="29" t="e">
        <f t="shared" si="93"/>
        <v>#DIV/0!</v>
      </c>
      <c r="V170" s="38">
        <f t="shared" si="94"/>
        <v>0</v>
      </c>
      <c r="W170" s="38">
        <f t="shared" si="94"/>
        <v>5096</v>
      </c>
      <c r="X170" s="29" t="e">
        <f t="shared" si="95"/>
        <v>#DIV/0!</v>
      </c>
      <c r="Y170" s="22"/>
      <c r="Z170" s="22"/>
      <c r="AA170" s="29" t="e">
        <f t="shared" si="96"/>
        <v>#DIV/0!</v>
      </c>
      <c r="AB170" s="22">
        <f t="shared" si="97"/>
        <v>0</v>
      </c>
      <c r="AC170" s="22">
        <f t="shared" si="97"/>
        <v>5096</v>
      </c>
      <c r="AD170" s="29" t="e">
        <f t="shared" si="98"/>
        <v>#DIV/0!</v>
      </c>
      <c r="AE170" s="22"/>
      <c r="AF170" s="22"/>
      <c r="AG170" s="29" t="e">
        <f t="shared" si="99"/>
        <v>#DIV/0!</v>
      </c>
      <c r="AH170" s="22">
        <f t="shared" si="100"/>
        <v>0</v>
      </c>
      <c r="AI170" s="22">
        <f t="shared" si="100"/>
        <v>5096</v>
      </c>
      <c r="AJ170" s="29" t="e">
        <f t="shared" si="101"/>
        <v>#DIV/0!</v>
      </c>
      <c r="AK170" s="22"/>
      <c r="AL170" s="22">
        <v>4347</v>
      </c>
      <c r="AM170" s="29" t="e">
        <f t="shared" si="102"/>
        <v>#DIV/0!</v>
      </c>
      <c r="AN170" s="22">
        <f t="shared" si="103"/>
        <v>0</v>
      </c>
      <c r="AO170" s="22">
        <f t="shared" si="103"/>
        <v>9443</v>
      </c>
      <c r="AP170" s="29" t="e">
        <f t="shared" si="104"/>
        <v>#DIV/0!</v>
      </c>
      <c r="AQ170" s="22"/>
      <c r="AR170" s="22">
        <v>5929</v>
      </c>
      <c r="AS170" s="29" t="e">
        <f t="shared" si="105"/>
        <v>#DIV/0!</v>
      </c>
      <c r="AT170" s="22">
        <f t="shared" si="106"/>
        <v>0</v>
      </c>
      <c r="AU170" s="22">
        <f t="shared" si="106"/>
        <v>15372</v>
      </c>
      <c r="AV170" s="29" t="e">
        <f t="shared" si="107"/>
        <v>#DIV/0!</v>
      </c>
      <c r="AW170" s="38"/>
      <c r="AX170" s="38"/>
      <c r="AY170" s="29" t="e">
        <f t="shared" si="108"/>
        <v>#DIV/0!</v>
      </c>
      <c r="AZ170" s="38">
        <f t="shared" si="109"/>
        <v>0</v>
      </c>
      <c r="BA170" s="38">
        <f t="shared" si="109"/>
        <v>15372</v>
      </c>
      <c r="BB170" s="29" t="e">
        <f t="shared" si="110"/>
        <v>#DIV/0!</v>
      </c>
      <c r="BC170" s="38"/>
      <c r="BD170" s="38">
        <v>3141</v>
      </c>
      <c r="BE170" s="29" t="e">
        <f t="shared" si="111"/>
        <v>#DIV/0!</v>
      </c>
      <c r="BF170" s="38">
        <f t="shared" si="112"/>
        <v>0</v>
      </c>
      <c r="BG170" s="38">
        <f t="shared" si="112"/>
        <v>18513</v>
      </c>
      <c r="BH170" s="29" t="e">
        <f t="shared" si="113"/>
        <v>#DIV/0!</v>
      </c>
      <c r="BI170" s="102">
        <v>8743</v>
      </c>
      <c r="BJ170" s="111">
        <v>8532</v>
      </c>
      <c r="BK170" s="22">
        <v>10778</v>
      </c>
      <c r="BL170" s="22">
        <v>28053</v>
      </c>
      <c r="BM170" s="96" t="e">
        <f t="shared" si="114"/>
        <v>#DIV/0!</v>
      </c>
      <c r="BN170" s="22"/>
      <c r="BO170" s="22"/>
    </row>
    <row r="171" spans="1:67">
      <c r="A171" s="80" t="s">
        <v>29</v>
      </c>
      <c r="B171" s="80" t="s">
        <v>29</v>
      </c>
      <c r="C171" s="86" t="s">
        <v>280</v>
      </c>
      <c r="D171" s="22" t="s">
        <v>61</v>
      </c>
      <c r="E171" s="33" t="s">
        <v>61</v>
      </c>
      <c r="F171" s="33" t="s">
        <v>226</v>
      </c>
      <c r="G171" s="33" t="s">
        <v>226</v>
      </c>
      <c r="H171" s="22" t="s">
        <v>214</v>
      </c>
      <c r="I171" s="110">
        <v>11</v>
      </c>
      <c r="J171" s="111"/>
      <c r="K171" s="111">
        <v>15756</v>
      </c>
      <c r="L171" s="29" t="e">
        <f t="shared" si="89"/>
        <v>#DIV/0!</v>
      </c>
      <c r="M171" s="22"/>
      <c r="N171" s="22">
        <v>40000</v>
      </c>
      <c r="O171" s="29" t="e">
        <f t="shared" si="90"/>
        <v>#DIV/0!</v>
      </c>
      <c r="P171" s="22">
        <f t="shared" si="91"/>
        <v>0</v>
      </c>
      <c r="Q171" s="22">
        <f t="shared" si="91"/>
        <v>55756</v>
      </c>
      <c r="R171" s="29" t="e">
        <f t="shared" si="92"/>
        <v>#DIV/0!</v>
      </c>
      <c r="S171" s="38"/>
      <c r="T171" s="38">
        <v>25190</v>
      </c>
      <c r="U171" s="29" t="e">
        <f t="shared" si="93"/>
        <v>#DIV/0!</v>
      </c>
      <c r="V171" s="38">
        <f t="shared" si="94"/>
        <v>0</v>
      </c>
      <c r="W171" s="38">
        <f t="shared" si="94"/>
        <v>80946</v>
      </c>
      <c r="X171" s="29" t="e">
        <f t="shared" si="95"/>
        <v>#DIV/0!</v>
      </c>
      <c r="Y171" s="22"/>
      <c r="Z171" s="22">
        <v>7652</v>
      </c>
      <c r="AA171" s="29" t="e">
        <f t="shared" si="96"/>
        <v>#DIV/0!</v>
      </c>
      <c r="AB171" s="22">
        <f t="shared" si="97"/>
        <v>0</v>
      </c>
      <c r="AC171" s="22">
        <f t="shared" si="97"/>
        <v>88598</v>
      </c>
      <c r="AD171" s="29" t="e">
        <f t="shared" si="98"/>
        <v>#DIV/0!</v>
      </c>
      <c r="AE171" s="22"/>
      <c r="AF171" s="22">
        <v>22404</v>
      </c>
      <c r="AG171" s="29" t="e">
        <f t="shared" si="99"/>
        <v>#DIV/0!</v>
      </c>
      <c r="AH171" s="22">
        <f t="shared" si="100"/>
        <v>0</v>
      </c>
      <c r="AI171" s="22">
        <f t="shared" si="100"/>
        <v>111002</v>
      </c>
      <c r="AJ171" s="29" t="e">
        <f t="shared" si="101"/>
        <v>#DIV/0!</v>
      </c>
      <c r="AK171" s="22"/>
      <c r="AL171" s="22">
        <v>8108</v>
      </c>
      <c r="AM171" s="29" t="e">
        <f t="shared" si="102"/>
        <v>#DIV/0!</v>
      </c>
      <c r="AN171" s="22">
        <f t="shared" si="103"/>
        <v>0</v>
      </c>
      <c r="AO171" s="22">
        <f t="shared" si="103"/>
        <v>119110</v>
      </c>
      <c r="AP171" s="29" t="e">
        <f t="shared" si="104"/>
        <v>#DIV/0!</v>
      </c>
      <c r="AQ171" s="22"/>
      <c r="AR171" s="22">
        <v>15674</v>
      </c>
      <c r="AS171" s="29" t="e">
        <f t="shared" si="105"/>
        <v>#DIV/0!</v>
      </c>
      <c r="AT171" s="22">
        <f t="shared" si="106"/>
        <v>0</v>
      </c>
      <c r="AU171" s="22">
        <f t="shared" si="106"/>
        <v>134784</v>
      </c>
      <c r="AV171" s="29" t="e">
        <f t="shared" si="107"/>
        <v>#DIV/0!</v>
      </c>
      <c r="AW171" s="38"/>
      <c r="AX171" s="38"/>
      <c r="AY171" s="29" t="e">
        <f t="shared" si="108"/>
        <v>#DIV/0!</v>
      </c>
      <c r="AZ171" s="38">
        <f t="shared" si="109"/>
        <v>0</v>
      </c>
      <c r="BA171" s="38">
        <f t="shared" si="109"/>
        <v>134784</v>
      </c>
      <c r="BB171" s="29" t="e">
        <f t="shared" si="110"/>
        <v>#DIV/0!</v>
      </c>
      <c r="BC171" s="38"/>
      <c r="BD171" s="38">
        <v>8589</v>
      </c>
      <c r="BE171" s="29" t="e">
        <f t="shared" si="111"/>
        <v>#DIV/0!</v>
      </c>
      <c r="BF171" s="38">
        <f t="shared" si="112"/>
        <v>0</v>
      </c>
      <c r="BG171" s="38">
        <f t="shared" si="112"/>
        <v>143373</v>
      </c>
      <c r="BH171" s="29" t="e">
        <f t="shared" si="113"/>
        <v>#DIV/0!</v>
      </c>
      <c r="BI171" s="102">
        <v>72790</v>
      </c>
      <c r="BJ171" s="111">
        <v>5444</v>
      </c>
      <c r="BK171" s="22">
        <v>9708</v>
      </c>
      <c r="BL171" s="22">
        <v>87942</v>
      </c>
      <c r="BM171" s="96">
        <f t="shared" si="114"/>
        <v>1.3033909090909093</v>
      </c>
      <c r="BN171" s="22"/>
      <c r="BO171" s="22"/>
    </row>
    <row r="172" spans="1:67">
      <c r="A172" s="80" t="s">
        <v>29</v>
      </c>
      <c r="B172" s="80" t="s">
        <v>29</v>
      </c>
      <c r="C172" s="109" t="s">
        <v>281</v>
      </c>
      <c r="D172" s="22" t="s">
        <v>61</v>
      </c>
      <c r="E172" s="33" t="s">
        <v>61</v>
      </c>
      <c r="F172" s="42" t="s">
        <v>230</v>
      </c>
      <c r="G172" s="42" t="s">
        <v>230</v>
      </c>
      <c r="H172" s="22" t="s">
        <v>223</v>
      </c>
      <c r="I172" s="110"/>
      <c r="J172" s="111"/>
      <c r="K172" s="111">
        <v>3980</v>
      </c>
      <c r="L172" s="29" t="e">
        <f t="shared" si="89"/>
        <v>#DIV/0!</v>
      </c>
      <c r="M172" s="22"/>
      <c r="N172" s="22"/>
      <c r="O172" s="29" t="e">
        <f t="shared" si="90"/>
        <v>#DIV/0!</v>
      </c>
      <c r="P172" s="22">
        <f t="shared" si="91"/>
        <v>0</v>
      </c>
      <c r="Q172" s="22">
        <f t="shared" si="91"/>
        <v>3980</v>
      </c>
      <c r="R172" s="29" t="e">
        <f t="shared" si="92"/>
        <v>#DIV/0!</v>
      </c>
      <c r="S172" s="38"/>
      <c r="T172" s="38"/>
      <c r="U172" s="29" t="e">
        <f t="shared" si="93"/>
        <v>#DIV/0!</v>
      </c>
      <c r="V172" s="38">
        <f t="shared" si="94"/>
        <v>0</v>
      </c>
      <c r="W172" s="38">
        <f t="shared" si="94"/>
        <v>3980</v>
      </c>
      <c r="X172" s="29" t="e">
        <f t="shared" si="95"/>
        <v>#DIV/0!</v>
      </c>
      <c r="Y172" s="22"/>
      <c r="Z172" s="22"/>
      <c r="AA172" s="29" t="e">
        <f t="shared" si="96"/>
        <v>#DIV/0!</v>
      </c>
      <c r="AB172" s="22">
        <f t="shared" si="97"/>
        <v>0</v>
      </c>
      <c r="AC172" s="22">
        <f t="shared" si="97"/>
        <v>3980</v>
      </c>
      <c r="AD172" s="29" t="e">
        <f t="shared" si="98"/>
        <v>#DIV/0!</v>
      </c>
      <c r="AE172" s="22"/>
      <c r="AF172" s="22"/>
      <c r="AG172" s="29" t="e">
        <f t="shared" si="99"/>
        <v>#DIV/0!</v>
      </c>
      <c r="AH172" s="22">
        <f t="shared" si="100"/>
        <v>0</v>
      </c>
      <c r="AI172" s="22">
        <f t="shared" si="100"/>
        <v>3980</v>
      </c>
      <c r="AJ172" s="29" t="e">
        <f t="shared" si="101"/>
        <v>#DIV/0!</v>
      </c>
      <c r="AK172" s="22"/>
      <c r="AL172" s="22"/>
      <c r="AM172" s="29" t="e">
        <f t="shared" si="102"/>
        <v>#DIV/0!</v>
      </c>
      <c r="AN172" s="22">
        <f t="shared" si="103"/>
        <v>0</v>
      </c>
      <c r="AO172" s="22">
        <f t="shared" si="103"/>
        <v>3980</v>
      </c>
      <c r="AP172" s="29" t="e">
        <f t="shared" si="104"/>
        <v>#DIV/0!</v>
      </c>
      <c r="AQ172" s="22"/>
      <c r="AR172" s="22"/>
      <c r="AS172" s="29" t="e">
        <f t="shared" si="105"/>
        <v>#DIV/0!</v>
      </c>
      <c r="AT172" s="22">
        <f t="shared" si="106"/>
        <v>0</v>
      </c>
      <c r="AU172" s="22">
        <f t="shared" si="106"/>
        <v>3980</v>
      </c>
      <c r="AV172" s="29" t="e">
        <f t="shared" si="107"/>
        <v>#DIV/0!</v>
      </c>
      <c r="AW172" s="38"/>
      <c r="AX172" s="38"/>
      <c r="AY172" s="29" t="e">
        <f t="shared" si="108"/>
        <v>#DIV/0!</v>
      </c>
      <c r="AZ172" s="38">
        <f t="shared" si="109"/>
        <v>0</v>
      </c>
      <c r="BA172" s="38">
        <f t="shared" si="109"/>
        <v>3980</v>
      </c>
      <c r="BB172" s="29" t="e">
        <f t="shared" si="110"/>
        <v>#DIV/0!</v>
      </c>
      <c r="BC172" s="38"/>
      <c r="BD172" s="38"/>
      <c r="BE172" s="29" t="e">
        <f t="shared" si="111"/>
        <v>#DIV/0!</v>
      </c>
      <c r="BF172" s="38">
        <f t="shared" si="112"/>
        <v>0</v>
      </c>
      <c r="BG172" s="38">
        <f t="shared" si="112"/>
        <v>3980</v>
      </c>
      <c r="BH172" s="29" t="e">
        <f t="shared" si="113"/>
        <v>#DIV/0!</v>
      </c>
      <c r="BI172" s="102"/>
      <c r="BJ172" s="85">
        <v>4980</v>
      </c>
      <c r="BK172" s="22"/>
      <c r="BL172" s="22">
        <v>4980</v>
      </c>
      <c r="BM172" s="96" t="e">
        <f t="shared" si="114"/>
        <v>#DIV/0!</v>
      </c>
      <c r="BN172" s="22"/>
      <c r="BO172" s="22"/>
    </row>
    <row r="173" spans="1:67">
      <c r="A173" s="80" t="s">
        <v>29</v>
      </c>
      <c r="B173" s="80" t="s">
        <v>29</v>
      </c>
      <c r="C173" s="109" t="s">
        <v>282</v>
      </c>
      <c r="D173" s="22" t="s">
        <v>61</v>
      </c>
      <c r="E173" s="33" t="s">
        <v>61</v>
      </c>
      <c r="F173" s="33" t="s">
        <v>217</v>
      </c>
      <c r="G173" s="42"/>
      <c r="H173" s="33" t="s">
        <v>219</v>
      </c>
      <c r="I173" s="110"/>
      <c r="J173" s="111"/>
      <c r="K173" s="111"/>
      <c r="L173" s="29" t="e">
        <f t="shared" si="89"/>
        <v>#DIV/0!</v>
      </c>
      <c r="M173" s="22"/>
      <c r="N173" s="22"/>
      <c r="O173" s="29" t="e">
        <f t="shared" si="90"/>
        <v>#DIV/0!</v>
      </c>
      <c r="P173" s="22">
        <f t="shared" si="91"/>
        <v>0</v>
      </c>
      <c r="Q173" s="22">
        <f t="shared" si="91"/>
        <v>0</v>
      </c>
      <c r="R173" s="29" t="e">
        <f t="shared" si="92"/>
        <v>#DIV/0!</v>
      </c>
      <c r="S173" s="38"/>
      <c r="T173" s="38"/>
      <c r="U173" s="29" t="e">
        <f t="shared" si="93"/>
        <v>#DIV/0!</v>
      </c>
      <c r="V173" s="38">
        <f t="shared" si="94"/>
        <v>0</v>
      </c>
      <c r="W173" s="38">
        <f t="shared" si="94"/>
        <v>0</v>
      </c>
      <c r="X173" s="29" t="e">
        <f t="shared" si="95"/>
        <v>#DIV/0!</v>
      </c>
      <c r="Y173" s="22"/>
      <c r="Z173" s="22"/>
      <c r="AA173" s="29" t="e">
        <f t="shared" si="96"/>
        <v>#DIV/0!</v>
      </c>
      <c r="AB173" s="22">
        <f t="shared" si="97"/>
        <v>0</v>
      </c>
      <c r="AC173" s="22">
        <f t="shared" si="97"/>
        <v>0</v>
      </c>
      <c r="AD173" s="29" t="e">
        <f t="shared" si="98"/>
        <v>#DIV/0!</v>
      </c>
      <c r="AE173" s="22"/>
      <c r="AF173" s="22"/>
      <c r="AG173" s="29" t="e">
        <f t="shared" si="99"/>
        <v>#DIV/0!</v>
      </c>
      <c r="AH173" s="22">
        <f t="shared" si="100"/>
        <v>0</v>
      </c>
      <c r="AI173" s="22">
        <f t="shared" si="100"/>
        <v>0</v>
      </c>
      <c r="AJ173" s="29" t="e">
        <f t="shared" si="101"/>
        <v>#DIV/0!</v>
      </c>
      <c r="AK173" s="22"/>
      <c r="AL173" s="22"/>
      <c r="AM173" s="29" t="e">
        <f t="shared" si="102"/>
        <v>#DIV/0!</v>
      </c>
      <c r="AN173" s="22">
        <f t="shared" si="103"/>
        <v>0</v>
      </c>
      <c r="AO173" s="22">
        <f t="shared" si="103"/>
        <v>0</v>
      </c>
      <c r="AP173" s="29" t="e">
        <f t="shared" si="104"/>
        <v>#DIV/0!</v>
      </c>
      <c r="AQ173" s="22"/>
      <c r="AR173" s="22"/>
      <c r="AS173" s="29" t="e">
        <f t="shared" si="105"/>
        <v>#DIV/0!</v>
      </c>
      <c r="AT173" s="22">
        <f t="shared" si="106"/>
        <v>0</v>
      </c>
      <c r="AU173" s="22">
        <f t="shared" si="106"/>
        <v>0</v>
      </c>
      <c r="AV173" s="29" t="e">
        <f t="shared" si="107"/>
        <v>#DIV/0!</v>
      </c>
      <c r="AW173" s="38"/>
      <c r="AX173" s="38"/>
      <c r="AY173" s="29" t="e">
        <f t="shared" si="108"/>
        <v>#DIV/0!</v>
      </c>
      <c r="AZ173" s="38">
        <f t="shared" si="109"/>
        <v>0</v>
      </c>
      <c r="BA173" s="38">
        <f t="shared" si="109"/>
        <v>0</v>
      </c>
      <c r="BB173" s="29" t="e">
        <f t="shared" si="110"/>
        <v>#DIV/0!</v>
      </c>
      <c r="BC173" s="38"/>
      <c r="BD173" s="38"/>
      <c r="BE173" s="29" t="e">
        <f t="shared" si="111"/>
        <v>#DIV/0!</v>
      </c>
      <c r="BF173" s="38">
        <f t="shared" si="112"/>
        <v>0</v>
      </c>
      <c r="BG173" s="38">
        <f t="shared" si="112"/>
        <v>0</v>
      </c>
      <c r="BH173" s="29" t="e">
        <f t="shared" si="113"/>
        <v>#DIV/0!</v>
      </c>
      <c r="BI173" s="102"/>
      <c r="BJ173" s="85">
        <v>18890</v>
      </c>
      <c r="BK173" s="22">
        <v>17758</v>
      </c>
      <c r="BL173" s="22">
        <v>36648</v>
      </c>
      <c r="BM173" s="96" t="e">
        <f t="shared" si="114"/>
        <v>#DIV/0!</v>
      </c>
      <c r="BN173" s="22"/>
      <c r="BO173" s="22"/>
    </row>
    <row r="174" spans="1:67">
      <c r="A174" s="80" t="s">
        <v>29</v>
      </c>
      <c r="B174" s="80" t="s">
        <v>29</v>
      </c>
      <c r="C174" s="109" t="s">
        <v>283</v>
      </c>
      <c r="D174" s="22" t="s">
        <v>61</v>
      </c>
      <c r="E174" s="33" t="s">
        <v>61</v>
      </c>
      <c r="F174" s="33" t="s">
        <v>217</v>
      </c>
      <c r="G174" s="42"/>
      <c r="H174" s="33" t="s">
        <v>219</v>
      </c>
      <c r="I174" s="110">
        <v>0</v>
      </c>
      <c r="J174" s="111"/>
      <c r="K174" s="111"/>
      <c r="L174" s="29" t="e">
        <f t="shared" si="89"/>
        <v>#DIV/0!</v>
      </c>
      <c r="M174" s="22"/>
      <c r="N174" s="22"/>
      <c r="O174" s="29" t="e">
        <f t="shared" si="90"/>
        <v>#DIV/0!</v>
      </c>
      <c r="P174" s="22">
        <f t="shared" si="91"/>
        <v>0</v>
      </c>
      <c r="Q174" s="22">
        <f t="shared" si="91"/>
        <v>0</v>
      </c>
      <c r="R174" s="29" t="e">
        <f t="shared" si="92"/>
        <v>#DIV/0!</v>
      </c>
      <c r="S174" s="38"/>
      <c r="T174" s="38">
        <v>2196</v>
      </c>
      <c r="U174" s="29" t="e">
        <f t="shared" si="93"/>
        <v>#DIV/0!</v>
      </c>
      <c r="V174" s="38">
        <f t="shared" si="94"/>
        <v>0</v>
      </c>
      <c r="W174" s="38">
        <f t="shared" si="94"/>
        <v>2196</v>
      </c>
      <c r="X174" s="29" t="e">
        <f t="shared" si="95"/>
        <v>#DIV/0!</v>
      </c>
      <c r="Y174" s="22"/>
      <c r="Z174" s="22"/>
      <c r="AA174" s="29" t="e">
        <f t="shared" si="96"/>
        <v>#DIV/0!</v>
      </c>
      <c r="AB174" s="22">
        <f t="shared" si="97"/>
        <v>0</v>
      </c>
      <c r="AC174" s="22">
        <f t="shared" si="97"/>
        <v>2196</v>
      </c>
      <c r="AD174" s="29" t="e">
        <f t="shared" si="98"/>
        <v>#DIV/0!</v>
      </c>
      <c r="AE174" s="22"/>
      <c r="AF174" s="22"/>
      <c r="AG174" s="29" t="e">
        <f t="shared" si="99"/>
        <v>#DIV/0!</v>
      </c>
      <c r="AH174" s="22">
        <f t="shared" si="100"/>
        <v>0</v>
      </c>
      <c r="AI174" s="22">
        <f t="shared" si="100"/>
        <v>2196</v>
      </c>
      <c r="AJ174" s="29" t="e">
        <f t="shared" si="101"/>
        <v>#DIV/0!</v>
      </c>
      <c r="AK174" s="22"/>
      <c r="AL174" s="22"/>
      <c r="AM174" s="29" t="e">
        <f t="shared" si="102"/>
        <v>#DIV/0!</v>
      </c>
      <c r="AN174" s="22">
        <f t="shared" si="103"/>
        <v>0</v>
      </c>
      <c r="AO174" s="22">
        <f t="shared" si="103"/>
        <v>2196</v>
      </c>
      <c r="AP174" s="29" t="e">
        <f t="shared" si="104"/>
        <v>#DIV/0!</v>
      </c>
      <c r="AQ174" s="22"/>
      <c r="AR174" s="22"/>
      <c r="AS174" s="29" t="e">
        <f t="shared" si="105"/>
        <v>#DIV/0!</v>
      </c>
      <c r="AT174" s="22">
        <f t="shared" si="106"/>
        <v>0</v>
      </c>
      <c r="AU174" s="22">
        <f t="shared" si="106"/>
        <v>2196</v>
      </c>
      <c r="AV174" s="29" t="e">
        <f t="shared" si="107"/>
        <v>#DIV/0!</v>
      </c>
      <c r="AW174" s="38"/>
      <c r="AX174" s="38"/>
      <c r="AY174" s="29" t="e">
        <f t="shared" si="108"/>
        <v>#DIV/0!</v>
      </c>
      <c r="AZ174" s="38">
        <f t="shared" si="109"/>
        <v>0</v>
      </c>
      <c r="BA174" s="38">
        <f t="shared" si="109"/>
        <v>2196</v>
      </c>
      <c r="BB174" s="29" t="e">
        <f t="shared" si="110"/>
        <v>#DIV/0!</v>
      </c>
      <c r="BC174" s="38"/>
      <c r="BD174" s="38"/>
      <c r="BE174" s="29" t="e">
        <f t="shared" si="111"/>
        <v>#DIV/0!</v>
      </c>
      <c r="BF174" s="38">
        <f t="shared" si="112"/>
        <v>0</v>
      </c>
      <c r="BG174" s="38">
        <f t="shared" si="112"/>
        <v>2196</v>
      </c>
      <c r="BH174" s="29" t="e">
        <f t="shared" si="113"/>
        <v>#DIV/0!</v>
      </c>
      <c r="BI174" s="102"/>
      <c r="BJ174" s="85">
        <v>4070</v>
      </c>
      <c r="BK174" s="22">
        <v>6204</v>
      </c>
      <c r="BL174" s="22">
        <v>10274</v>
      </c>
      <c r="BM174" s="96" t="e">
        <f t="shared" si="114"/>
        <v>#DIV/0!</v>
      </c>
      <c r="BN174" s="22"/>
      <c r="BO174" s="22"/>
    </row>
    <row r="175" spans="1:67">
      <c r="A175" s="80" t="s">
        <v>29</v>
      </c>
      <c r="B175" s="80" t="s">
        <v>29</v>
      </c>
      <c r="C175" s="109" t="s">
        <v>284</v>
      </c>
      <c r="D175" s="22" t="s">
        <v>61</v>
      </c>
      <c r="E175" s="33" t="s">
        <v>61</v>
      </c>
      <c r="F175" s="33" t="s">
        <v>222</v>
      </c>
      <c r="G175" s="33"/>
      <c r="H175" s="22" t="s">
        <v>223</v>
      </c>
      <c r="I175" s="110"/>
      <c r="J175" s="111"/>
      <c r="K175" s="111"/>
      <c r="L175" s="29" t="e">
        <f t="shared" si="89"/>
        <v>#DIV/0!</v>
      </c>
      <c r="M175" s="22"/>
      <c r="N175" s="22"/>
      <c r="O175" s="29" t="e">
        <f t="shared" si="90"/>
        <v>#DIV/0!</v>
      </c>
      <c r="P175" s="22">
        <f t="shared" si="91"/>
        <v>0</v>
      </c>
      <c r="Q175" s="22">
        <f t="shared" si="91"/>
        <v>0</v>
      </c>
      <c r="R175" s="29" t="e">
        <f t="shared" si="92"/>
        <v>#DIV/0!</v>
      </c>
      <c r="S175" s="38"/>
      <c r="T175" s="38">
        <v>20000</v>
      </c>
      <c r="U175" s="29" t="e">
        <f t="shared" si="93"/>
        <v>#DIV/0!</v>
      </c>
      <c r="V175" s="38">
        <f t="shared" si="94"/>
        <v>0</v>
      </c>
      <c r="W175" s="38">
        <f t="shared" si="94"/>
        <v>20000</v>
      </c>
      <c r="X175" s="29" t="e">
        <f t="shared" si="95"/>
        <v>#DIV/0!</v>
      </c>
      <c r="Y175" s="22"/>
      <c r="Z175" s="22"/>
      <c r="AA175" s="29" t="e">
        <f t="shared" si="96"/>
        <v>#DIV/0!</v>
      </c>
      <c r="AB175" s="22">
        <f t="shared" si="97"/>
        <v>0</v>
      </c>
      <c r="AC175" s="22">
        <f t="shared" si="97"/>
        <v>20000</v>
      </c>
      <c r="AD175" s="29" t="e">
        <f t="shared" si="98"/>
        <v>#DIV/0!</v>
      </c>
      <c r="AE175" s="22"/>
      <c r="AF175" s="22">
        <v>10000</v>
      </c>
      <c r="AG175" s="29" t="e">
        <f t="shared" si="99"/>
        <v>#DIV/0!</v>
      </c>
      <c r="AH175" s="22">
        <f t="shared" si="100"/>
        <v>0</v>
      </c>
      <c r="AI175" s="22">
        <f t="shared" si="100"/>
        <v>30000</v>
      </c>
      <c r="AJ175" s="29" t="e">
        <f t="shared" si="101"/>
        <v>#DIV/0!</v>
      </c>
      <c r="AK175" s="22"/>
      <c r="AL175" s="22">
        <v>50000</v>
      </c>
      <c r="AM175" s="29" t="e">
        <f t="shared" si="102"/>
        <v>#DIV/0!</v>
      </c>
      <c r="AN175" s="22">
        <f t="shared" si="103"/>
        <v>0</v>
      </c>
      <c r="AO175" s="22">
        <f t="shared" si="103"/>
        <v>80000</v>
      </c>
      <c r="AP175" s="29" t="e">
        <f t="shared" si="104"/>
        <v>#DIV/0!</v>
      </c>
      <c r="AQ175" s="22"/>
      <c r="AR175" s="22"/>
      <c r="AS175" s="29" t="e">
        <f t="shared" si="105"/>
        <v>#DIV/0!</v>
      </c>
      <c r="AT175" s="22">
        <f t="shared" si="106"/>
        <v>0</v>
      </c>
      <c r="AU175" s="22">
        <f t="shared" si="106"/>
        <v>80000</v>
      </c>
      <c r="AV175" s="29" t="e">
        <f t="shared" si="107"/>
        <v>#DIV/0!</v>
      </c>
      <c r="AW175" s="38"/>
      <c r="AX175" s="38">
        <v>20000</v>
      </c>
      <c r="AY175" s="29" t="e">
        <f t="shared" si="108"/>
        <v>#DIV/0!</v>
      </c>
      <c r="AZ175" s="38">
        <f t="shared" si="109"/>
        <v>0</v>
      </c>
      <c r="BA175" s="38">
        <f t="shared" si="109"/>
        <v>100000</v>
      </c>
      <c r="BB175" s="29" t="e">
        <f t="shared" si="110"/>
        <v>#DIV/0!</v>
      </c>
      <c r="BC175" s="38"/>
      <c r="BD175" s="38"/>
      <c r="BE175" s="29" t="e">
        <f t="shared" si="111"/>
        <v>#DIV/0!</v>
      </c>
      <c r="BF175" s="38">
        <f t="shared" si="112"/>
        <v>0</v>
      </c>
      <c r="BG175" s="38">
        <f t="shared" si="112"/>
        <v>100000</v>
      </c>
      <c r="BH175" s="29" t="e">
        <f t="shared" si="113"/>
        <v>#DIV/0!</v>
      </c>
      <c r="BI175" s="102"/>
      <c r="BJ175" s="85">
        <v>50000</v>
      </c>
      <c r="BK175" s="22"/>
      <c r="BL175" s="22">
        <v>50000</v>
      </c>
      <c r="BM175" s="96" t="e">
        <f t="shared" si="114"/>
        <v>#DIV/0!</v>
      </c>
      <c r="BN175" s="22"/>
      <c r="BO175" s="22"/>
    </row>
    <row r="176" spans="1:67">
      <c r="A176" s="80" t="s">
        <v>29</v>
      </c>
      <c r="B176" s="80" t="s">
        <v>29</v>
      </c>
      <c r="C176" s="109" t="s">
        <v>285</v>
      </c>
      <c r="D176" s="22" t="s">
        <v>61</v>
      </c>
      <c r="E176" s="33" t="s">
        <v>61</v>
      </c>
      <c r="F176" s="33" t="s">
        <v>217</v>
      </c>
      <c r="G176" s="42" t="s">
        <v>235</v>
      </c>
      <c r="H176" s="22" t="s">
        <v>219</v>
      </c>
      <c r="I176" s="110">
        <v>0</v>
      </c>
      <c r="J176" s="111"/>
      <c r="K176" s="111"/>
      <c r="L176" s="29" t="e">
        <f t="shared" si="89"/>
        <v>#DIV/0!</v>
      </c>
      <c r="M176" s="22"/>
      <c r="N176" s="22"/>
      <c r="O176" s="29" t="e">
        <f t="shared" si="90"/>
        <v>#DIV/0!</v>
      </c>
      <c r="P176" s="22">
        <f t="shared" si="91"/>
        <v>0</v>
      </c>
      <c r="Q176" s="22">
        <f t="shared" si="91"/>
        <v>0</v>
      </c>
      <c r="R176" s="29" t="e">
        <f t="shared" si="92"/>
        <v>#DIV/0!</v>
      </c>
      <c r="S176" s="38"/>
      <c r="T176" s="38"/>
      <c r="U176" s="29" t="e">
        <f t="shared" si="93"/>
        <v>#DIV/0!</v>
      </c>
      <c r="V176" s="38">
        <f t="shared" si="94"/>
        <v>0</v>
      </c>
      <c r="W176" s="38">
        <f t="shared" si="94"/>
        <v>0</v>
      </c>
      <c r="X176" s="29" t="e">
        <f t="shared" si="95"/>
        <v>#DIV/0!</v>
      </c>
      <c r="Y176" s="22"/>
      <c r="Z176" s="22"/>
      <c r="AA176" s="29" t="e">
        <f t="shared" si="96"/>
        <v>#DIV/0!</v>
      </c>
      <c r="AB176" s="22">
        <f t="shared" si="97"/>
        <v>0</v>
      </c>
      <c r="AC176" s="22">
        <f t="shared" si="97"/>
        <v>0</v>
      </c>
      <c r="AD176" s="29" t="e">
        <f t="shared" si="98"/>
        <v>#DIV/0!</v>
      </c>
      <c r="AE176" s="22"/>
      <c r="AF176" s="22"/>
      <c r="AG176" s="29" t="e">
        <f t="shared" si="99"/>
        <v>#DIV/0!</v>
      </c>
      <c r="AH176" s="22">
        <f t="shared" si="100"/>
        <v>0</v>
      </c>
      <c r="AI176" s="22">
        <f t="shared" si="100"/>
        <v>0</v>
      </c>
      <c r="AJ176" s="29" t="e">
        <f t="shared" si="101"/>
        <v>#DIV/0!</v>
      </c>
      <c r="AK176" s="22"/>
      <c r="AL176" s="22"/>
      <c r="AM176" s="29" t="e">
        <f t="shared" si="102"/>
        <v>#DIV/0!</v>
      </c>
      <c r="AN176" s="22">
        <f t="shared" si="103"/>
        <v>0</v>
      </c>
      <c r="AO176" s="22">
        <f t="shared" si="103"/>
        <v>0</v>
      </c>
      <c r="AP176" s="29" t="e">
        <f t="shared" si="104"/>
        <v>#DIV/0!</v>
      </c>
      <c r="AQ176" s="22"/>
      <c r="AR176" s="22"/>
      <c r="AS176" s="29" t="e">
        <f t="shared" si="105"/>
        <v>#DIV/0!</v>
      </c>
      <c r="AT176" s="22">
        <f t="shared" si="106"/>
        <v>0</v>
      </c>
      <c r="AU176" s="22">
        <f t="shared" si="106"/>
        <v>0</v>
      </c>
      <c r="AV176" s="29" t="e">
        <f t="shared" si="107"/>
        <v>#DIV/0!</v>
      </c>
      <c r="AW176" s="38"/>
      <c r="AX176" s="38"/>
      <c r="AY176" s="29" t="e">
        <f t="shared" si="108"/>
        <v>#DIV/0!</v>
      </c>
      <c r="AZ176" s="38">
        <f t="shared" si="109"/>
        <v>0</v>
      </c>
      <c r="BA176" s="38">
        <f t="shared" si="109"/>
        <v>0</v>
      </c>
      <c r="BB176" s="29" t="e">
        <f t="shared" si="110"/>
        <v>#DIV/0!</v>
      </c>
      <c r="BC176" s="38"/>
      <c r="BD176" s="38"/>
      <c r="BE176" s="29" t="e">
        <f t="shared" si="111"/>
        <v>#DIV/0!</v>
      </c>
      <c r="BF176" s="38">
        <f t="shared" si="112"/>
        <v>0</v>
      </c>
      <c r="BG176" s="38">
        <f t="shared" si="112"/>
        <v>0</v>
      </c>
      <c r="BH176" s="29" t="e">
        <f t="shared" si="113"/>
        <v>#DIV/0!</v>
      </c>
      <c r="BI176" s="102"/>
      <c r="BJ176" s="85">
        <v>1760</v>
      </c>
      <c r="BK176" s="22"/>
      <c r="BL176" s="22">
        <v>1760</v>
      </c>
      <c r="BM176" s="96" t="e">
        <f t="shared" si="114"/>
        <v>#DIV/0!</v>
      </c>
      <c r="BN176" s="22"/>
      <c r="BO176" s="22"/>
    </row>
    <row r="177" spans="1:67">
      <c r="A177" s="80" t="s">
        <v>29</v>
      </c>
      <c r="B177" s="80" t="s">
        <v>29</v>
      </c>
      <c r="C177" s="109" t="s">
        <v>286</v>
      </c>
      <c r="D177" s="22" t="s">
        <v>287</v>
      </c>
      <c r="E177" s="33" t="s">
        <v>61</v>
      </c>
      <c r="F177" s="33" t="s">
        <v>226</v>
      </c>
      <c r="G177" s="33" t="s">
        <v>226</v>
      </c>
      <c r="H177" s="22" t="s">
        <v>214</v>
      </c>
      <c r="I177" s="110"/>
      <c r="J177" s="111"/>
      <c r="K177" s="111"/>
      <c r="L177" s="29" t="e">
        <f t="shared" si="89"/>
        <v>#DIV/0!</v>
      </c>
      <c r="M177" s="22"/>
      <c r="N177" s="22"/>
      <c r="O177" s="29" t="e">
        <f t="shared" si="90"/>
        <v>#DIV/0!</v>
      </c>
      <c r="P177" s="22">
        <f t="shared" si="91"/>
        <v>0</v>
      </c>
      <c r="Q177" s="22">
        <f t="shared" si="91"/>
        <v>0</v>
      </c>
      <c r="R177" s="29" t="e">
        <f t="shared" si="92"/>
        <v>#DIV/0!</v>
      </c>
      <c r="S177" s="38"/>
      <c r="T177" s="38"/>
      <c r="U177" s="29" t="e">
        <f t="shared" si="93"/>
        <v>#DIV/0!</v>
      </c>
      <c r="V177" s="38">
        <f t="shared" si="94"/>
        <v>0</v>
      </c>
      <c r="W177" s="38">
        <f t="shared" si="94"/>
        <v>0</v>
      </c>
      <c r="X177" s="29" t="e">
        <f t="shared" si="95"/>
        <v>#DIV/0!</v>
      </c>
      <c r="Y177" s="22"/>
      <c r="Z177" s="22"/>
      <c r="AA177" s="29" t="e">
        <f t="shared" si="96"/>
        <v>#DIV/0!</v>
      </c>
      <c r="AB177" s="22">
        <f t="shared" si="97"/>
        <v>0</v>
      </c>
      <c r="AC177" s="22">
        <f t="shared" si="97"/>
        <v>0</v>
      </c>
      <c r="AD177" s="29" t="e">
        <f t="shared" si="98"/>
        <v>#DIV/0!</v>
      </c>
      <c r="AE177" s="22"/>
      <c r="AF177" s="22"/>
      <c r="AG177" s="29" t="e">
        <f t="shared" si="99"/>
        <v>#DIV/0!</v>
      </c>
      <c r="AH177" s="22">
        <f t="shared" si="100"/>
        <v>0</v>
      </c>
      <c r="AI177" s="22">
        <f t="shared" si="100"/>
        <v>0</v>
      </c>
      <c r="AJ177" s="29" t="e">
        <f t="shared" si="101"/>
        <v>#DIV/0!</v>
      </c>
      <c r="AK177" s="22"/>
      <c r="AL177" s="22"/>
      <c r="AM177" s="29" t="e">
        <f t="shared" si="102"/>
        <v>#DIV/0!</v>
      </c>
      <c r="AN177" s="22">
        <f t="shared" si="103"/>
        <v>0</v>
      </c>
      <c r="AO177" s="22">
        <f t="shared" si="103"/>
        <v>0</v>
      </c>
      <c r="AP177" s="29" t="e">
        <f t="shared" si="104"/>
        <v>#DIV/0!</v>
      </c>
      <c r="AQ177" s="22"/>
      <c r="AR177" s="22">
        <v>3027</v>
      </c>
      <c r="AS177" s="29" t="e">
        <f t="shared" si="105"/>
        <v>#DIV/0!</v>
      </c>
      <c r="AT177" s="22">
        <f t="shared" si="106"/>
        <v>0</v>
      </c>
      <c r="AU177" s="22">
        <f t="shared" si="106"/>
        <v>3027</v>
      </c>
      <c r="AV177" s="29" t="e">
        <f t="shared" si="107"/>
        <v>#DIV/0!</v>
      </c>
      <c r="AW177" s="38"/>
      <c r="AX177" s="38"/>
      <c r="AY177" s="29" t="e">
        <f t="shared" si="108"/>
        <v>#DIV/0!</v>
      </c>
      <c r="AZ177" s="38">
        <f t="shared" si="109"/>
        <v>0</v>
      </c>
      <c r="BA177" s="38">
        <f t="shared" si="109"/>
        <v>3027</v>
      </c>
      <c r="BB177" s="29" t="e">
        <f t="shared" si="110"/>
        <v>#DIV/0!</v>
      </c>
      <c r="BC177" s="38"/>
      <c r="BD177" s="38"/>
      <c r="BE177" s="29" t="e">
        <f t="shared" si="111"/>
        <v>#DIV/0!</v>
      </c>
      <c r="BF177" s="38">
        <f t="shared" si="112"/>
        <v>0</v>
      </c>
      <c r="BG177" s="38">
        <f t="shared" si="112"/>
        <v>3027</v>
      </c>
      <c r="BH177" s="29" t="e">
        <f t="shared" si="113"/>
        <v>#DIV/0!</v>
      </c>
      <c r="BI177" s="102"/>
      <c r="BJ177" s="85"/>
      <c r="BK177" s="22">
        <v>7362</v>
      </c>
      <c r="BL177" s="22">
        <v>7362</v>
      </c>
      <c r="BM177" s="96" t="e">
        <f t="shared" si="114"/>
        <v>#DIV/0!</v>
      </c>
      <c r="BN177" s="22"/>
      <c r="BO177" s="22"/>
    </row>
    <row r="178" spans="1:67">
      <c r="A178" s="80" t="s">
        <v>29</v>
      </c>
      <c r="B178" s="80" t="s">
        <v>29</v>
      </c>
      <c r="C178" s="109" t="s">
        <v>288</v>
      </c>
      <c r="D178" s="22" t="s">
        <v>61</v>
      </c>
      <c r="E178" s="33" t="s">
        <v>61</v>
      </c>
      <c r="F178" s="33"/>
      <c r="G178" s="33"/>
      <c r="H178" s="22" t="s">
        <v>223</v>
      </c>
      <c r="I178" s="110">
        <v>0</v>
      </c>
      <c r="J178" s="111"/>
      <c r="K178" s="111"/>
      <c r="L178" s="29"/>
      <c r="M178" s="22"/>
      <c r="N178" s="22"/>
      <c r="O178" s="29"/>
      <c r="P178" s="22"/>
      <c r="Q178" s="22"/>
      <c r="R178" s="29"/>
      <c r="S178" s="38"/>
      <c r="T178" s="38">
        <v>23457</v>
      </c>
      <c r="U178" s="29" t="e">
        <f t="shared" ref="U178:U181" si="115">T178/S178-1</f>
        <v>#DIV/0!</v>
      </c>
      <c r="V178" s="38">
        <f t="shared" ref="V178:W181" si="116">S178+P178</f>
        <v>0</v>
      </c>
      <c r="W178" s="38">
        <f t="shared" si="116"/>
        <v>23457</v>
      </c>
      <c r="X178" s="29" t="e">
        <f t="shared" ref="X178:X181" si="117">W178/V178-1</f>
        <v>#DIV/0!</v>
      </c>
      <c r="Y178" s="22"/>
      <c r="Z178" s="22">
        <v>90</v>
      </c>
      <c r="AA178" s="29" t="e">
        <f t="shared" ref="AA178:AA181" si="118">Z178/Y178-1</f>
        <v>#DIV/0!</v>
      </c>
      <c r="AB178" s="22">
        <f t="shared" ref="AB178:AC181" si="119">Y178+V178</f>
        <v>0</v>
      </c>
      <c r="AC178" s="22">
        <f t="shared" si="119"/>
        <v>23547</v>
      </c>
      <c r="AD178" s="29" t="e">
        <f t="shared" ref="AD178:AD181" si="120">AC178/AB178-1</f>
        <v>#DIV/0!</v>
      </c>
      <c r="AE178" s="22"/>
      <c r="AF178" s="22"/>
      <c r="AG178" s="29" t="e">
        <f t="shared" ref="AG178:AG185" si="121">AF178/AE178-1</f>
        <v>#DIV/0!</v>
      </c>
      <c r="AH178" s="22">
        <f t="shared" ref="AH178:AI185" si="122">AE178+AB178</f>
        <v>0</v>
      </c>
      <c r="AI178" s="22">
        <f t="shared" si="122"/>
        <v>23547</v>
      </c>
      <c r="AJ178" s="29" t="e">
        <f t="shared" ref="AJ178:AJ185" si="123">AI178/AH178-1</f>
        <v>#DIV/0!</v>
      </c>
      <c r="AK178" s="22"/>
      <c r="AL178" s="22"/>
      <c r="AM178" s="29" t="e">
        <f t="shared" ref="AM178:AM185" si="124">AL178/AK178-1</f>
        <v>#DIV/0!</v>
      </c>
      <c r="AN178" s="22">
        <f t="shared" ref="AN178:AO185" si="125">AK178+AH178</f>
        <v>0</v>
      </c>
      <c r="AO178" s="22">
        <f t="shared" si="125"/>
        <v>23547</v>
      </c>
      <c r="AP178" s="29" t="e">
        <f t="shared" ref="AP178:AP185" si="126">AO178/AN178-1</f>
        <v>#DIV/0!</v>
      </c>
      <c r="AQ178" s="22"/>
      <c r="AR178" s="22"/>
      <c r="AS178" s="29" t="e">
        <f t="shared" ref="AS178:AS186" si="127">AR178/AQ178-1</f>
        <v>#DIV/0!</v>
      </c>
      <c r="AT178" s="22">
        <f t="shared" ref="AT178:AU186" si="128">AQ178+AN178</f>
        <v>0</v>
      </c>
      <c r="AU178" s="22">
        <f t="shared" si="128"/>
        <v>23547</v>
      </c>
      <c r="AV178" s="29" t="e">
        <f t="shared" ref="AV178:AV186" si="129">AU178/AT178-1</f>
        <v>#DIV/0!</v>
      </c>
      <c r="AW178" s="38"/>
      <c r="AX178" s="38"/>
      <c r="AY178" s="29" t="e">
        <f t="shared" ref="AY178:AY186" si="130">AX178/AW178-1</f>
        <v>#DIV/0!</v>
      </c>
      <c r="AZ178" s="38">
        <f t="shared" ref="AZ178:BA186" si="131">AW178+AT178</f>
        <v>0</v>
      </c>
      <c r="BA178" s="38">
        <f t="shared" si="131"/>
        <v>23547</v>
      </c>
      <c r="BB178" s="29" t="e">
        <f t="shared" ref="BB178:BB186" si="132">BA178/AZ178-1</f>
        <v>#DIV/0!</v>
      </c>
      <c r="BC178" s="38"/>
      <c r="BD178" s="38"/>
      <c r="BE178" s="29" t="e">
        <f t="shared" ref="BE178:BE190" si="133">BD178/BC178-1</f>
        <v>#DIV/0!</v>
      </c>
      <c r="BF178" s="38">
        <f t="shared" ref="BF178:BG189" si="134">BC178+AZ178</f>
        <v>0</v>
      </c>
      <c r="BG178" s="38">
        <f t="shared" si="134"/>
        <v>23547</v>
      </c>
      <c r="BH178" s="29" t="e">
        <f t="shared" ref="BH178:BH190" si="135">BG178/BF178-1</f>
        <v>#DIV/0!</v>
      </c>
      <c r="BI178" s="102"/>
      <c r="BJ178" s="85"/>
      <c r="BK178" s="22"/>
      <c r="BL178" s="22"/>
      <c r="BM178" s="96" t="e">
        <f t="shared" ref="BM178:BM190" si="136">BG178/10000/I178</f>
        <v>#DIV/0!</v>
      </c>
      <c r="BN178" s="22"/>
      <c r="BO178" s="22"/>
    </row>
    <row r="179" spans="1:67">
      <c r="A179" s="80" t="s">
        <v>29</v>
      </c>
      <c r="B179" s="80" t="s">
        <v>29</v>
      </c>
      <c r="C179" s="109" t="s">
        <v>289</v>
      </c>
      <c r="D179" s="22" t="s">
        <v>287</v>
      </c>
      <c r="E179" s="33" t="s">
        <v>61</v>
      </c>
      <c r="F179" s="33" t="s">
        <v>226</v>
      </c>
      <c r="G179" s="33" t="s">
        <v>226</v>
      </c>
      <c r="H179" s="22" t="s">
        <v>214</v>
      </c>
      <c r="I179" s="110"/>
      <c r="J179" s="111"/>
      <c r="K179" s="111">
        <v>3081</v>
      </c>
      <c r="L179" s="29" t="e">
        <f>K179/J179-1</f>
        <v>#DIV/0!</v>
      </c>
      <c r="M179" s="22"/>
      <c r="N179" s="22"/>
      <c r="O179" s="29" t="e">
        <f>N179/M179-1</f>
        <v>#DIV/0!</v>
      </c>
      <c r="P179" s="22">
        <f>M179+J179</f>
        <v>0</v>
      </c>
      <c r="Q179" s="22">
        <f>N179+K179</f>
        <v>3081</v>
      </c>
      <c r="R179" s="29" t="e">
        <f>Q179/P179-1</f>
        <v>#DIV/0!</v>
      </c>
      <c r="S179" s="38"/>
      <c r="T179" s="38"/>
      <c r="U179" s="29" t="e">
        <f t="shared" si="115"/>
        <v>#DIV/0!</v>
      </c>
      <c r="V179" s="38">
        <f t="shared" si="116"/>
        <v>0</v>
      </c>
      <c r="W179" s="38">
        <f t="shared" si="116"/>
        <v>3081</v>
      </c>
      <c r="X179" s="29" t="e">
        <f t="shared" si="117"/>
        <v>#DIV/0!</v>
      </c>
      <c r="Y179" s="22"/>
      <c r="Z179" s="22">
        <v>18653</v>
      </c>
      <c r="AA179" s="29" t="e">
        <f t="shared" si="118"/>
        <v>#DIV/0!</v>
      </c>
      <c r="AB179" s="22">
        <f t="shared" si="119"/>
        <v>0</v>
      </c>
      <c r="AC179" s="22">
        <f t="shared" si="119"/>
        <v>21734</v>
      </c>
      <c r="AD179" s="29" t="e">
        <f t="shared" si="120"/>
        <v>#DIV/0!</v>
      </c>
      <c r="AE179" s="22"/>
      <c r="AF179" s="22">
        <v>7102</v>
      </c>
      <c r="AG179" s="29" t="e">
        <f t="shared" si="121"/>
        <v>#DIV/0!</v>
      </c>
      <c r="AH179" s="22">
        <f t="shared" si="122"/>
        <v>0</v>
      </c>
      <c r="AI179" s="22">
        <f t="shared" si="122"/>
        <v>28836</v>
      </c>
      <c r="AJ179" s="29" t="e">
        <f t="shared" si="123"/>
        <v>#DIV/0!</v>
      </c>
      <c r="AK179" s="22"/>
      <c r="AL179" s="22">
        <v>24314</v>
      </c>
      <c r="AM179" s="29" t="e">
        <f t="shared" si="124"/>
        <v>#DIV/0!</v>
      </c>
      <c r="AN179" s="22">
        <f t="shared" si="125"/>
        <v>0</v>
      </c>
      <c r="AO179" s="22">
        <f t="shared" si="125"/>
        <v>53150</v>
      </c>
      <c r="AP179" s="29" t="e">
        <f t="shared" si="126"/>
        <v>#DIV/0!</v>
      </c>
      <c r="AQ179" s="22"/>
      <c r="AR179" s="22">
        <v>18974</v>
      </c>
      <c r="AS179" s="29" t="e">
        <f t="shared" si="127"/>
        <v>#DIV/0!</v>
      </c>
      <c r="AT179" s="22">
        <f t="shared" si="128"/>
        <v>0</v>
      </c>
      <c r="AU179" s="22">
        <f t="shared" si="128"/>
        <v>72124</v>
      </c>
      <c r="AV179" s="29" t="e">
        <f t="shared" si="129"/>
        <v>#DIV/0!</v>
      </c>
      <c r="AW179" s="38"/>
      <c r="AX179" s="38"/>
      <c r="AY179" s="29" t="e">
        <f t="shared" si="130"/>
        <v>#DIV/0!</v>
      </c>
      <c r="AZ179" s="38">
        <f t="shared" si="131"/>
        <v>0</v>
      </c>
      <c r="BA179" s="38">
        <f t="shared" si="131"/>
        <v>72124</v>
      </c>
      <c r="BB179" s="29" t="e">
        <f t="shared" si="132"/>
        <v>#DIV/0!</v>
      </c>
      <c r="BC179" s="38"/>
      <c r="BD179" s="38">
        <v>24920</v>
      </c>
      <c r="BE179" s="29" t="e">
        <f t="shared" si="133"/>
        <v>#DIV/0!</v>
      </c>
      <c r="BF179" s="38">
        <f t="shared" si="134"/>
        <v>0</v>
      </c>
      <c r="BG179" s="38">
        <f t="shared" si="134"/>
        <v>97044</v>
      </c>
      <c r="BH179" s="29" t="e">
        <f t="shared" si="135"/>
        <v>#DIV/0!</v>
      </c>
      <c r="BI179" s="102"/>
      <c r="BJ179" s="85"/>
      <c r="BK179" s="22"/>
      <c r="BL179" s="22"/>
      <c r="BM179" s="96" t="e">
        <f t="shared" si="136"/>
        <v>#DIV/0!</v>
      </c>
      <c r="BN179" s="22"/>
      <c r="BO179" s="22"/>
    </row>
    <row r="180" spans="1:67">
      <c r="A180" s="61" t="s">
        <v>29</v>
      </c>
      <c r="B180" s="61" t="s">
        <v>29</v>
      </c>
      <c r="C180" s="60" t="s">
        <v>290</v>
      </c>
      <c r="D180" s="61" t="s">
        <v>114</v>
      </c>
      <c r="E180" s="61" t="s">
        <v>114</v>
      </c>
      <c r="F180" s="177" t="s">
        <v>232</v>
      </c>
      <c r="G180" s="178" t="s">
        <v>232</v>
      </c>
      <c r="H180" s="61" t="s">
        <v>223</v>
      </c>
      <c r="I180" s="110"/>
      <c r="J180" s="111"/>
      <c r="K180" s="111"/>
      <c r="L180" s="29"/>
      <c r="M180" s="22"/>
      <c r="N180" s="22"/>
      <c r="O180" s="29"/>
      <c r="P180" s="22"/>
      <c r="Q180" s="22"/>
      <c r="R180" s="29"/>
      <c r="S180" s="38"/>
      <c r="T180" s="38">
        <v>20000</v>
      </c>
      <c r="U180" s="29" t="e">
        <f t="shared" si="115"/>
        <v>#DIV/0!</v>
      </c>
      <c r="V180" s="38">
        <f t="shared" si="116"/>
        <v>0</v>
      </c>
      <c r="W180" s="38">
        <f t="shared" si="116"/>
        <v>20000</v>
      </c>
      <c r="X180" s="29" t="e">
        <f t="shared" si="117"/>
        <v>#DIV/0!</v>
      </c>
      <c r="Y180" s="22"/>
      <c r="Z180" s="22"/>
      <c r="AA180" s="29" t="e">
        <f t="shared" si="118"/>
        <v>#DIV/0!</v>
      </c>
      <c r="AB180" s="22">
        <f t="shared" si="119"/>
        <v>0</v>
      </c>
      <c r="AC180" s="22">
        <f t="shared" si="119"/>
        <v>20000</v>
      </c>
      <c r="AD180" s="29" t="e">
        <f t="shared" si="120"/>
        <v>#DIV/0!</v>
      </c>
      <c r="AE180" s="22"/>
      <c r="AF180" s="22"/>
      <c r="AG180" s="29" t="e">
        <f t="shared" si="121"/>
        <v>#DIV/0!</v>
      </c>
      <c r="AH180" s="22">
        <f t="shared" si="122"/>
        <v>0</v>
      </c>
      <c r="AI180" s="22">
        <f t="shared" si="122"/>
        <v>20000</v>
      </c>
      <c r="AJ180" s="29" t="e">
        <f t="shared" si="123"/>
        <v>#DIV/0!</v>
      </c>
      <c r="AK180" s="22"/>
      <c r="AL180" s="22"/>
      <c r="AM180" s="29" t="e">
        <f t="shared" si="124"/>
        <v>#DIV/0!</v>
      </c>
      <c r="AN180" s="22">
        <f t="shared" si="125"/>
        <v>0</v>
      </c>
      <c r="AO180" s="22">
        <f t="shared" si="125"/>
        <v>20000</v>
      </c>
      <c r="AP180" s="29" t="e">
        <f t="shared" si="126"/>
        <v>#DIV/0!</v>
      </c>
      <c r="AQ180" s="22"/>
      <c r="AR180" s="22"/>
      <c r="AS180" s="29" t="e">
        <f t="shared" si="127"/>
        <v>#DIV/0!</v>
      </c>
      <c r="AT180" s="22">
        <f t="shared" si="128"/>
        <v>0</v>
      </c>
      <c r="AU180" s="22">
        <f t="shared" si="128"/>
        <v>20000</v>
      </c>
      <c r="AV180" s="29" t="e">
        <f t="shared" si="129"/>
        <v>#DIV/0!</v>
      </c>
      <c r="AW180" s="38"/>
      <c r="AX180" s="38"/>
      <c r="AY180" s="29" t="e">
        <f t="shared" si="130"/>
        <v>#DIV/0!</v>
      </c>
      <c r="AZ180" s="38">
        <f t="shared" si="131"/>
        <v>0</v>
      </c>
      <c r="BA180" s="38">
        <f t="shared" si="131"/>
        <v>20000</v>
      </c>
      <c r="BB180" s="29" t="e">
        <f t="shared" si="132"/>
        <v>#DIV/0!</v>
      </c>
      <c r="BC180" s="38"/>
      <c r="BD180" s="38"/>
      <c r="BE180" s="29" t="e">
        <f t="shared" si="133"/>
        <v>#DIV/0!</v>
      </c>
      <c r="BF180" s="38">
        <f t="shared" si="134"/>
        <v>0</v>
      </c>
      <c r="BG180" s="38">
        <f t="shared" si="134"/>
        <v>20000</v>
      </c>
      <c r="BH180" s="29" t="e">
        <f t="shared" si="135"/>
        <v>#DIV/0!</v>
      </c>
      <c r="BI180" s="102"/>
      <c r="BJ180" s="85"/>
      <c r="BK180" s="22"/>
      <c r="BL180" s="22"/>
      <c r="BM180" s="96" t="e">
        <f t="shared" si="136"/>
        <v>#DIV/0!</v>
      </c>
      <c r="BN180" s="22"/>
      <c r="BO180" s="22"/>
    </row>
    <row r="181" spans="1:67">
      <c r="A181" s="61" t="s">
        <v>29</v>
      </c>
      <c r="B181" s="61" t="s">
        <v>29</v>
      </c>
      <c r="C181" s="60" t="s">
        <v>291</v>
      </c>
      <c r="D181" s="61" t="s">
        <v>61</v>
      </c>
      <c r="E181" s="61" t="s">
        <v>61</v>
      </c>
      <c r="F181" s="61" t="s">
        <v>226</v>
      </c>
      <c r="G181" s="52" t="s">
        <v>226</v>
      </c>
      <c r="H181" s="61" t="s">
        <v>214</v>
      </c>
      <c r="I181" s="110"/>
      <c r="J181" s="111"/>
      <c r="K181" s="111"/>
      <c r="L181" s="29"/>
      <c r="M181" s="22"/>
      <c r="N181" s="22"/>
      <c r="O181" s="29"/>
      <c r="P181" s="22"/>
      <c r="Q181" s="22"/>
      <c r="R181" s="29"/>
      <c r="S181" s="38"/>
      <c r="T181" s="38">
        <v>4305</v>
      </c>
      <c r="U181" s="29" t="e">
        <f t="shared" si="115"/>
        <v>#DIV/0!</v>
      </c>
      <c r="V181" s="38">
        <f t="shared" si="116"/>
        <v>0</v>
      </c>
      <c r="W181" s="38">
        <f t="shared" si="116"/>
        <v>4305</v>
      </c>
      <c r="X181" s="29" t="e">
        <f t="shared" si="117"/>
        <v>#DIV/0!</v>
      </c>
      <c r="Y181" s="22"/>
      <c r="Z181" s="22"/>
      <c r="AA181" s="29" t="e">
        <f t="shared" si="118"/>
        <v>#DIV/0!</v>
      </c>
      <c r="AB181" s="22">
        <f t="shared" si="119"/>
        <v>0</v>
      </c>
      <c r="AC181" s="22">
        <f t="shared" si="119"/>
        <v>4305</v>
      </c>
      <c r="AD181" s="29" t="e">
        <f t="shared" si="120"/>
        <v>#DIV/0!</v>
      </c>
      <c r="AE181" s="22"/>
      <c r="AF181" s="22"/>
      <c r="AG181" s="29" t="e">
        <f t="shared" si="121"/>
        <v>#DIV/0!</v>
      </c>
      <c r="AH181" s="22">
        <f t="shared" si="122"/>
        <v>0</v>
      </c>
      <c r="AI181" s="22">
        <f t="shared" si="122"/>
        <v>4305</v>
      </c>
      <c r="AJ181" s="29" t="e">
        <f t="shared" si="123"/>
        <v>#DIV/0!</v>
      </c>
      <c r="AK181" s="22"/>
      <c r="AL181" s="22"/>
      <c r="AM181" s="29" t="e">
        <f t="shared" si="124"/>
        <v>#DIV/0!</v>
      </c>
      <c r="AN181" s="22">
        <f t="shared" si="125"/>
        <v>0</v>
      </c>
      <c r="AO181" s="22">
        <f t="shared" si="125"/>
        <v>4305</v>
      </c>
      <c r="AP181" s="29" t="e">
        <f t="shared" si="126"/>
        <v>#DIV/0!</v>
      </c>
      <c r="AQ181" s="22"/>
      <c r="AR181" s="22"/>
      <c r="AS181" s="29" t="e">
        <f t="shared" si="127"/>
        <v>#DIV/0!</v>
      </c>
      <c r="AT181" s="22">
        <f t="shared" si="128"/>
        <v>0</v>
      </c>
      <c r="AU181" s="22">
        <f t="shared" si="128"/>
        <v>4305</v>
      </c>
      <c r="AV181" s="29" t="e">
        <f t="shared" si="129"/>
        <v>#DIV/0!</v>
      </c>
      <c r="AW181" s="38"/>
      <c r="AX181" s="38"/>
      <c r="AY181" s="29" t="e">
        <f t="shared" si="130"/>
        <v>#DIV/0!</v>
      </c>
      <c r="AZ181" s="38">
        <f t="shared" si="131"/>
        <v>0</v>
      </c>
      <c r="BA181" s="38">
        <f t="shared" si="131"/>
        <v>4305</v>
      </c>
      <c r="BB181" s="29" t="e">
        <f t="shared" si="132"/>
        <v>#DIV/0!</v>
      </c>
      <c r="BC181" s="38"/>
      <c r="BD181" s="38"/>
      <c r="BE181" s="29" t="e">
        <f t="shared" si="133"/>
        <v>#DIV/0!</v>
      </c>
      <c r="BF181" s="38">
        <f t="shared" si="134"/>
        <v>0</v>
      </c>
      <c r="BG181" s="38">
        <f t="shared" si="134"/>
        <v>4305</v>
      </c>
      <c r="BH181" s="29" t="e">
        <f t="shared" si="135"/>
        <v>#DIV/0!</v>
      </c>
      <c r="BI181" s="102"/>
      <c r="BJ181" s="85"/>
      <c r="BK181" s="22"/>
      <c r="BL181" s="22"/>
      <c r="BM181" s="96" t="e">
        <f t="shared" si="136"/>
        <v>#DIV/0!</v>
      </c>
      <c r="BN181" s="22"/>
      <c r="BO181" s="22"/>
    </row>
    <row r="182" spans="1:67">
      <c r="A182" s="61" t="s">
        <v>29</v>
      </c>
      <c r="B182" s="61" t="s">
        <v>29</v>
      </c>
      <c r="C182" s="60" t="s">
        <v>292</v>
      </c>
      <c r="D182" s="61" t="s">
        <v>79</v>
      </c>
      <c r="E182" s="61" t="s">
        <v>79</v>
      </c>
      <c r="F182" s="61" t="s">
        <v>217</v>
      </c>
      <c r="G182" s="52"/>
      <c r="H182" s="61" t="s">
        <v>219</v>
      </c>
      <c r="I182" s="110"/>
      <c r="J182" s="111"/>
      <c r="K182" s="111"/>
      <c r="L182" s="29"/>
      <c r="M182" s="22"/>
      <c r="N182" s="22"/>
      <c r="O182" s="29"/>
      <c r="P182" s="22"/>
      <c r="Q182" s="22"/>
      <c r="R182" s="29"/>
      <c r="S182" s="38"/>
      <c r="T182" s="38"/>
      <c r="U182" s="29"/>
      <c r="V182" s="38"/>
      <c r="W182" s="38"/>
      <c r="X182" s="29"/>
      <c r="Y182" s="22"/>
      <c r="Z182" s="22"/>
      <c r="AA182" s="29"/>
      <c r="AB182" s="22"/>
      <c r="AC182" s="22"/>
      <c r="AD182" s="29"/>
      <c r="AE182" s="22"/>
      <c r="AF182" s="22">
        <v>194929.35</v>
      </c>
      <c r="AG182" s="29" t="e">
        <f t="shared" si="121"/>
        <v>#DIV/0!</v>
      </c>
      <c r="AH182" s="22">
        <f t="shared" si="122"/>
        <v>0</v>
      </c>
      <c r="AI182" s="22">
        <f t="shared" si="122"/>
        <v>194929.35</v>
      </c>
      <c r="AJ182" s="29" t="e">
        <f t="shared" si="123"/>
        <v>#DIV/0!</v>
      </c>
      <c r="AK182" s="22"/>
      <c r="AL182" s="22">
        <v>214386.54</v>
      </c>
      <c r="AM182" s="29" t="e">
        <f t="shared" si="124"/>
        <v>#DIV/0!</v>
      </c>
      <c r="AN182" s="22">
        <f t="shared" si="125"/>
        <v>0</v>
      </c>
      <c r="AO182" s="22">
        <f t="shared" si="125"/>
        <v>409315.89</v>
      </c>
      <c r="AP182" s="29" t="e">
        <f t="shared" si="126"/>
        <v>#DIV/0!</v>
      </c>
      <c r="AQ182" s="22"/>
      <c r="AR182" s="22">
        <v>198566.8</v>
      </c>
      <c r="AS182" s="29" t="e">
        <f t="shared" si="127"/>
        <v>#DIV/0!</v>
      </c>
      <c r="AT182" s="22">
        <f t="shared" si="128"/>
        <v>0</v>
      </c>
      <c r="AU182" s="22">
        <f t="shared" si="128"/>
        <v>607882.68999999994</v>
      </c>
      <c r="AV182" s="29" t="e">
        <f t="shared" si="129"/>
        <v>#DIV/0!</v>
      </c>
      <c r="AW182" s="38"/>
      <c r="AX182" s="38"/>
      <c r="AY182" s="29" t="e">
        <f t="shared" si="130"/>
        <v>#DIV/0!</v>
      </c>
      <c r="AZ182" s="38">
        <f t="shared" si="131"/>
        <v>0</v>
      </c>
      <c r="BA182" s="38">
        <f t="shared" si="131"/>
        <v>607882.68999999994</v>
      </c>
      <c r="BB182" s="29" t="e">
        <f t="shared" si="132"/>
        <v>#DIV/0!</v>
      </c>
      <c r="BC182" s="38"/>
      <c r="BD182" s="38">
        <v>0.03</v>
      </c>
      <c r="BE182" s="29" t="e">
        <f t="shared" si="133"/>
        <v>#DIV/0!</v>
      </c>
      <c r="BF182" s="38">
        <f t="shared" si="134"/>
        <v>0</v>
      </c>
      <c r="BG182" s="38">
        <f t="shared" si="134"/>
        <v>607882.72</v>
      </c>
      <c r="BH182" s="29" t="e">
        <f t="shared" si="135"/>
        <v>#DIV/0!</v>
      </c>
      <c r="BI182" s="102"/>
      <c r="BJ182" s="85"/>
      <c r="BK182" s="22"/>
      <c r="BL182" s="22"/>
      <c r="BM182" s="96" t="e">
        <f t="shared" si="136"/>
        <v>#DIV/0!</v>
      </c>
      <c r="BN182" s="22"/>
      <c r="BO182" s="22"/>
    </row>
    <row r="183" spans="1:67">
      <c r="A183" s="61" t="s">
        <v>29</v>
      </c>
      <c r="B183" s="61" t="s">
        <v>29</v>
      </c>
      <c r="C183" s="60" t="s">
        <v>293</v>
      </c>
      <c r="D183" s="22" t="s">
        <v>294</v>
      </c>
      <c r="E183" s="61" t="s">
        <v>61</v>
      </c>
      <c r="F183" s="61" t="s">
        <v>217</v>
      </c>
      <c r="G183" s="52"/>
      <c r="H183" s="61" t="s">
        <v>219</v>
      </c>
      <c r="I183" s="110"/>
      <c r="J183" s="111"/>
      <c r="K183" s="111"/>
      <c r="L183" s="29"/>
      <c r="M183" s="22"/>
      <c r="N183" s="22"/>
      <c r="O183" s="29"/>
      <c r="P183" s="22"/>
      <c r="Q183" s="22"/>
      <c r="R183" s="29"/>
      <c r="S183" s="38"/>
      <c r="T183" s="38"/>
      <c r="U183" s="29"/>
      <c r="V183" s="38"/>
      <c r="W183" s="38"/>
      <c r="X183" s="29"/>
      <c r="Y183" s="22"/>
      <c r="Z183" s="22"/>
      <c r="AA183" s="29"/>
      <c r="AB183" s="22"/>
      <c r="AC183" s="22"/>
      <c r="AD183" s="29"/>
      <c r="AE183" s="22"/>
      <c r="AF183" s="22">
        <v>2196</v>
      </c>
      <c r="AG183" s="29" t="e">
        <f t="shared" si="121"/>
        <v>#DIV/0!</v>
      </c>
      <c r="AH183" s="22">
        <f t="shared" si="122"/>
        <v>0</v>
      </c>
      <c r="AI183" s="22">
        <f t="shared" si="122"/>
        <v>2196</v>
      </c>
      <c r="AJ183" s="29" t="e">
        <f t="shared" si="123"/>
        <v>#DIV/0!</v>
      </c>
      <c r="AK183" s="22"/>
      <c r="AL183" s="22"/>
      <c r="AM183" s="29" t="e">
        <f t="shared" si="124"/>
        <v>#DIV/0!</v>
      </c>
      <c r="AN183" s="22">
        <f t="shared" si="125"/>
        <v>0</v>
      </c>
      <c r="AO183" s="22">
        <f t="shared" si="125"/>
        <v>2196</v>
      </c>
      <c r="AP183" s="29" t="e">
        <f t="shared" si="126"/>
        <v>#DIV/0!</v>
      </c>
      <c r="AQ183" s="22"/>
      <c r="AR183" s="22"/>
      <c r="AS183" s="29" t="e">
        <f t="shared" si="127"/>
        <v>#DIV/0!</v>
      </c>
      <c r="AT183" s="22">
        <f t="shared" si="128"/>
        <v>0</v>
      </c>
      <c r="AU183" s="22">
        <f t="shared" si="128"/>
        <v>2196</v>
      </c>
      <c r="AV183" s="29" t="e">
        <f t="shared" si="129"/>
        <v>#DIV/0!</v>
      </c>
      <c r="AW183" s="38"/>
      <c r="AX183" s="38"/>
      <c r="AY183" s="29" t="e">
        <f t="shared" si="130"/>
        <v>#DIV/0!</v>
      </c>
      <c r="AZ183" s="38">
        <f t="shared" si="131"/>
        <v>0</v>
      </c>
      <c r="BA183" s="38">
        <f t="shared" si="131"/>
        <v>2196</v>
      </c>
      <c r="BB183" s="29" t="e">
        <f t="shared" si="132"/>
        <v>#DIV/0!</v>
      </c>
      <c r="BC183" s="38"/>
      <c r="BD183" s="38"/>
      <c r="BE183" s="29" t="e">
        <f t="shared" si="133"/>
        <v>#DIV/0!</v>
      </c>
      <c r="BF183" s="38">
        <f t="shared" si="134"/>
        <v>0</v>
      </c>
      <c r="BG183" s="38">
        <f t="shared" si="134"/>
        <v>2196</v>
      </c>
      <c r="BH183" s="29" t="e">
        <f t="shared" si="135"/>
        <v>#DIV/0!</v>
      </c>
      <c r="BI183" s="102"/>
      <c r="BJ183" s="85"/>
      <c r="BK183" s="22"/>
      <c r="BL183" s="22"/>
      <c r="BM183" s="96" t="e">
        <f t="shared" si="136"/>
        <v>#DIV/0!</v>
      </c>
      <c r="BN183" s="22"/>
      <c r="BO183" s="22"/>
    </row>
    <row r="184" spans="1:67">
      <c r="A184" s="61" t="s">
        <v>29</v>
      </c>
      <c r="B184" s="61" t="s">
        <v>29</v>
      </c>
      <c r="C184" s="60" t="s">
        <v>295</v>
      </c>
      <c r="D184" s="22" t="s">
        <v>61</v>
      </c>
      <c r="E184" s="61" t="s">
        <v>61</v>
      </c>
      <c r="F184" s="61" t="s">
        <v>226</v>
      </c>
      <c r="G184" s="52"/>
      <c r="H184" s="61" t="s">
        <v>214</v>
      </c>
      <c r="I184" s="110"/>
      <c r="J184" s="111"/>
      <c r="K184" s="111"/>
      <c r="L184" s="29"/>
      <c r="M184" s="22"/>
      <c r="N184" s="22"/>
      <c r="O184" s="29"/>
      <c r="P184" s="22"/>
      <c r="Q184" s="22"/>
      <c r="R184" s="29"/>
      <c r="S184" s="38"/>
      <c r="T184" s="38"/>
      <c r="U184" s="29"/>
      <c r="V184" s="38"/>
      <c r="W184" s="38"/>
      <c r="X184" s="29"/>
      <c r="Y184" s="22"/>
      <c r="Z184" s="22"/>
      <c r="AA184" s="29"/>
      <c r="AB184" s="22"/>
      <c r="AC184" s="22"/>
      <c r="AD184" s="29"/>
      <c r="AE184" s="22"/>
      <c r="AF184" s="22">
        <v>6252</v>
      </c>
      <c r="AG184" s="29" t="e">
        <f t="shared" si="121"/>
        <v>#DIV/0!</v>
      </c>
      <c r="AH184" s="22">
        <f t="shared" si="122"/>
        <v>0</v>
      </c>
      <c r="AI184" s="22">
        <f t="shared" si="122"/>
        <v>6252</v>
      </c>
      <c r="AJ184" s="29" t="e">
        <f t="shared" si="123"/>
        <v>#DIV/0!</v>
      </c>
      <c r="AK184" s="22"/>
      <c r="AL184" s="22"/>
      <c r="AM184" s="29" t="e">
        <f t="shared" si="124"/>
        <v>#DIV/0!</v>
      </c>
      <c r="AN184" s="22">
        <f t="shared" si="125"/>
        <v>0</v>
      </c>
      <c r="AO184" s="22">
        <f t="shared" si="125"/>
        <v>6252</v>
      </c>
      <c r="AP184" s="29" t="e">
        <f t="shared" si="126"/>
        <v>#DIV/0!</v>
      </c>
      <c r="AQ184" s="22"/>
      <c r="AR184" s="22"/>
      <c r="AS184" s="29" t="e">
        <f t="shared" si="127"/>
        <v>#DIV/0!</v>
      </c>
      <c r="AT184" s="22">
        <f t="shared" si="128"/>
        <v>0</v>
      </c>
      <c r="AU184" s="22">
        <f t="shared" si="128"/>
        <v>6252</v>
      </c>
      <c r="AV184" s="29" t="e">
        <f t="shared" si="129"/>
        <v>#DIV/0!</v>
      </c>
      <c r="AW184" s="38"/>
      <c r="AX184" s="38"/>
      <c r="AY184" s="29" t="e">
        <f t="shared" si="130"/>
        <v>#DIV/0!</v>
      </c>
      <c r="AZ184" s="38">
        <f t="shared" si="131"/>
        <v>0</v>
      </c>
      <c r="BA184" s="38">
        <f t="shared" si="131"/>
        <v>6252</v>
      </c>
      <c r="BB184" s="29" t="e">
        <f t="shared" si="132"/>
        <v>#DIV/0!</v>
      </c>
      <c r="BC184" s="38"/>
      <c r="BD184" s="38"/>
      <c r="BE184" s="29" t="e">
        <f t="shared" si="133"/>
        <v>#DIV/0!</v>
      </c>
      <c r="BF184" s="38">
        <f t="shared" si="134"/>
        <v>0</v>
      </c>
      <c r="BG184" s="38">
        <f t="shared" si="134"/>
        <v>6252</v>
      </c>
      <c r="BH184" s="29" t="e">
        <f t="shared" si="135"/>
        <v>#DIV/0!</v>
      </c>
      <c r="BI184" s="102"/>
      <c r="BJ184" s="85"/>
      <c r="BK184" s="22"/>
      <c r="BL184" s="22"/>
      <c r="BM184" s="96" t="e">
        <f t="shared" si="136"/>
        <v>#DIV/0!</v>
      </c>
      <c r="BN184" s="22"/>
      <c r="BO184" s="22"/>
    </row>
    <row r="185" spans="1:67">
      <c r="A185" s="61" t="s">
        <v>29</v>
      </c>
      <c r="B185" s="61" t="s">
        <v>29</v>
      </c>
      <c r="C185" s="109" t="s">
        <v>296</v>
      </c>
      <c r="D185" s="22" t="s">
        <v>287</v>
      </c>
      <c r="E185" s="61" t="s">
        <v>61</v>
      </c>
      <c r="F185" s="61" t="s">
        <v>226</v>
      </c>
      <c r="G185" s="52" t="s">
        <v>226</v>
      </c>
      <c r="H185" s="61" t="s">
        <v>214</v>
      </c>
      <c r="I185" s="110"/>
      <c r="J185" s="111"/>
      <c r="K185" s="111"/>
      <c r="L185" s="29"/>
      <c r="M185" s="22"/>
      <c r="N185" s="22"/>
      <c r="O185" s="29"/>
      <c r="P185" s="22"/>
      <c r="Q185" s="22"/>
      <c r="R185" s="29"/>
      <c r="S185" s="38"/>
      <c r="T185" s="38"/>
      <c r="U185" s="38"/>
      <c r="V185" s="38"/>
      <c r="W185" s="38"/>
      <c r="X185" s="38"/>
      <c r="Y185" s="22"/>
      <c r="Z185" s="22">
        <v>3364</v>
      </c>
      <c r="AA185" s="29" t="e">
        <f>Z185/Y185-1</f>
        <v>#DIV/0!</v>
      </c>
      <c r="AB185" s="22">
        <f>Y185+V185</f>
        <v>0</v>
      </c>
      <c r="AC185" s="22">
        <f>Z185+W185</f>
        <v>3364</v>
      </c>
      <c r="AD185" s="29" t="e">
        <f>AC185/AB185-1</f>
        <v>#DIV/0!</v>
      </c>
      <c r="AE185" s="22"/>
      <c r="AF185" s="22"/>
      <c r="AG185" s="29" t="e">
        <f t="shared" si="121"/>
        <v>#DIV/0!</v>
      </c>
      <c r="AH185" s="22">
        <f t="shared" si="122"/>
        <v>0</v>
      </c>
      <c r="AI185" s="22">
        <f t="shared" si="122"/>
        <v>3364</v>
      </c>
      <c r="AJ185" s="29" t="e">
        <f t="shared" si="123"/>
        <v>#DIV/0!</v>
      </c>
      <c r="AK185" s="22"/>
      <c r="AL185" s="22"/>
      <c r="AM185" s="29" t="e">
        <f t="shared" si="124"/>
        <v>#DIV/0!</v>
      </c>
      <c r="AN185" s="22">
        <f t="shared" si="125"/>
        <v>0</v>
      </c>
      <c r="AO185" s="22">
        <f t="shared" si="125"/>
        <v>3364</v>
      </c>
      <c r="AP185" s="29" t="e">
        <f t="shared" si="126"/>
        <v>#DIV/0!</v>
      </c>
      <c r="AQ185" s="22"/>
      <c r="AR185" s="22"/>
      <c r="AS185" s="29" t="e">
        <f t="shared" si="127"/>
        <v>#DIV/0!</v>
      </c>
      <c r="AT185" s="22">
        <f t="shared" si="128"/>
        <v>0</v>
      </c>
      <c r="AU185" s="22">
        <f t="shared" si="128"/>
        <v>3364</v>
      </c>
      <c r="AV185" s="29" t="e">
        <f t="shared" si="129"/>
        <v>#DIV/0!</v>
      </c>
      <c r="AW185" s="38"/>
      <c r="AX185" s="38"/>
      <c r="AY185" s="29" t="e">
        <f t="shared" si="130"/>
        <v>#DIV/0!</v>
      </c>
      <c r="AZ185" s="38">
        <f t="shared" si="131"/>
        <v>0</v>
      </c>
      <c r="BA185" s="38">
        <f t="shared" si="131"/>
        <v>3364</v>
      </c>
      <c r="BB185" s="29" t="e">
        <f t="shared" si="132"/>
        <v>#DIV/0!</v>
      </c>
      <c r="BC185" s="38"/>
      <c r="BD185" s="38"/>
      <c r="BE185" s="29" t="e">
        <f t="shared" si="133"/>
        <v>#DIV/0!</v>
      </c>
      <c r="BF185" s="38">
        <f t="shared" si="134"/>
        <v>0</v>
      </c>
      <c r="BG185" s="38">
        <f t="shared" si="134"/>
        <v>3364</v>
      </c>
      <c r="BH185" s="29" t="e">
        <f t="shared" si="135"/>
        <v>#DIV/0!</v>
      </c>
      <c r="BI185" s="102"/>
      <c r="BJ185" s="85"/>
      <c r="BK185" s="22"/>
      <c r="BL185" s="22"/>
      <c r="BM185" s="96" t="e">
        <f t="shared" si="136"/>
        <v>#DIV/0!</v>
      </c>
      <c r="BN185" s="22"/>
      <c r="BO185" s="22"/>
    </row>
    <row r="186" spans="1:67">
      <c r="A186" s="61" t="s">
        <v>29</v>
      </c>
      <c r="B186" s="61" t="s">
        <v>29</v>
      </c>
      <c r="C186" s="109" t="s">
        <v>297</v>
      </c>
      <c r="D186" s="22" t="s">
        <v>61</v>
      </c>
      <c r="E186" s="33" t="s">
        <v>61</v>
      </c>
      <c r="F186" s="33" t="s">
        <v>232</v>
      </c>
      <c r="G186" s="33" t="s">
        <v>232</v>
      </c>
      <c r="H186" s="22" t="s">
        <v>223</v>
      </c>
      <c r="I186" s="110"/>
      <c r="J186" s="111"/>
      <c r="K186" s="111"/>
      <c r="L186" s="29"/>
      <c r="M186" s="22"/>
      <c r="N186" s="22"/>
      <c r="O186" s="29"/>
      <c r="P186" s="22"/>
      <c r="Q186" s="22"/>
      <c r="R186" s="29"/>
      <c r="S186" s="38"/>
      <c r="T186" s="38"/>
      <c r="U186" s="38"/>
      <c r="V186" s="38"/>
      <c r="W186" s="38"/>
      <c r="X186" s="38"/>
      <c r="Y186" s="22"/>
      <c r="Z186" s="22"/>
      <c r="AA186" s="29"/>
      <c r="AB186" s="22"/>
      <c r="AC186" s="22"/>
      <c r="AD186" s="29"/>
      <c r="AE186" s="22"/>
      <c r="AF186" s="22"/>
      <c r="AG186" s="29"/>
      <c r="AH186" s="22"/>
      <c r="AI186" s="22"/>
      <c r="AJ186" s="29"/>
      <c r="AK186" s="22"/>
      <c r="AL186" s="22"/>
      <c r="AM186" s="29"/>
      <c r="AN186" s="22"/>
      <c r="AO186" s="22"/>
      <c r="AP186" s="29"/>
      <c r="AQ186" s="22"/>
      <c r="AR186" s="22">
        <v>2200</v>
      </c>
      <c r="AS186" s="29" t="e">
        <f t="shared" si="127"/>
        <v>#DIV/0!</v>
      </c>
      <c r="AT186" s="22">
        <f t="shared" si="128"/>
        <v>0</v>
      </c>
      <c r="AU186" s="22">
        <f t="shared" si="128"/>
        <v>2200</v>
      </c>
      <c r="AV186" s="29" t="e">
        <f t="shared" si="129"/>
        <v>#DIV/0!</v>
      </c>
      <c r="AW186" s="38"/>
      <c r="AX186" s="38"/>
      <c r="AY186" s="29" t="e">
        <f t="shared" si="130"/>
        <v>#DIV/0!</v>
      </c>
      <c r="AZ186" s="38">
        <f t="shared" si="131"/>
        <v>0</v>
      </c>
      <c r="BA186" s="38">
        <f t="shared" si="131"/>
        <v>2200</v>
      </c>
      <c r="BB186" s="29" t="e">
        <f t="shared" si="132"/>
        <v>#DIV/0!</v>
      </c>
      <c r="BC186" s="38"/>
      <c r="BD186" s="38">
        <v>4883</v>
      </c>
      <c r="BE186" s="29" t="e">
        <f t="shared" si="133"/>
        <v>#DIV/0!</v>
      </c>
      <c r="BF186" s="38">
        <f t="shared" si="134"/>
        <v>0</v>
      </c>
      <c r="BG186" s="38">
        <f t="shared" si="134"/>
        <v>7083</v>
      </c>
      <c r="BH186" s="29" t="e">
        <f t="shared" si="135"/>
        <v>#DIV/0!</v>
      </c>
      <c r="BI186" s="102"/>
      <c r="BJ186" s="85"/>
      <c r="BK186" s="22"/>
      <c r="BL186" s="22"/>
      <c r="BM186" s="96" t="e">
        <f t="shared" si="136"/>
        <v>#DIV/0!</v>
      </c>
      <c r="BN186" s="22"/>
      <c r="BO186" s="22"/>
    </row>
    <row r="187" spans="1:67">
      <c r="A187" s="61" t="s">
        <v>29</v>
      </c>
      <c r="B187" s="61" t="s">
        <v>29</v>
      </c>
      <c r="C187" s="109" t="s">
        <v>298</v>
      </c>
      <c r="D187" s="22" t="s">
        <v>61</v>
      </c>
      <c r="E187" s="33" t="s">
        <v>61</v>
      </c>
      <c r="F187" s="33" t="s">
        <v>232</v>
      </c>
      <c r="G187" s="33" t="s">
        <v>232</v>
      </c>
      <c r="H187" s="22" t="s">
        <v>223</v>
      </c>
      <c r="I187" s="110"/>
      <c r="J187" s="111"/>
      <c r="K187" s="111"/>
      <c r="L187" s="29"/>
      <c r="M187" s="22"/>
      <c r="N187" s="22"/>
      <c r="O187" s="29"/>
      <c r="P187" s="22"/>
      <c r="Q187" s="22"/>
      <c r="R187" s="29"/>
      <c r="S187" s="38"/>
      <c r="T187" s="38"/>
      <c r="U187" s="38"/>
      <c r="V187" s="38"/>
      <c r="W187" s="38"/>
      <c r="X187" s="38"/>
      <c r="Y187" s="22"/>
      <c r="Z187" s="22"/>
      <c r="AA187" s="29"/>
      <c r="AB187" s="22"/>
      <c r="AC187" s="22"/>
      <c r="AD187" s="29"/>
      <c r="AE187" s="22"/>
      <c r="AF187" s="22"/>
      <c r="AG187" s="29"/>
      <c r="AH187" s="22"/>
      <c r="AI187" s="22"/>
      <c r="AJ187" s="29"/>
      <c r="AK187" s="22"/>
      <c r="AL187" s="22"/>
      <c r="AM187" s="29"/>
      <c r="AN187" s="22"/>
      <c r="AO187" s="22"/>
      <c r="AP187" s="29"/>
      <c r="AQ187" s="22"/>
      <c r="AR187" s="22"/>
      <c r="AS187" s="29"/>
      <c r="AT187" s="22"/>
      <c r="AU187" s="22"/>
      <c r="AV187" s="29"/>
      <c r="AW187" s="38"/>
      <c r="AX187" s="38"/>
      <c r="AY187" s="29"/>
      <c r="AZ187" s="38"/>
      <c r="BA187" s="38"/>
      <c r="BB187" s="29"/>
      <c r="BC187" s="38"/>
      <c r="BD187" s="38">
        <v>1970</v>
      </c>
      <c r="BE187" s="29" t="e">
        <f t="shared" si="133"/>
        <v>#DIV/0!</v>
      </c>
      <c r="BF187" s="38">
        <f t="shared" si="134"/>
        <v>0</v>
      </c>
      <c r="BG187" s="38">
        <f t="shared" si="134"/>
        <v>1970</v>
      </c>
      <c r="BH187" s="29" t="e">
        <f t="shared" si="135"/>
        <v>#DIV/0!</v>
      </c>
      <c r="BI187" s="102"/>
      <c r="BJ187" s="85"/>
      <c r="BK187" s="22"/>
      <c r="BL187" s="22"/>
      <c r="BM187" s="96" t="e">
        <f t="shared" si="136"/>
        <v>#DIV/0!</v>
      </c>
      <c r="BN187" s="22"/>
      <c r="BO187" s="22"/>
    </row>
    <row r="188" spans="1:67">
      <c r="A188" s="61" t="s">
        <v>29</v>
      </c>
      <c r="B188" s="61" t="s">
        <v>29</v>
      </c>
      <c r="C188" s="109" t="s">
        <v>299</v>
      </c>
      <c r="D188" s="22" t="s">
        <v>61</v>
      </c>
      <c r="E188" s="33" t="s">
        <v>61</v>
      </c>
      <c r="F188" s="33" t="s">
        <v>232</v>
      </c>
      <c r="G188" s="33" t="s">
        <v>232</v>
      </c>
      <c r="H188" s="22" t="s">
        <v>223</v>
      </c>
      <c r="I188" s="110"/>
      <c r="J188" s="111"/>
      <c r="K188" s="111"/>
      <c r="L188" s="29"/>
      <c r="M188" s="22"/>
      <c r="N188" s="22"/>
      <c r="O188" s="29"/>
      <c r="P188" s="22"/>
      <c r="Q188" s="22"/>
      <c r="R188" s="29"/>
      <c r="S188" s="38"/>
      <c r="T188" s="38"/>
      <c r="U188" s="38"/>
      <c r="V188" s="38"/>
      <c r="W188" s="38"/>
      <c r="X188" s="38"/>
      <c r="Y188" s="22"/>
      <c r="Z188" s="22"/>
      <c r="AA188" s="29"/>
      <c r="AB188" s="22"/>
      <c r="AC188" s="22"/>
      <c r="AD188" s="29"/>
      <c r="AE188" s="22"/>
      <c r="AF188" s="22"/>
      <c r="AG188" s="29"/>
      <c r="AH188" s="22"/>
      <c r="AI188" s="22"/>
      <c r="AJ188" s="29"/>
      <c r="AK188" s="22"/>
      <c r="AL188" s="22"/>
      <c r="AM188" s="29"/>
      <c r="AN188" s="22"/>
      <c r="AO188" s="22"/>
      <c r="AP188" s="29"/>
      <c r="AQ188" s="22"/>
      <c r="AR188" s="22"/>
      <c r="AS188" s="29"/>
      <c r="AT188" s="22"/>
      <c r="AU188" s="22"/>
      <c r="AV188" s="29"/>
      <c r="AW188" s="38"/>
      <c r="AX188" s="38"/>
      <c r="AY188" s="29"/>
      <c r="AZ188" s="38"/>
      <c r="BA188" s="38"/>
      <c r="BB188" s="29"/>
      <c r="BC188" s="38"/>
      <c r="BD188" s="38">
        <v>3899</v>
      </c>
      <c r="BE188" s="29" t="e">
        <f t="shared" si="133"/>
        <v>#DIV/0!</v>
      </c>
      <c r="BF188" s="38">
        <f t="shared" si="134"/>
        <v>0</v>
      </c>
      <c r="BG188" s="38">
        <f t="shared" si="134"/>
        <v>3899</v>
      </c>
      <c r="BH188" s="29" t="e">
        <f t="shared" si="135"/>
        <v>#DIV/0!</v>
      </c>
      <c r="BI188" s="102"/>
      <c r="BJ188" s="85"/>
      <c r="BK188" s="22"/>
      <c r="BL188" s="22"/>
      <c r="BM188" s="96" t="e">
        <f t="shared" si="136"/>
        <v>#DIV/0!</v>
      </c>
      <c r="BN188" s="22"/>
      <c r="BO188" s="22"/>
    </row>
    <row r="189" spans="1:67">
      <c r="A189" s="61" t="s">
        <v>29</v>
      </c>
      <c r="B189" s="61" t="s">
        <v>29</v>
      </c>
      <c r="C189" s="109" t="s">
        <v>300</v>
      </c>
      <c r="D189" s="22" t="s">
        <v>114</v>
      </c>
      <c r="E189" s="33" t="s">
        <v>114</v>
      </c>
      <c r="F189" s="33" t="s">
        <v>232</v>
      </c>
      <c r="G189" s="33" t="s">
        <v>232</v>
      </c>
      <c r="H189" s="22" t="s">
        <v>223</v>
      </c>
      <c r="I189" s="110">
        <v>10</v>
      </c>
      <c r="J189" s="111"/>
      <c r="K189" s="111"/>
      <c r="L189" s="29"/>
      <c r="M189" s="22"/>
      <c r="N189" s="22"/>
      <c r="O189" s="29"/>
      <c r="P189" s="22"/>
      <c r="Q189" s="22"/>
      <c r="R189" s="29"/>
      <c r="S189" s="38"/>
      <c r="T189" s="38"/>
      <c r="U189" s="38"/>
      <c r="V189" s="38"/>
      <c r="W189" s="38"/>
      <c r="X189" s="38"/>
      <c r="Y189" s="22"/>
      <c r="Z189" s="22"/>
      <c r="AA189" s="29"/>
      <c r="AB189" s="22"/>
      <c r="AC189" s="22"/>
      <c r="AD189" s="29"/>
      <c r="AE189" s="22"/>
      <c r="AF189" s="22"/>
      <c r="AG189" s="29"/>
      <c r="AH189" s="22"/>
      <c r="AI189" s="22"/>
      <c r="AJ189" s="29"/>
      <c r="AK189" s="22"/>
      <c r="AL189" s="22"/>
      <c r="AM189" s="29"/>
      <c r="AN189" s="22"/>
      <c r="AO189" s="22"/>
      <c r="AP189" s="29"/>
      <c r="AQ189" s="22"/>
      <c r="AR189" s="22"/>
      <c r="AS189" s="29"/>
      <c r="AT189" s="22"/>
      <c r="AU189" s="22"/>
      <c r="AV189" s="29"/>
      <c r="AW189" s="38"/>
      <c r="AX189" s="38">
        <v>4928</v>
      </c>
      <c r="AY189" s="29" t="e">
        <f>AX189/AW189-1</f>
        <v>#DIV/0!</v>
      </c>
      <c r="AZ189" s="38">
        <f>AW189+AT189</f>
        <v>0</v>
      </c>
      <c r="BA189" s="38">
        <f>AX189+AU189</f>
        <v>4928</v>
      </c>
      <c r="BB189" s="29" t="e">
        <f>BA189/AZ189-1</f>
        <v>#DIV/0!</v>
      </c>
      <c r="BC189" s="38"/>
      <c r="BD189" s="38"/>
      <c r="BE189" s="29" t="e">
        <f t="shared" si="133"/>
        <v>#DIV/0!</v>
      </c>
      <c r="BF189" s="38">
        <f t="shared" si="134"/>
        <v>0</v>
      </c>
      <c r="BG189" s="38">
        <f t="shared" si="134"/>
        <v>4928</v>
      </c>
      <c r="BH189" s="29" t="e">
        <f t="shared" si="135"/>
        <v>#DIV/0!</v>
      </c>
      <c r="BI189" s="102"/>
      <c r="BJ189" s="85"/>
      <c r="BK189" s="22"/>
      <c r="BL189" s="22"/>
      <c r="BM189" s="96">
        <f t="shared" si="136"/>
        <v>4.9280000000000004E-2</v>
      </c>
      <c r="BN189" s="22"/>
      <c r="BO189" s="22"/>
    </row>
    <row r="190" spans="1:67">
      <c r="A190" s="80" t="s">
        <v>29</v>
      </c>
      <c r="B190" s="80" t="s">
        <v>29</v>
      </c>
      <c r="C190" s="81" t="s">
        <v>36</v>
      </c>
      <c r="D190" s="33"/>
      <c r="E190" s="33"/>
      <c r="F190" s="33"/>
      <c r="G190" s="33"/>
      <c r="H190" s="33"/>
      <c r="I190" s="93">
        <f t="shared" ref="I190:K190" si="137">SUBTOTAL(9,I114:I185)</f>
        <v>1441.88</v>
      </c>
      <c r="J190" s="22">
        <f t="shared" si="137"/>
        <v>757967.7</v>
      </c>
      <c r="K190" s="22">
        <f t="shared" si="137"/>
        <v>1062811.5</v>
      </c>
      <c r="L190" s="29">
        <f>K190/J190-1</f>
        <v>0.40218573957702963</v>
      </c>
      <c r="M190" s="22">
        <f t="shared" ref="M190:Q190" si="138">SUBTOTAL(9,M114:M185)</f>
        <v>650701</v>
      </c>
      <c r="N190" s="22">
        <f t="shared" si="138"/>
        <v>653921.1</v>
      </c>
      <c r="O190" s="29">
        <f>N190/M190-1</f>
        <v>4.948663057225966E-3</v>
      </c>
      <c r="P190" s="22">
        <f t="shared" si="138"/>
        <v>1408668.7</v>
      </c>
      <c r="Q190" s="22">
        <f t="shared" si="138"/>
        <v>1716732.5999999999</v>
      </c>
      <c r="R190" s="29">
        <f>Q190/P190-1</f>
        <v>0.21869152058251884</v>
      </c>
      <c r="S190" s="22">
        <f t="shared" ref="S190:W190" si="139">SUBTOTAL(9,S114:S185)</f>
        <v>834107.08000000007</v>
      </c>
      <c r="T190" s="22">
        <f t="shared" si="139"/>
        <v>1262815.5</v>
      </c>
      <c r="U190" s="29">
        <f>T190/S190-1</f>
        <v>0.51397288223473647</v>
      </c>
      <c r="V190" s="22">
        <f t="shared" si="139"/>
        <v>2242775.7800000003</v>
      </c>
      <c r="W190" s="22">
        <f t="shared" si="139"/>
        <v>2979548.0999999996</v>
      </c>
      <c r="X190" s="29">
        <f>W190/V190-1</f>
        <v>0.32850912987833292</v>
      </c>
      <c r="Y190" s="22">
        <f t="shared" ref="Y190:AC190" si="140">SUBTOTAL(9,Y114:Y185)</f>
        <v>1174295.3999999999</v>
      </c>
      <c r="Z190" s="22">
        <f t="shared" si="140"/>
        <v>591900.56000000006</v>
      </c>
      <c r="AA190" s="29">
        <f>Z190/Y190-1</f>
        <v>-0.49595258569521761</v>
      </c>
      <c r="AB190" s="22">
        <f t="shared" si="140"/>
        <v>3417071.18</v>
      </c>
      <c r="AC190" s="22">
        <f t="shared" si="140"/>
        <v>3571448.66</v>
      </c>
      <c r="AD190" s="29">
        <f>AC190/AB190-1</f>
        <v>4.517830383621102E-2</v>
      </c>
      <c r="AE190" s="22">
        <f t="shared" ref="AE190:AI190" si="141">SUBTOTAL(9,AE114:AE185)</f>
        <v>841508.5</v>
      </c>
      <c r="AF190" s="22">
        <f t="shared" si="141"/>
        <v>1004931.65</v>
      </c>
      <c r="AG190" s="29">
        <f>AF190/AE190-1</f>
        <v>0.1942026135208379</v>
      </c>
      <c r="AH190" s="22">
        <f t="shared" si="141"/>
        <v>4258579.68</v>
      </c>
      <c r="AI190" s="22">
        <f t="shared" si="141"/>
        <v>4576380.3099999996</v>
      </c>
      <c r="AJ190" s="29">
        <f>AI190/AH190-1</f>
        <v>7.462596778276076E-2</v>
      </c>
      <c r="AK190" s="22">
        <f t="shared" ref="AK190:AO190" si="142">SUBTOTAL(9,AK114:AK185)</f>
        <v>1079235.6000000001</v>
      </c>
      <c r="AL190" s="22">
        <f t="shared" si="142"/>
        <v>1527170.6300000001</v>
      </c>
      <c r="AM190" s="29">
        <f>AL190/AK190-1</f>
        <v>0.41504841945539961</v>
      </c>
      <c r="AN190" s="22">
        <f t="shared" si="142"/>
        <v>5337815.28</v>
      </c>
      <c r="AO190" s="22">
        <f t="shared" si="142"/>
        <v>6103550.9400000004</v>
      </c>
      <c r="AP190" s="29">
        <f>AO190/AN190-1</f>
        <v>0.14345488178826593</v>
      </c>
      <c r="AQ190" s="22">
        <f>SUBTOTAL(9,AQ114:AQ185)</f>
        <v>767814</v>
      </c>
      <c r="AR190" s="22">
        <f t="shared" ref="AR190:AU190" si="143">SUBTOTAL(9,AR114:AR186)</f>
        <v>1057782.99</v>
      </c>
      <c r="AS190" s="29">
        <f>AR190/AQ190-1</f>
        <v>0.37765525244395115</v>
      </c>
      <c r="AT190" s="22">
        <f t="shared" si="143"/>
        <v>6105629.2800000003</v>
      </c>
      <c r="AU190" s="22">
        <f t="shared" si="143"/>
        <v>7161333.9300000016</v>
      </c>
      <c r="AV190" s="29">
        <f>AU190/AT190-1</f>
        <v>0.17290677202727278</v>
      </c>
      <c r="AW190" s="22">
        <f>SUBTOTAL(9,AW114:AW186)</f>
        <v>611076.9</v>
      </c>
      <c r="AX190" s="22">
        <f t="shared" ref="AX190:BA190" si="144">SUBTOTAL(9,AX114:AX189)</f>
        <v>976642.51</v>
      </c>
      <c r="AY190" s="29">
        <f>AX190/AW190-1</f>
        <v>0.59823176101076636</v>
      </c>
      <c r="AZ190" s="22">
        <f t="shared" si="144"/>
        <v>6716706.1800000006</v>
      </c>
      <c r="BA190" s="22">
        <f t="shared" si="144"/>
        <v>8137976.4399999995</v>
      </c>
      <c r="BB190" s="29">
        <f>BA190/AZ190-1</f>
        <v>0.2116022678246734</v>
      </c>
      <c r="BC190" s="22">
        <f t="shared" ref="BC190:BG190" si="145">SUBTOTAL(9,BC114:BC189)</f>
        <v>1467492.09</v>
      </c>
      <c r="BD190" s="22">
        <f t="shared" si="145"/>
        <v>781228.93</v>
      </c>
      <c r="BE190" s="29">
        <f t="shared" si="133"/>
        <v>-0.46764351554358297</v>
      </c>
      <c r="BF190" s="22">
        <f t="shared" si="145"/>
        <v>8184198.2700000005</v>
      </c>
      <c r="BG190" s="22">
        <f t="shared" si="145"/>
        <v>8919205.370000001</v>
      </c>
      <c r="BH190" s="29">
        <f t="shared" si="135"/>
        <v>8.9808075971747003E-2</v>
      </c>
      <c r="BI190" s="95">
        <v>2289433.89</v>
      </c>
      <c r="BJ190" s="95">
        <v>1909912.36</v>
      </c>
      <c r="BK190" s="95">
        <v>2428025.2200000002</v>
      </c>
      <c r="BL190" s="95">
        <v>15040266.74</v>
      </c>
      <c r="BM190" s="96">
        <f t="shared" si="136"/>
        <v>0.61858166907093515</v>
      </c>
      <c r="BN190" s="22"/>
      <c r="BO190" s="22"/>
    </row>
    <row r="196" spans="1:67">
      <c r="A196" s="40"/>
      <c r="B196" s="193" t="s">
        <v>45</v>
      </c>
      <c r="C196" s="219" t="s">
        <v>161</v>
      </c>
      <c r="D196" s="207" t="s">
        <v>47</v>
      </c>
      <c r="E196" s="193" t="s">
        <v>48</v>
      </c>
      <c r="F196" s="193" t="s">
        <v>49</v>
      </c>
      <c r="G196" s="196" t="s">
        <v>50</v>
      </c>
      <c r="H196" s="221" t="s">
        <v>51</v>
      </c>
      <c r="I196" s="223" t="s">
        <v>38</v>
      </c>
      <c r="J196" s="205" t="s">
        <v>3</v>
      </c>
      <c r="K196" s="206"/>
      <c r="L196" s="203" t="s">
        <v>4</v>
      </c>
      <c r="M196" s="197" t="s">
        <v>5</v>
      </c>
      <c r="N196" s="197"/>
      <c r="O196" s="196" t="s">
        <v>4</v>
      </c>
      <c r="P196" s="225" t="s">
        <v>39</v>
      </c>
      <c r="Q196" s="225"/>
      <c r="R196" s="196" t="s">
        <v>4</v>
      </c>
      <c r="S196" s="197" t="s">
        <v>6</v>
      </c>
      <c r="T196" s="197"/>
      <c r="U196" s="196" t="s">
        <v>4</v>
      </c>
      <c r="V196" s="197" t="s">
        <v>7</v>
      </c>
      <c r="W196" s="197"/>
      <c r="X196" s="196" t="s">
        <v>4</v>
      </c>
      <c r="Y196" s="197" t="s">
        <v>8</v>
      </c>
      <c r="Z196" s="197"/>
      <c r="AA196" s="196" t="s">
        <v>4</v>
      </c>
      <c r="AB196" s="197" t="s">
        <v>9</v>
      </c>
      <c r="AC196" s="197"/>
      <c r="AD196" s="196" t="s">
        <v>4</v>
      </c>
      <c r="AE196" s="197" t="s">
        <v>10</v>
      </c>
      <c r="AF196" s="197"/>
      <c r="AG196" s="196" t="s">
        <v>4</v>
      </c>
      <c r="AH196" s="197" t="s">
        <v>11</v>
      </c>
      <c r="AI196" s="197"/>
      <c r="AJ196" s="196" t="s">
        <v>4</v>
      </c>
      <c r="AK196" s="197" t="s">
        <v>12</v>
      </c>
      <c r="AL196" s="197"/>
      <c r="AM196" s="196" t="s">
        <v>4</v>
      </c>
      <c r="AN196" s="197" t="s">
        <v>13</v>
      </c>
      <c r="AO196" s="197"/>
      <c r="AP196" s="196" t="s">
        <v>4</v>
      </c>
      <c r="AQ196" s="197" t="s">
        <v>14</v>
      </c>
      <c r="AR196" s="197"/>
      <c r="AS196" s="196" t="s">
        <v>4</v>
      </c>
      <c r="AT196" s="197" t="s">
        <v>15</v>
      </c>
      <c r="AU196" s="197"/>
      <c r="AV196" s="187" t="s">
        <v>4</v>
      </c>
      <c r="AW196" s="197" t="s">
        <v>16</v>
      </c>
      <c r="AX196" s="197"/>
      <c r="AY196" s="196" t="s">
        <v>4</v>
      </c>
      <c r="AZ196" s="197" t="s">
        <v>17</v>
      </c>
      <c r="BA196" s="197"/>
      <c r="BB196" s="187" t="s">
        <v>4</v>
      </c>
      <c r="BC196" s="191" t="s">
        <v>18</v>
      </c>
      <c r="BD196" s="192"/>
      <c r="BE196" s="187" t="s">
        <v>4</v>
      </c>
      <c r="BF196" s="191" t="s">
        <v>19</v>
      </c>
      <c r="BG196" s="192"/>
      <c r="BH196" s="187" t="s">
        <v>4</v>
      </c>
      <c r="BI196" s="78" t="s">
        <v>40</v>
      </c>
      <c r="BJ196" s="78" t="s">
        <v>41</v>
      </c>
      <c r="BK196" s="78" t="s">
        <v>42</v>
      </c>
      <c r="BL196" s="78" t="s">
        <v>133</v>
      </c>
      <c r="BM196" s="203" t="s">
        <v>211</v>
      </c>
      <c r="BN196" s="20"/>
    </row>
    <row r="197" spans="1:67">
      <c r="A197" s="40"/>
      <c r="B197" s="194"/>
      <c r="C197" s="219"/>
      <c r="D197" s="207"/>
      <c r="E197" s="220"/>
      <c r="F197" s="220"/>
      <c r="G197" s="196"/>
      <c r="H197" s="222"/>
      <c r="I197" s="224"/>
      <c r="J197" s="63" t="s">
        <v>21</v>
      </c>
      <c r="K197" s="64" t="s">
        <v>22</v>
      </c>
      <c r="L197" s="204"/>
      <c r="M197" s="35" t="s">
        <v>21</v>
      </c>
      <c r="N197" s="35" t="s">
        <v>22</v>
      </c>
      <c r="O197" s="196"/>
      <c r="P197" s="65" t="s">
        <v>21</v>
      </c>
      <c r="Q197" s="65" t="s">
        <v>22</v>
      </c>
      <c r="R197" s="196"/>
      <c r="S197" s="35" t="s">
        <v>21</v>
      </c>
      <c r="T197" s="35" t="s">
        <v>22</v>
      </c>
      <c r="U197" s="196"/>
      <c r="V197" s="35" t="s">
        <v>21</v>
      </c>
      <c r="W197" s="35" t="s">
        <v>22</v>
      </c>
      <c r="X197" s="196"/>
      <c r="Y197" s="35" t="s">
        <v>21</v>
      </c>
      <c r="Z197" s="35" t="s">
        <v>22</v>
      </c>
      <c r="AA197" s="196"/>
      <c r="AB197" s="35" t="s">
        <v>21</v>
      </c>
      <c r="AC197" s="35" t="s">
        <v>22</v>
      </c>
      <c r="AD197" s="196"/>
      <c r="AE197" s="35" t="s">
        <v>21</v>
      </c>
      <c r="AF197" s="35" t="s">
        <v>22</v>
      </c>
      <c r="AG197" s="196"/>
      <c r="AH197" s="35" t="s">
        <v>21</v>
      </c>
      <c r="AI197" s="35" t="s">
        <v>22</v>
      </c>
      <c r="AJ197" s="196"/>
      <c r="AK197" s="35" t="s">
        <v>21</v>
      </c>
      <c r="AL197" s="35" t="s">
        <v>22</v>
      </c>
      <c r="AM197" s="196"/>
      <c r="AN197" s="35" t="s">
        <v>21</v>
      </c>
      <c r="AO197" s="35" t="s">
        <v>22</v>
      </c>
      <c r="AP197" s="196"/>
      <c r="AQ197" s="35" t="s">
        <v>21</v>
      </c>
      <c r="AR197" s="35" t="s">
        <v>22</v>
      </c>
      <c r="AS197" s="196"/>
      <c r="AT197" s="35" t="s">
        <v>21</v>
      </c>
      <c r="AU197" s="35" t="s">
        <v>22</v>
      </c>
      <c r="AV197" s="187"/>
      <c r="AW197" s="35" t="s">
        <v>21</v>
      </c>
      <c r="AX197" s="35" t="s">
        <v>22</v>
      </c>
      <c r="AY197" s="196"/>
      <c r="AZ197" s="35" t="s">
        <v>21</v>
      </c>
      <c r="BA197" s="35" t="s">
        <v>22</v>
      </c>
      <c r="BB197" s="187"/>
      <c r="BC197" s="35" t="s">
        <v>21</v>
      </c>
      <c r="BD197" s="35" t="s">
        <v>22</v>
      </c>
      <c r="BE197" s="187"/>
      <c r="BF197" s="35" t="s">
        <v>21</v>
      </c>
      <c r="BG197" s="35" t="s">
        <v>22</v>
      </c>
      <c r="BH197" s="187"/>
      <c r="BI197" s="22" t="s">
        <v>21</v>
      </c>
      <c r="BJ197" s="22" t="s">
        <v>21</v>
      </c>
      <c r="BK197" s="22" t="s">
        <v>21</v>
      </c>
      <c r="BL197" s="22" t="s">
        <v>21</v>
      </c>
      <c r="BM197" s="218"/>
      <c r="BN197" s="20" t="s">
        <v>52</v>
      </c>
      <c r="BO197" t="s">
        <v>53</v>
      </c>
    </row>
    <row r="198" spans="1:67">
      <c r="A198" s="42" t="s">
        <v>30</v>
      </c>
      <c r="B198" s="69" t="s">
        <v>30</v>
      </c>
      <c r="C198" s="179" t="s">
        <v>301</v>
      </c>
      <c r="D198" s="78" t="s">
        <v>61</v>
      </c>
      <c r="E198" s="78" t="s">
        <v>61</v>
      </c>
      <c r="F198" s="78" t="s">
        <v>302</v>
      </c>
      <c r="G198" s="78" t="s">
        <v>303</v>
      </c>
      <c r="H198" s="78" t="s">
        <v>304</v>
      </c>
      <c r="I198" s="78">
        <v>40</v>
      </c>
      <c r="J198" s="22">
        <v>32537</v>
      </c>
      <c r="K198" s="22"/>
      <c r="L198" s="92">
        <f>K198/J198-1</f>
        <v>-1</v>
      </c>
      <c r="M198" s="22">
        <v>22586</v>
      </c>
      <c r="N198" s="22">
        <v>32655</v>
      </c>
      <c r="O198" s="92">
        <f>N198/M198-1</f>
        <v>0.44580713716461529</v>
      </c>
      <c r="P198" s="61">
        <f>M198+J198</f>
        <v>55123</v>
      </c>
      <c r="Q198" s="61">
        <f>N198+K198</f>
        <v>32655</v>
      </c>
      <c r="R198" s="92">
        <f>Q198/P198-1</f>
        <v>-0.40759755455980262</v>
      </c>
      <c r="S198" s="39">
        <v>37044</v>
      </c>
      <c r="T198" s="39">
        <v>44580</v>
      </c>
      <c r="U198" s="92">
        <f>T198/S198-1</f>
        <v>0.20343375445416267</v>
      </c>
      <c r="V198" s="38">
        <f>S198+P198</f>
        <v>92167</v>
      </c>
      <c r="W198" s="38">
        <f>T198+Q198</f>
        <v>77235</v>
      </c>
      <c r="X198" s="92">
        <f>W198/V198-1</f>
        <v>-0.16201026397734553</v>
      </c>
      <c r="Y198" s="39">
        <v>10726</v>
      </c>
      <c r="Z198" s="39">
        <v>10654</v>
      </c>
      <c r="AA198" s="92">
        <f>Z198/Y198-1</f>
        <v>-6.7126608241655505E-3</v>
      </c>
      <c r="AB198" s="39">
        <f>V198+Y198</f>
        <v>102893</v>
      </c>
      <c r="AC198" s="39">
        <f>W198+Z198</f>
        <v>87889</v>
      </c>
      <c r="AD198" s="92">
        <f>AC198/AB198-1</f>
        <v>-0.1458213872663835</v>
      </c>
      <c r="AE198" s="101"/>
      <c r="AF198" s="101">
        <v>21384</v>
      </c>
      <c r="AG198" s="92" t="e">
        <f>AF198/AE198-1</f>
        <v>#DIV/0!</v>
      </c>
      <c r="AH198" s="101">
        <f>AE198+AB198</f>
        <v>102893</v>
      </c>
      <c r="AI198" s="101">
        <f>AF198+AC198</f>
        <v>109273</v>
      </c>
      <c r="AJ198" s="92">
        <f>AI198/AH198-1</f>
        <v>6.2006161740837618E-2</v>
      </c>
      <c r="AK198" s="22">
        <v>10055</v>
      </c>
      <c r="AL198" s="22">
        <v>32633</v>
      </c>
      <c r="AM198" s="92">
        <f>AL198/AK198-1</f>
        <v>2.2454500248632523</v>
      </c>
      <c r="AN198" s="101">
        <f>AK198+AH198</f>
        <v>112948</v>
      </c>
      <c r="AO198" s="101">
        <f>AL198+AI198</f>
        <v>141906</v>
      </c>
      <c r="AP198" s="92">
        <f>AO198/AN198-1</f>
        <v>0.25638346849877824</v>
      </c>
      <c r="AQ198" s="22">
        <v>35569</v>
      </c>
      <c r="AR198" s="22">
        <v>26738</v>
      </c>
      <c r="AS198" s="92">
        <f>AR198/AQ198-1</f>
        <v>-0.2482779948831848</v>
      </c>
      <c r="AT198" s="22">
        <f>AQ198+AN198</f>
        <v>148517</v>
      </c>
      <c r="AU198" s="22">
        <f>AR198+AO198</f>
        <v>168644</v>
      </c>
      <c r="AV198" s="92">
        <f>AU198/AT198-1</f>
        <v>0.13551983947965551</v>
      </c>
      <c r="AW198" s="22">
        <v>22906</v>
      </c>
      <c r="AX198" s="22"/>
      <c r="AY198" s="92">
        <f>AX198/AW198-1</f>
        <v>-1</v>
      </c>
      <c r="AZ198" s="22">
        <f>AW198+AT198</f>
        <v>171423</v>
      </c>
      <c r="BA198" s="22">
        <f>AX198+AU198</f>
        <v>168644</v>
      </c>
      <c r="BB198" s="92">
        <f>BA198/AZ198-1</f>
        <v>-1.6211360202539882E-2</v>
      </c>
      <c r="BC198" s="101">
        <v>45152</v>
      </c>
      <c r="BD198" s="101">
        <v>10128</v>
      </c>
      <c r="BE198" s="92">
        <f>BD198/BC198-1</f>
        <v>-0.77569099929128282</v>
      </c>
      <c r="BF198" s="101">
        <f>BC198+AZ198</f>
        <v>216575</v>
      </c>
      <c r="BG198" s="101">
        <f>BD198+BA198</f>
        <v>178772</v>
      </c>
      <c r="BH198" s="92">
        <f>BG198/BF198-1</f>
        <v>-0.17454923236754016</v>
      </c>
      <c r="BI198" s="39">
        <v>106673</v>
      </c>
      <c r="BJ198" s="28">
        <v>87898</v>
      </c>
      <c r="BK198" s="101">
        <v>71108</v>
      </c>
      <c r="BL198" s="22">
        <v>482254</v>
      </c>
      <c r="BM198" s="29">
        <f>BG198/10000/I198</f>
        <v>0.44692999999999994</v>
      </c>
      <c r="BN198" s="20"/>
    </row>
    <row r="199" spans="1:67">
      <c r="A199" s="42" t="s">
        <v>30</v>
      </c>
      <c r="B199" s="69" t="s">
        <v>30</v>
      </c>
      <c r="C199" s="179" t="s">
        <v>305</v>
      </c>
      <c r="D199" s="78" t="s">
        <v>61</v>
      </c>
      <c r="E199" s="78" t="s">
        <v>61</v>
      </c>
      <c r="F199" s="78" t="s">
        <v>302</v>
      </c>
      <c r="G199" s="78" t="s">
        <v>303</v>
      </c>
      <c r="H199" s="78" t="s">
        <v>304</v>
      </c>
      <c r="I199" s="78">
        <v>30</v>
      </c>
      <c r="J199" s="22">
        <v>10000</v>
      </c>
      <c r="K199" s="22">
        <v>10000</v>
      </c>
      <c r="L199" s="92">
        <f t="shared" ref="L199:L228" si="146">K199/J199-1</f>
        <v>0</v>
      </c>
      <c r="M199" s="22">
        <v>20000</v>
      </c>
      <c r="N199" s="22">
        <v>10000</v>
      </c>
      <c r="O199" s="92">
        <f t="shared" ref="O199:O228" si="147">N199/M199-1</f>
        <v>-0.5</v>
      </c>
      <c r="P199" s="61">
        <f t="shared" ref="P199:Q228" si="148">M199+J199</f>
        <v>30000</v>
      </c>
      <c r="Q199" s="61">
        <f t="shared" si="148"/>
        <v>20000</v>
      </c>
      <c r="R199" s="92">
        <f t="shared" ref="R199:R228" si="149">Q199/P199-1</f>
        <v>-0.33333333333333337</v>
      </c>
      <c r="S199" s="39"/>
      <c r="T199" s="39">
        <v>10000</v>
      </c>
      <c r="U199" s="92" t="e">
        <f t="shared" ref="U199:U228" si="150">T199/S199-1</f>
        <v>#DIV/0!</v>
      </c>
      <c r="V199" s="38">
        <f t="shared" ref="V199:W228" si="151">S199+P199</f>
        <v>30000</v>
      </c>
      <c r="W199" s="38">
        <f t="shared" si="151"/>
        <v>30000</v>
      </c>
      <c r="X199" s="92">
        <f t="shared" ref="X199:X228" si="152">W199/V199-1</f>
        <v>0</v>
      </c>
      <c r="Y199" s="39">
        <v>10000</v>
      </c>
      <c r="Z199" s="39">
        <v>5763</v>
      </c>
      <c r="AA199" s="92">
        <f t="shared" ref="AA199:AA228" si="153">Z199/Y199-1</f>
        <v>-0.42369999999999997</v>
      </c>
      <c r="AB199" s="39">
        <f t="shared" ref="AB199:AC228" si="154">V199+Y199</f>
        <v>40000</v>
      </c>
      <c r="AC199" s="39">
        <f t="shared" si="154"/>
        <v>35763</v>
      </c>
      <c r="AD199" s="92">
        <f t="shared" ref="AD199:AD228" si="155">AC199/AB199-1</f>
        <v>-0.10592500000000005</v>
      </c>
      <c r="AE199" s="101"/>
      <c r="AF199" s="101">
        <v>2159</v>
      </c>
      <c r="AG199" s="92" t="e">
        <f t="shared" ref="AG199:AG228" si="156">AF199/AE199-1</f>
        <v>#DIV/0!</v>
      </c>
      <c r="AH199" s="101">
        <f t="shared" ref="AH199:AI228" si="157">AE199+AB199</f>
        <v>40000</v>
      </c>
      <c r="AI199" s="101">
        <f t="shared" si="157"/>
        <v>37922</v>
      </c>
      <c r="AJ199" s="92">
        <f t="shared" ref="AJ199:AJ228" si="158">AI199/AH199-1</f>
        <v>-5.1950000000000052E-2</v>
      </c>
      <c r="AK199" s="22"/>
      <c r="AL199" s="22"/>
      <c r="AM199" s="92" t="e">
        <f t="shared" ref="AM199:AM228" si="159">AL199/AK199-1</f>
        <v>#DIV/0!</v>
      </c>
      <c r="AN199" s="101">
        <f t="shared" ref="AN199:AO228" si="160">AK199+AH199</f>
        <v>40000</v>
      </c>
      <c r="AO199" s="101">
        <f t="shared" si="160"/>
        <v>37922</v>
      </c>
      <c r="AP199" s="92">
        <f t="shared" ref="AP199:AP228" si="161">AO199/AN199-1</f>
        <v>-5.1950000000000052E-2</v>
      </c>
      <c r="AQ199" s="22">
        <v>30000</v>
      </c>
      <c r="AR199" s="22">
        <v>14886</v>
      </c>
      <c r="AS199" s="92">
        <f t="shared" ref="AS199:AS228" si="162">AR199/AQ199-1</f>
        <v>-0.50380000000000003</v>
      </c>
      <c r="AT199" s="22">
        <f t="shared" ref="AT199:AU228" si="163">AQ199+AN199</f>
        <v>70000</v>
      </c>
      <c r="AU199" s="22">
        <f t="shared" si="163"/>
        <v>52808</v>
      </c>
      <c r="AV199" s="92">
        <f t="shared" ref="AV199:AV228" si="164">AU199/AT199-1</f>
        <v>-0.24560000000000004</v>
      </c>
      <c r="AW199" s="22">
        <v>20000</v>
      </c>
      <c r="AX199" s="22">
        <v>5654</v>
      </c>
      <c r="AY199" s="92">
        <f t="shared" ref="AY199:AY228" si="165">AX199/AW199-1</f>
        <v>-0.71730000000000005</v>
      </c>
      <c r="AZ199" s="22">
        <f t="shared" ref="AZ199:BA228" si="166">AW199+AT199</f>
        <v>90000</v>
      </c>
      <c r="BA199" s="22">
        <f t="shared" si="166"/>
        <v>58462</v>
      </c>
      <c r="BB199" s="92">
        <f t="shared" ref="BB199:BB228" si="167">BA199/AZ199-1</f>
        <v>-0.35042222222222219</v>
      </c>
      <c r="BC199" s="101"/>
      <c r="BD199" s="101"/>
      <c r="BE199" s="92" t="e">
        <f t="shared" ref="BE199:BE230" si="168">BD199/BC199-1</f>
        <v>#DIV/0!</v>
      </c>
      <c r="BF199" s="101">
        <f t="shared" ref="BF199:BG229" si="169">BC199+AZ199</f>
        <v>90000</v>
      </c>
      <c r="BG199" s="101">
        <f t="shared" si="169"/>
        <v>58462</v>
      </c>
      <c r="BH199" s="92">
        <f t="shared" ref="BH199:BH230" si="170">BG199/BF199-1</f>
        <v>-0.35042222222222219</v>
      </c>
      <c r="BI199" s="39">
        <v>60000</v>
      </c>
      <c r="BJ199" s="28">
        <v>20000</v>
      </c>
      <c r="BK199" s="101"/>
      <c r="BL199" s="22">
        <v>170000</v>
      </c>
      <c r="BM199" s="29">
        <f t="shared" ref="BM199:BM230" si="171">BG199/10000/I199</f>
        <v>0.19487333333333332</v>
      </c>
      <c r="BN199" s="20"/>
    </row>
    <row r="200" spans="1:67">
      <c r="A200" s="42" t="s">
        <v>30</v>
      </c>
      <c r="B200" s="69" t="s">
        <v>30</v>
      </c>
      <c r="C200" s="79" t="s">
        <v>306</v>
      </c>
      <c r="D200" s="78" t="s">
        <v>61</v>
      </c>
      <c r="E200" s="78" t="s">
        <v>56</v>
      </c>
      <c r="F200" s="78" t="s">
        <v>307</v>
      </c>
      <c r="G200" s="78" t="s">
        <v>307</v>
      </c>
      <c r="H200" s="78" t="s">
        <v>308</v>
      </c>
      <c r="I200" s="78">
        <v>100</v>
      </c>
      <c r="J200" s="22"/>
      <c r="K200" s="22">
        <v>200000</v>
      </c>
      <c r="L200" s="92" t="e">
        <f t="shared" si="146"/>
        <v>#DIV/0!</v>
      </c>
      <c r="M200" s="22"/>
      <c r="N200" s="22"/>
      <c r="O200" s="92" t="e">
        <f t="shared" si="147"/>
        <v>#DIV/0!</v>
      </c>
      <c r="P200" s="61">
        <f t="shared" si="148"/>
        <v>0</v>
      </c>
      <c r="Q200" s="61">
        <f t="shared" si="148"/>
        <v>200000</v>
      </c>
      <c r="R200" s="92" t="e">
        <f t="shared" si="149"/>
        <v>#DIV/0!</v>
      </c>
      <c r="S200" s="39">
        <v>250000</v>
      </c>
      <c r="T200" s="39">
        <f>200000+20000</f>
        <v>220000</v>
      </c>
      <c r="U200" s="92">
        <f t="shared" si="150"/>
        <v>-0.12</v>
      </c>
      <c r="V200" s="38">
        <f t="shared" si="151"/>
        <v>250000</v>
      </c>
      <c r="W200" s="38">
        <f t="shared" si="151"/>
        <v>420000</v>
      </c>
      <c r="X200" s="92">
        <f t="shared" si="152"/>
        <v>0.67999999999999994</v>
      </c>
      <c r="Y200" s="39"/>
      <c r="Z200" s="39">
        <v>250000</v>
      </c>
      <c r="AA200" s="92" t="e">
        <f t="shared" si="153"/>
        <v>#DIV/0!</v>
      </c>
      <c r="AB200" s="39">
        <f t="shared" si="154"/>
        <v>250000</v>
      </c>
      <c r="AC200" s="39">
        <f t="shared" si="154"/>
        <v>670000</v>
      </c>
      <c r="AD200" s="92">
        <f t="shared" si="155"/>
        <v>1.6800000000000002</v>
      </c>
      <c r="AE200" s="101"/>
      <c r="AF200" s="101"/>
      <c r="AG200" s="92" t="e">
        <f t="shared" si="156"/>
        <v>#DIV/0!</v>
      </c>
      <c r="AH200" s="101">
        <f t="shared" si="157"/>
        <v>250000</v>
      </c>
      <c r="AI200" s="101">
        <f t="shared" si="157"/>
        <v>670000</v>
      </c>
      <c r="AJ200" s="92">
        <f t="shared" si="158"/>
        <v>1.6800000000000002</v>
      </c>
      <c r="AK200" s="22"/>
      <c r="AL200" s="22">
        <f>200000+20000</f>
        <v>220000</v>
      </c>
      <c r="AM200" s="92" t="e">
        <f t="shared" si="159"/>
        <v>#DIV/0!</v>
      </c>
      <c r="AN200" s="101">
        <f t="shared" si="160"/>
        <v>250000</v>
      </c>
      <c r="AO200" s="101">
        <f t="shared" si="160"/>
        <v>890000</v>
      </c>
      <c r="AP200" s="92">
        <f t="shared" si="161"/>
        <v>2.56</v>
      </c>
      <c r="AQ200" s="22"/>
      <c r="AR200" s="22"/>
      <c r="AS200" s="92" t="e">
        <f t="shared" si="162"/>
        <v>#DIV/0!</v>
      </c>
      <c r="AT200" s="22">
        <f t="shared" si="163"/>
        <v>250000</v>
      </c>
      <c r="AU200" s="22">
        <f t="shared" si="163"/>
        <v>890000</v>
      </c>
      <c r="AV200" s="92">
        <f t="shared" si="164"/>
        <v>2.56</v>
      </c>
      <c r="AW200" s="22">
        <v>250000</v>
      </c>
      <c r="AX200" s="22"/>
      <c r="AY200" s="92">
        <f t="shared" si="165"/>
        <v>-1</v>
      </c>
      <c r="AZ200" s="22">
        <f t="shared" si="166"/>
        <v>500000</v>
      </c>
      <c r="BA200" s="22">
        <f t="shared" si="166"/>
        <v>890000</v>
      </c>
      <c r="BB200" s="92">
        <f t="shared" si="167"/>
        <v>0.78</v>
      </c>
      <c r="BC200" s="101">
        <v>250000</v>
      </c>
      <c r="BD200" s="101"/>
      <c r="BE200" s="92">
        <f t="shared" si="168"/>
        <v>-1</v>
      </c>
      <c r="BF200" s="101">
        <f t="shared" si="169"/>
        <v>750000</v>
      </c>
      <c r="BG200" s="101">
        <f t="shared" si="169"/>
        <v>890000</v>
      </c>
      <c r="BH200" s="92">
        <f t="shared" si="170"/>
        <v>0.18666666666666676</v>
      </c>
      <c r="BI200" s="39"/>
      <c r="BJ200" s="28">
        <v>250000</v>
      </c>
      <c r="BK200" s="101"/>
      <c r="BL200" s="22">
        <v>1000000</v>
      </c>
      <c r="BM200" s="29">
        <f t="shared" si="171"/>
        <v>0.89</v>
      </c>
      <c r="BN200" s="20"/>
      <c r="BO200">
        <v>40000</v>
      </c>
    </row>
    <row r="201" spans="1:67">
      <c r="A201" s="42" t="s">
        <v>30</v>
      </c>
      <c r="B201" s="69" t="s">
        <v>30</v>
      </c>
      <c r="C201" s="179" t="s">
        <v>309</v>
      </c>
      <c r="D201" s="78" t="s">
        <v>61</v>
      </c>
      <c r="E201" s="78" t="s">
        <v>61</v>
      </c>
      <c r="F201" s="78" t="s">
        <v>307</v>
      </c>
      <c r="G201" s="78" t="s">
        <v>307</v>
      </c>
      <c r="H201" s="78" t="s">
        <v>308</v>
      </c>
      <c r="I201" s="78">
        <v>30</v>
      </c>
      <c r="J201" s="22">
        <v>12244</v>
      </c>
      <c r="K201" s="22">
        <v>8690</v>
      </c>
      <c r="L201" s="92">
        <f t="shared" si="146"/>
        <v>-0.29026461940542303</v>
      </c>
      <c r="M201" s="22"/>
      <c r="N201" s="22"/>
      <c r="O201" s="92" t="e">
        <f t="shared" si="147"/>
        <v>#DIV/0!</v>
      </c>
      <c r="P201" s="61">
        <f t="shared" si="148"/>
        <v>12244</v>
      </c>
      <c r="Q201" s="61">
        <f t="shared" si="148"/>
        <v>8690</v>
      </c>
      <c r="R201" s="92">
        <f t="shared" si="149"/>
        <v>-0.29026461940542303</v>
      </c>
      <c r="S201" s="39"/>
      <c r="T201" s="39">
        <v>5307</v>
      </c>
      <c r="U201" s="92" t="e">
        <f t="shared" si="150"/>
        <v>#DIV/0!</v>
      </c>
      <c r="V201" s="38">
        <f t="shared" si="151"/>
        <v>12244</v>
      </c>
      <c r="W201" s="38">
        <f t="shared" si="151"/>
        <v>13997</v>
      </c>
      <c r="X201" s="92">
        <f t="shared" si="152"/>
        <v>0.14317216595883697</v>
      </c>
      <c r="Y201" s="39"/>
      <c r="Z201" s="39"/>
      <c r="AA201" s="92" t="e">
        <f t="shared" si="153"/>
        <v>#DIV/0!</v>
      </c>
      <c r="AB201" s="39">
        <f t="shared" si="154"/>
        <v>12244</v>
      </c>
      <c r="AC201" s="39">
        <f t="shared" si="154"/>
        <v>13997</v>
      </c>
      <c r="AD201" s="92">
        <f t="shared" si="155"/>
        <v>0.14317216595883697</v>
      </c>
      <c r="AE201" s="101">
        <v>5295</v>
      </c>
      <c r="AF201" s="101">
        <v>1701</v>
      </c>
      <c r="AG201" s="92">
        <f t="shared" si="156"/>
        <v>-0.67875354107648733</v>
      </c>
      <c r="AH201" s="101">
        <f t="shared" si="157"/>
        <v>17539</v>
      </c>
      <c r="AI201" s="101">
        <f t="shared" si="157"/>
        <v>15698</v>
      </c>
      <c r="AJ201" s="92">
        <f t="shared" si="158"/>
        <v>-0.10496607560294202</v>
      </c>
      <c r="AK201" s="22">
        <v>5337</v>
      </c>
      <c r="AL201" s="22">
        <v>9051</v>
      </c>
      <c r="AM201" s="92">
        <f t="shared" si="159"/>
        <v>0.69589657110736369</v>
      </c>
      <c r="AN201" s="101">
        <f t="shared" si="160"/>
        <v>22876</v>
      </c>
      <c r="AO201" s="101">
        <f t="shared" si="160"/>
        <v>24749</v>
      </c>
      <c r="AP201" s="92">
        <f t="shared" si="161"/>
        <v>8.1876202133239984E-2</v>
      </c>
      <c r="AQ201" s="22"/>
      <c r="AR201" s="22">
        <v>5556</v>
      </c>
      <c r="AS201" s="92" t="e">
        <f t="shared" si="162"/>
        <v>#DIV/0!</v>
      </c>
      <c r="AT201" s="22">
        <f t="shared" si="163"/>
        <v>22876</v>
      </c>
      <c r="AU201" s="22">
        <f t="shared" si="163"/>
        <v>30305</v>
      </c>
      <c r="AV201" s="92">
        <f t="shared" si="164"/>
        <v>0.32475083056478415</v>
      </c>
      <c r="AW201" s="22"/>
      <c r="AX201" s="22"/>
      <c r="AY201" s="92" t="e">
        <f t="shared" si="165"/>
        <v>#DIV/0!</v>
      </c>
      <c r="AZ201" s="22">
        <f t="shared" si="166"/>
        <v>22876</v>
      </c>
      <c r="BA201" s="22">
        <f t="shared" si="166"/>
        <v>30305</v>
      </c>
      <c r="BB201" s="92">
        <f t="shared" si="167"/>
        <v>0.32475083056478415</v>
      </c>
      <c r="BC201" s="101">
        <v>11878</v>
      </c>
      <c r="BD201" s="101"/>
      <c r="BE201" s="92">
        <f t="shared" si="168"/>
        <v>-1</v>
      </c>
      <c r="BF201" s="101">
        <f t="shared" si="169"/>
        <v>34754</v>
      </c>
      <c r="BG201" s="101">
        <f t="shared" si="169"/>
        <v>30305</v>
      </c>
      <c r="BH201" s="92">
        <f t="shared" si="170"/>
        <v>-0.12801404154917417</v>
      </c>
      <c r="BI201" s="39"/>
      <c r="BJ201" s="28">
        <v>6702</v>
      </c>
      <c r="BK201" s="101"/>
      <c r="BL201" s="22">
        <v>41456</v>
      </c>
      <c r="BM201" s="29">
        <f t="shared" si="171"/>
        <v>0.10101666666666667</v>
      </c>
      <c r="BN201" s="20"/>
    </row>
    <row r="202" spans="1:67">
      <c r="A202" s="42" t="s">
        <v>30</v>
      </c>
      <c r="B202" s="69" t="s">
        <v>30</v>
      </c>
      <c r="C202" s="79" t="s">
        <v>310</v>
      </c>
      <c r="D202" s="78" t="s">
        <v>61</v>
      </c>
      <c r="E202" s="78" t="s">
        <v>61</v>
      </c>
      <c r="F202" s="78" t="s">
        <v>311</v>
      </c>
      <c r="G202" s="78" t="s">
        <v>311</v>
      </c>
      <c r="H202" s="78" t="s">
        <v>308</v>
      </c>
      <c r="I202" s="78">
        <v>20</v>
      </c>
      <c r="J202" s="22"/>
      <c r="K202" s="22">
        <v>49260</v>
      </c>
      <c r="L202" s="92" t="e">
        <f t="shared" si="146"/>
        <v>#DIV/0!</v>
      </c>
      <c r="M202" s="22"/>
      <c r="N202" s="22"/>
      <c r="O202" s="92" t="e">
        <f t="shared" si="147"/>
        <v>#DIV/0!</v>
      </c>
      <c r="P202" s="61">
        <f t="shared" si="148"/>
        <v>0</v>
      </c>
      <c r="Q202" s="61">
        <f t="shared" si="148"/>
        <v>49260</v>
      </c>
      <c r="R202" s="92" t="e">
        <f t="shared" si="149"/>
        <v>#DIV/0!</v>
      </c>
      <c r="S202" s="39"/>
      <c r="T202" s="39">
        <v>16510</v>
      </c>
      <c r="U202" s="92" t="e">
        <f t="shared" si="150"/>
        <v>#DIV/0!</v>
      </c>
      <c r="V202" s="38">
        <f t="shared" si="151"/>
        <v>0</v>
      </c>
      <c r="W202" s="38">
        <f t="shared" si="151"/>
        <v>65770</v>
      </c>
      <c r="X202" s="92" t="e">
        <f t="shared" si="152"/>
        <v>#DIV/0!</v>
      </c>
      <c r="Y202" s="39">
        <v>12370</v>
      </c>
      <c r="Z202" s="39"/>
      <c r="AA202" s="92">
        <f t="shared" si="153"/>
        <v>-1</v>
      </c>
      <c r="AB202" s="39">
        <f t="shared" si="154"/>
        <v>12370</v>
      </c>
      <c r="AC202" s="39">
        <f t="shared" si="154"/>
        <v>65770</v>
      </c>
      <c r="AD202" s="92">
        <f t="shared" si="155"/>
        <v>4.316895715440582</v>
      </c>
      <c r="AE202" s="101">
        <v>4996</v>
      </c>
      <c r="AF202" s="101">
        <v>16510</v>
      </c>
      <c r="AG202" s="92">
        <f t="shared" si="156"/>
        <v>2.3046437149719776</v>
      </c>
      <c r="AH202" s="101">
        <f t="shared" si="157"/>
        <v>17366</v>
      </c>
      <c r="AI202" s="101">
        <f t="shared" si="157"/>
        <v>82280</v>
      </c>
      <c r="AJ202" s="92">
        <f t="shared" si="158"/>
        <v>3.7379937809512844</v>
      </c>
      <c r="AK202" s="22"/>
      <c r="AL202" s="22"/>
      <c r="AM202" s="92" t="e">
        <f t="shared" si="159"/>
        <v>#DIV/0!</v>
      </c>
      <c r="AN202" s="101">
        <f t="shared" si="160"/>
        <v>17366</v>
      </c>
      <c r="AO202" s="101">
        <f t="shared" si="160"/>
        <v>82280</v>
      </c>
      <c r="AP202" s="92">
        <f t="shared" si="161"/>
        <v>3.7379937809512844</v>
      </c>
      <c r="AQ202" s="22"/>
      <c r="AR202" s="22"/>
      <c r="AS202" s="92" t="e">
        <f t="shared" si="162"/>
        <v>#DIV/0!</v>
      </c>
      <c r="AT202" s="22">
        <f t="shared" si="163"/>
        <v>17366</v>
      </c>
      <c r="AU202" s="22">
        <f t="shared" si="163"/>
        <v>82280</v>
      </c>
      <c r="AV202" s="92">
        <f t="shared" si="164"/>
        <v>3.7379937809512844</v>
      </c>
      <c r="AW202" s="22"/>
      <c r="AX202" s="22"/>
      <c r="AY202" s="92" t="e">
        <f t="shared" si="165"/>
        <v>#DIV/0!</v>
      </c>
      <c r="AZ202" s="22">
        <f t="shared" si="166"/>
        <v>17366</v>
      </c>
      <c r="BA202" s="22">
        <f t="shared" si="166"/>
        <v>82280</v>
      </c>
      <c r="BB202" s="92">
        <f t="shared" si="167"/>
        <v>3.7379937809512844</v>
      </c>
      <c r="BC202" s="101"/>
      <c r="BD202" s="101">
        <v>9829</v>
      </c>
      <c r="BE202" s="92" t="e">
        <f t="shared" si="168"/>
        <v>#DIV/0!</v>
      </c>
      <c r="BF202" s="101">
        <f t="shared" si="169"/>
        <v>17366</v>
      </c>
      <c r="BG202" s="101">
        <f t="shared" si="169"/>
        <v>92109</v>
      </c>
      <c r="BH202" s="92">
        <f t="shared" si="170"/>
        <v>4.3039847978809167</v>
      </c>
      <c r="BI202" s="39">
        <v>26066</v>
      </c>
      <c r="BJ202" s="28">
        <v>10065</v>
      </c>
      <c r="BK202" s="101"/>
      <c r="BL202" s="22">
        <v>53497</v>
      </c>
      <c r="BM202" s="29">
        <f t="shared" si="171"/>
        <v>0.46054500000000004</v>
      </c>
      <c r="BN202" s="20"/>
    </row>
    <row r="203" spans="1:67">
      <c r="A203" s="42" t="s">
        <v>30</v>
      </c>
      <c r="B203" s="69" t="s">
        <v>30</v>
      </c>
      <c r="C203" s="79" t="s">
        <v>312</v>
      </c>
      <c r="D203" s="78" t="s">
        <v>61</v>
      </c>
      <c r="E203" s="78" t="s">
        <v>56</v>
      </c>
      <c r="F203" s="78" t="s">
        <v>302</v>
      </c>
      <c r="G203" s="78" t="s">
        <v>313</v>
      </c>
      <c r="H203" s="78" t="s">
        <v>314</v>
      </c>
      <c r="I203" s="78">
        <v>40</v>
      </c>
      <c r="J203" s="22">
        <v>20000</v>
      </c>
      <c r="K203" s="22">
        <f>30000+30000</f>
        <v>60000</v>
      </c>
      <c r="L203" s="92">
        <f t="shared" si="146"/>
        <v>2</v>
      </c>
      <c r="M203" s="22">
        <v>30000</v>
      </c>
      <c r="N203" s="22">
        <v>60000</v>
      </c>
      <c r="O203" s="92">
        <f t="shared" si="147"/>
        <v>1</v>
      </c>
      <c r="P203" s="61">
        <f t="shared" si="148"/>
        <v>50000</v>
      </c>
      <c r="Q203" s="61">
        <f t="shared" si="148"/>
        <v>120000</v>
      </c>
      <c r="R203" s="92">
        <f t="shared" si="149"/>
        <v>1.4</v>
      </c>
      <c r="S203" s="39"/>
      <c r="T203" s="39">
        <f>11533+80000</f>
        <v>91533</v>
      </c>
      <c r="U203" s="92" t="e">
        <f t="shared" si="150"/>
        <v>#DIV/0!</v>
      </c>
      <c r="V203" s="38">
        <f t="shared" si="151"/>
        <v>50000</v>
      </c>
      <c r="W203" s="38">
        <f t="shared" si="151"/>
        <v>211533</v>
      </c>
      <c r="X203" s="92">
        <f t="shared" si="152"/>
        <v>3.2306600000000003</v>
      </c>
      <c r="Y203" s="39">
        <v>30000</v>
      </c>
      <c r="Z203" s="39">
        <v>40000</v>
      </c>
      <c r="AA203" s="92">
        <f t="shared" si="153"/>
        <v>0.33333333333333326</v>
      </c>
      <c r="AB203" s="39">
        <f t="shared" si="154"/>
        <v>80000</v>
      </c>
      <c r="AC203" s="39">
        <f t="shared" si="154"/>
        <v>251533</v>
      </c>
      <c r="AD203" s="92">
        <f t="shared" si="155"/>
        <v>2.1441625000000002</v>
      </c>
      <c r="AE203" s="101">
        <v>20000</v>
      </c>
      <c r="AF203" s="101">
        <v>40000</v>
      </c>
      <c r="AG203" s="92">
        <f t="shared" si="156"/>
        <v>1</v>
      </c>
      <c r="AH203" s="101">
        <f t="shared" si="157"/>
        <v>100000</v>
      </c>
      <c r="AI203" s="101">
        <f t="shared" si="157"/>
        <v>291533</v>
      </c>
      <c r="AJ203" s="92">
        <f t="shared" si="158"/>
        <v>1.91533</v>
      </c>
      <c r="AK203" s="22"/>
      <c r="AL203" s="22">
        <v>50000</v>
      </c>
      <c r="AM203" s="92" t="e">
        <f t="shared" si="159"/>
        <v>#DIV/0!</v>
      </c>
      <c r="AN203" s="101">
        <f t="shared" si="160"/>
        <v>100000</v>
      </c>
      <c r="AO203" s="101">
        <f t="shared" si="160"/>
        <v>341533</v>
      </c>
      <c r="AP203" s="92">
        <f t="shared" si="161"/>
        <v>2.41533</v>
      </c>
      <c r="AQ203" s="22"/>
      <c r="AR203" s="22">
        <v>20000</v>
      </c>
      <c r="AS203" s="92" t="e">
        <f t="shared" si="162"/>
        <v>#DIV/0!</v>
      </c>
      <c r="AT203" s="22">
        <f t="shared" si="163"/>
        <v>100000</v>
      </c>
      <c r="AU203" s="22">
        <f t="shared" si="163"/>
        <v>361533</v>
      </c>
      <c r="AV203" s="92">
        <f t="shared" si="164"/>
        <v>2.6153300000000002</v>
      </c>
      <c r="AW203" s="22"/>
      <c r="AX203" s="22">
        <v>30000</v>
      </c>
      <c r="AY203" s="92" t="e">
        <f t="shared" si="165"/>
        <v>#DIV/0!</v>
      </c>
      <c r="AZ203" s="22">
        <f t="shared" si="166"/>
        <v>100000</v>
      </c>
      <c r="BA203" s="22">
        <f t="shared" si="166"/>
        <v>391533</v>
      </c>
      <c r="BB203" s="92">
        <f t="shared" si="167"/>
        <v>2.91533</v>
      </c>
      <c r="BC203" s="101">
        <v>91900</v>
      </c>
      <c r="BD203" s="101">
        <f>30000+20000</f>
        <v>50000</v>
      </c>
      <c r="BE203" s="92">
        <f t="shared" si="168"/>
        <v>-0.45593035908596302</v>
      </c>
      <c r="BF203" s="101">
        <f t="shared" si="169"/>
        <v>191900</v>
      </c>
      <c r="BG203" s="101">
        <f t="shared" si="169"/>
        <v>441533</v>
      </c>
      <c r="BH203" s="92">
        <f t="shared" si="170"/>
        <v>1.3008494007295468</v>
      </c>
      <c r="BI203" s="39">
        <v>70000</v>
      </c>
      <c r="BJ203" s="28">
        <v>110000</v>
      </c>
      <c r="BK203" s="101">
        <v>120000</v>
      </c>
      <c r="BL203" s="22">
        <v>491900</v>
      </c>
      <c r="BM203" s="29">
        <f t="shared" si="171"/>
        <v>1.1038325</v>
      </c>
      <c r="BN203" s="20"/>
    </row>
    <row r="204" spans="1:67">
      <c r="A204" s="42" t="s">
        <v>30</v>
      </c>
      <c r="B204" s="69" t="s">
        <v>30</v>
      </c>
      <c r="C204" s="79" t="s">
        <v>315</v>
      </c>
      <c r="D204" s="78" t="s">
        <v>61</v>
      </c>
      <c r="E204" s="78" t="s">
        <v>61</v>
      </c>
      <c r="F204" s="78" t="s">
        <v>307</v>
      </c>
      <c r="G204" s="78" t="s">
        <v>307</v>
      </c>
      <c r="H204" s="78" t="s">
        <v>314</v>
      </c>
      <c r="I204" s="78">
        <v>10</v>
      </c>
      <c r="J204" s="22">
        <v>10000</v>
      </c>
      <c r="K204" s="22"/>
      <c r="L204" s="92">
        <f t="shared" si="146"/>
        <v>-1</v>
      </c>
      <c r="M204" s="22"/>
      <c r="N204" s="22">
        <v>12145</v>
      </c>
      <c r="O204" s="92" t="e">
        <f t="shared" si="147"/>
        <v>#DIV/0!</v>
      </c>
      <c r="P204" s="61">
        <f t="shared" si="148"/>
        <v>10000</v>
      </c>
      <c r="Q204" s="61">
        <f t="shared" si="148"/>
        <v>12145</v>
      </c>
      <c r="R204" s="92">
        <f t="shared" si="149"/>
        <v>0.21449999999999991</v>
      </c>
      <c r="S204" s="39">
        <v>20000</v>
      </c>
      <c r="T204" s="39">
        <v>15398</v>
      </c>
      <c r="U204" s="92">
        <f t="shared" si="150"/>
        <v>-0.23009999999999997</v>
      </c>
      <c r="V204" s="38">
        <f t="shared" si="151"/>
        <v>30000</v>
      </c>
      <c r="W204" s="38">
        <f t="shared" si="151"/>
        <v>27543</v>
      </c>
      <c r="X204" s="92">
        <f t="shared" si="152"/>
        <v>-8.1899999999999973E-2</v>
      </c>
      <c r="Y204" s="39"/>
      <c r="Z204" s="39"/>
      <c r="AA204" s="92" t="e">
        <f t="shared" si="153"/>
        <v>#DIV/0!</v>
      </c>
      <c r="AB204" s="39">
        <f t="shared" si="154"/>
        <v>30000</v>
      </c>
      <c r="AC204" s="39">
        <f t="shared" si="154"/>
        <v>27543</v>
      </c>
      <c r="AD204" s="92">
        <f t="shared" si="155"/>
        <v>-8.1899999999999973E-2</v>
      </c>
      <c r="AE204" s="101">
        <v>10000</v>
      </c>
      <c r="AF204" s="101">
        <v>6777</v>
      </c>
      <c r="AG204" s="92">
        <f t="shared" si="156"/>
        <v>-0.32230000000000003</v>
      </c>
      <c r="AH204" s="101">
        <f t="shared" si="157"/>
        <v>40000</v>
      </c>
      <c r="AI204" s="101">
        <f t="shared" si="157"/>
        <v>34320</v>
      </c>
      <c r="AJ204" s="92">
        <f t="shared" si="158"/>
        <v>-0.14200000000000002</v>
      </c>
      <c r="AK204" s="22"/>
      <c r="AL204" s="22"/>
      <c r="AM204" s="92" t="e">
        <f t="shared" si="159"/>
        <v>#DIV/0!</v>
      </c>
      <c r="AN204" s="101">
        <f t="shared" si="160"/>
        <v>40000</v>
      </c>
      <c r="AO204" s="101">
        <f t="shared" si="160"/>
        <v>34320</v>
      </c>
      <c r="AP204" s="92">
        <f t="shared" si="161"/>
        <v>-0.14200000000000002</v>
      </c>
      <c r="AQ204" s="22"/>
      <c r="AR204" s="22">
        <v>4441</v>
      </c>
      <c r="AS204" s="92" t="e">
        <f t="shared" si="162"/>
        <v>#DIV/0!</v>
      </c>
      <c r="AT204" s="22">
        <f t="shared" si="163"/>
        <v>40000</v>
      </c>
      <c r="AU204" s="22">
        <f t="shared" si="163"/>
        <v>38761</v>
      </c>
      <c r="AV204" s="92">
        <f t="shared" si="164"/>
        <v>-3.0974999999999975E-2</v>
      </c>
      <c r="AW204" s="22"/>
      <c r="AX204" s="22">
        <v>2259</v>
      </c>
      <c r="AY204" s="92" t="e">
        <f t="shared" si="165"/>
        <v>#DIV/0!</v>
      </c>
      <c r="AZ204" s="22">
        <f t="shared" si="166"/>
        <v>40000</v>
      </c>
      <c r="BA204" s="22">
        <f t="shared" si="166"/>
        <v>41020</v>
      </c>
      <c r="BB204" s="92">
        <f t="shared" si="167"/>
        <v>2.5500000000000078E-2</v>
      </c>
      <c r="BC204" s="101"/>
      <c r="BD204" s="101"/>
      <c r="BE204" s="92" t="e">
        <f t="shared" si="168"/>
        <v>#DIV/0!</v>
      </c>
      <c r="BF204" s="101">
        <f t="shared" si="169"/>
        <v>40000</v>
      </c>
      <c r="BG204" s="101">
        <f t="shared" si="169"/>
        <v>41020</v>
      </c>
      <c r="BH204" s="92">
        <f t="shared" si="170"/>
        <v>2.5500000000000078E-2</v>
      </c>
      <c r="BI204" s="39"/>
      <c r="BJ204" s="28"/>
      <c r="BK204" s="101"/>
      <c r="BL204" s="22">
        <v>40000</v>
      </c>
      <c r="BM204" s="29">
        <f t="shared" si="171"/>
        <v>0.41020000000000001</v>
      </c>
      <c r="BN204" s="20"/>
    </row>
    <row r="205" spans="1:67">
      <c r="A205" s="42" t="s">
        <v>30</v>
      </c>
      <c r="B205" s="69" t="s">
        <v>30</v>
      </c>
      <c r="C205" s="79" t="s">
        <v>316</v>
      </c>
      <c r="D205" s="78" t="s">
        <v>56</v>
      </c>
      <c r="E205" s="78" t="s">
        <v>56</v>
      </c>
      <c r="F205" s="78" t="s">
        <v>302</v>
      </c>
      <c r="G205" s="78" t="s">
        <v>317</v>
      </c>
      <c r="H205" s="78" t="s">
        <v>314</v>
      </c>
      <c r="I205" s="78">
        <v>180</v>
      </c>
      <c r="J205" s="22"/>
      <c r="K205" s="22">
        <v>179439</v>
      </c>
      <c r="L205" s="92" t="e">
        <f t="shared" si="146"/>
        <v>#DIV/0!</v>
      </c>
      <c r="M205" s="22">
        <v>246787</v>
      </c>
      <c r="N205" s="22"/>
      <c r="O205" s="92">
        <f t="shared" si="147"/>
        <v>-1</v>
      </c>
      <c r="P205" s="61">
        <f t="shared" si="148"/>
        <v>246787</v>
      </c>
      <c r="Q205" s="61">
        <f t="shared" si="148"/>
        <v>179439</v>
      </c>
      <c r="R205" s="92">
        <f t="shared" si="149"/>
        <v>-0.27289930182708166</v>
      </c>
      <c r="S205" s="39"/>
      <c r="T205" s="39">
        <v>185346</v>
      </c>
      <c r="U205" s="92" t="e">
        <f t="shared" si="150"/>
        <v>#DIV/0!</v>
      </c>
      <c r="V205" s="38">
        <f t="shared" si="151"/>
        <v>246787</v>
      </c>
      <c r="W205" s="38">
        <f t="shared" si="151"/>
        <v>364785</v>
      </c>
      <c r="X205" s="92">
        <f t="shared" si="152"/>
        <v>0.47813701694173516</v>
      </c>
      <c r="Y205" s="39">
        <v>188927</v>
      </c>
      <c r="Z205" s="39">
        <v>428097</v>
      </c>
      <c r="AA205" s="92">
        <f t="shared" si="153"/>
        <v>1.265938695898416</v>
      </c>
      <c r="AB205" s="39">
        <f t="shared" si="154"/>
        <v>435714</v>
      </c>
      <c r="AC205" s="39">
        <f t="shared" si="154"/>
        <v>792882</v>
      </c>
      <c r="AD205" s="92">
        <f t="shared" si="155"/>
        <v>0.81973037359368761</v>
      </c>
      <c r="AE205" s="101">
        <v>97716</v>
      </c>
      <c r="AF205" s="101">
        <v>312244</v>
      </c>
      <c r="AG205" s="92">
        <f t="shared" si="156"/>
        <v>2.1954234721028287</v>
      </c>
      <c r="AH205" s="101">
        <f t="shared" si="157"/>
        <v>533430</v>
      </c>
      <c r="AI205" s="101">
        <f t="shared" si="157"/>
        <v>1105126</v>
      </c>
      <c r="AJ205" s="92">
        <f t="shared" si="158"/>
        <v>1.0717357478956937</v>
      </c>
      <c r="AK205" s="22">
        <v>80416</v>
      </c>
      <c r="AL205" s="22">
        <f>146030+50000</f>
        <v>196030</v>
      </c>
      <c r="AM205" s="92">
        <f t="shared" si="159"/>
        <v>1.4376989653800241</v>
      </c>
      <c r="AN205" s="101">
        <f t="shared" si="160"/>
        <v>613846</v>
      </c>
      <c r="AO205" s="101">
        <f t="shared" si="160"/>
        <v>1301156</v>
      </c>
      <c r="AP205" s="92">
        <f t="shared" si="161"/>
        <v>1.1196782254832645</v>
      </c>
      <c r="AQ205" s="22">
        <v>106060</v>
      </c>
      <c r="AR205" s="22">
        <v>162621</v>
      </c>
      <c r="AS205" s="92">
        <f t="shared" si="162"/>
        <v>0.53329247595700546</v>
      </c>
      <c r="AT205" s="22">
        <f t="shared" si="163"/>
        <v>719906</v>
      </c>
      <c r="AU205" s="22">
        <f t="shared" si="163"/>
        <v>1463777</v>
      </c>
      <c r="AV205" s="92">
        <f t="shared" si="164"/>
        <v>1.0332890682950273</v>
      </c>
      <c r="AW205" s="22">
        <v>101699</v>
      </c>
      <c r="AX205" s="22">
        <v>147977</v>
      </c>
      <c r="AY205" s="92">
        <f t="shared" si="165"/>
        <v>0.45504872220965797</v>
      </c>
      <c r="AZ205" s="22">
        <f t="shared" si="166"/>
        <v>821605</v>
      </c>
      <c r="BA205" s="22">
        <f t="shared" si="166"/>
        <v>1611754</v>
      </c>
      <c r="BB205" s="92">
        <f t="shared" si="167"/>
        <v>0.96171396230548734</v>
      </c>
      <c r="BC205" s="101">
        <v>457030</v>
      </c>
      <c r="BD205" s="101">
        <v>78519</v>
      </c>
      <c r="BE205" s="92">
        <f t="shared" si="168"/>
        <v>-0.82819727370194518</v>
      </c>
      <c r="BF205" s="101">
        <f t="shared" si="169"/>
        <v>1278635</v>
      </c>
      <c r="BG205" s="101">
        <f t="shared" si="169"/>
        <v>1690273</v>
      </c>
      <c r="BH205" s="92">
        <f t="shared" si="170"/>
        <v>0.32193550153092954</v>
      </c>
      <c r="BI205" s="39"/>
      <c r="BJ205" s="28">
        <v>389940</v>
      </c>
      <c r="BK205" s="101">
        <v>350334</v>
      </c>
      <c r="BL205" s="22">
        <v>2018909</v>
      </c>
      <c r="BM205" s="29">
        <f t="shared" si="171"/>
        <v>0.93904055555555555</v>
      </c>
      <c r="BN205" s="20"/>
      <c r="BO205">
        <v>50000</v>
      </c>
    </row>
    <row r="206" spans="1:67">
      <c r="A206" s="42" t="s">
        <v>30</v>
      </c>
      <c r="B206" s="69" t="s">
        <v>30</v>
      </c>
      <c r="C206" s="79" t="s">
        <v>318</v>
      </c>
      <c r="D206" s="78" t="s">
        <v>84</v>
      </c>
      <c r="E206" s="78" t="s">
        <v>84</v>
      </c>
      <c r="F206" s="78" t="s">
        <v>302</v>
      </c>
      <c r="G206" s="78" t="s">
        <v>317</v>
      </c>
      <c r="H206" s="78" t="s">
        <v>314</v>
      </c>
      <c r="I206" s="78">
        <v>60</v>
      </c>
      <c r="J206" s="22">
        <v>38390</v>
      </c>
      <c r="K206" s="22">
        <f>8920+-4500</f>
        <v>4420</v>
      </c>
      <c r="L206" s="92">
        <f t="shared" si="146"/>
        <v>-0.88486585048189637</v>
      </c>
      <c r="M206" s="22">
        <v>30026</v>
      </c>
      <c r="N206" s="22">
        <f>9790+23840</f>
        <v>33630</v>
      </c>
      <c r="O206" s="92">
        <f t="shared" si="147"/>
        <v>0.12002930793312472</v>
      </c>
      <c r="P206" s="61">
        <f t="shared" si="148"/>
        <v>68416</v>
      </c>
      <c r="Q206" s="61">
        <f t="shared" si="148"/>
        <v>38050</v>
      </c>
      <c r="R206" s="92">
        <f t="shared" si="149"/>
        <v>-0.44384354536950421</v>
      </c>
      <c r="S206" s="39">
        <v>43778</v>
      </c>
      <c r="T206" s="39">
        <v>82867</v>
      </c>
      <c r="U206" s="92">
        <f t="shared" si="150"/>
        <v>0.89289140664260591</v>
      </c>
      <c r="V206" s="38">
        <f t="shared" si="151"/>
        <v>112194</v>
      </c>
      <c r="W206" s="38">
        <f t="shared" si="151"/>
        <v>120917</v>
      </c>
      <c r="X206" s="92">
        <f t="shared" si="152"/>
        <v>7.7749255753427171E-2</v>
      </c>
      <c r="Y206" s="39">
        <v>22130</v>
      </c>
      <c r="Z206" s="39">
        <v>41129.25</v>
      </c>
      <c r="AA206" s="92">
        <f t="shared" si="153"/>
        <v>0.85852914595571628</v>
      </c>
      <c r="AB206" s="39">
        <f t="shared" si="154"/>
        <v>134324</v>
      </c>
      <c r="AC206" s="39">
        <f t="shared" si="154"/>
        <v>162046.25</v>
      </c>
      <c r="AD206" s="92">
        <f t="shared" si="155"/>
        <v>0.20638344599624792</v>
      </c>
      <c r="AE206" s="101">
        <v>67490</v>
      </c>
      <c r="AF206" s="101">
        <v>28685.200000000001</v>
      </c>
      <c r="AG206" s="92">
        <f t="shared" si="156"/>
        <v>-0.57497110683064157</v>
      </c>
      <c r="AH206" s="101">
        <f t="shared" si="157"/>
        <v>201814</v>
      </c>
      <c r="AI206" s="101">
        <f t="shared" si="157"/>
        <v>190731.45</v>
      </c>
      <c r="AJ206" s="92">
        <f t="shared" si="158"/>
        <v>-5.4914673907657474E-2</v>
      </c>
      <c r="AK206" s="22">
        <v>45250</v>
      </c>
      <c r="AL206" s="22">
        <f>25600+40505.7</f>
        <v>66105.7</v>
      </c>
      <c r="AM206" s="92">
        <f t="shared" si="159"/>
        <v>0.46089944751381218</v>
      </c>
      <c r="AN206" s="101">
        <f t="shared" si="160"/>
        <v>247064</v>
      </c>
      <c r="AO206" s="101">
        <f t="shared" si="160"/>
        <v>256837.15000000002</v>
      </c>
      <c r="AP206" s="92">
        <f t="shared" si="161"/>
        <v>3.9557159278567511E-2</v>
      </c>
      <c r="AQ206" s="22">
        <v>19180</v>
      </c>
      <c r="AR206" s="22">
        <f>34206+13421</f>
        <v>47627</v>
      </c>
      <c r="AS206" s="92">
        <f t="shared" si="162"/>
        <v>1.4831595411887384</v>
      </c>
      <c r="AT206" s="22">
        <f t="shared" si="163"/>
        <v>266244</v>
      </c>
      <c r="AU206" s="22">
        <f t="shared" si="163"/>
        <v>304464.15000000002</v>
      </c>
      <c r="AV206" s="92">
        <f t="shared" si="164"/>
        <v>0.14355309415423445</v>
      </c>
      <c r="AW206" s="22">
        <v>53110</v>
      </c>
      <c r="AX206" s="22">
        <f>16880+2625</f>
        <v>19505</v>
      </c>
      <c r="AY206" s="92">
        <f t="shared" si="165"/>
        <v>-0.63274336283185839</v>
      </c>
      <c r="AZ206" s="22">
        <f t="shared" si="166"/>
        <v>319354</v>
      </c>
      <c r="BA206" s="22">
        <f t="shared" si="166"/>
        <v>323969.15000000002</v>
      </c>
      <c r="BB206" s="92">
        <f t="shared" si="167"/>
        <v>1.4451517751460807E-2</v>
      </c>
      <c r="BC206" s="101">
        <v>49884</v>
      </c>
      <c r="BD206" s="101">
        <v>41886</v>
      </c>
      <c r="BE206" s="92">
        <f t="shared" si="168"/>
        <v>-0.16033197017079626</v>
      </c>
      <c r="BF206" s="101">
        <f t="shared" si="169"/>
        <v>369238</v>
      </c>
      <c r="BG206" s="101">
        <f t="shared" si="169"/>
        <v>365855.15</v>
      </c>
      <c r="BH206" s="92">
        <f t="shared" si="170"/>
        <v>-9.1617059999240524E-3</v>
      </c>
      <c r="BI206" s="39">
        <v>70019</v>
      </c>
      <c r="BJ206" s="28">
        <v>21875</v>
      </c>
      <c r="BK206" s="101">
        <v>76406</v>
      </c>
      <c r="BL206" s="22">
        <v>537538</v>
      </c>
      <c r="BM206" s="29">
        <f t="shared" si="171"/>
        <v>0.60975858333333333</v>
      </c>
      <c r="BN206" s="20"/>
    </row>
    <row r="207" spans="1:67">
      <c r="A207" s="42" t="s">
        <v>30</v>
      </c>
      <c r="B207" s="69" t="s">
        <v>30</v>
      </c>
      <c r="C207" s="98" t="s">
        <v>319</v>
      </c>
      <c r="D207" s="78" t="s">
        <v>84</v>
      </c>
      <c r="E207" s="78" t="s">
        <v>84</v>
      </c>
      <c r="F207" s="78" t="s">
        <v>302</v>
      </c>
      <c r="G207" s="78" t="s">
        <v>317</v>
      </c>
      <c r="H207" s="78" t="s">
        <v>314</v>
      </c>
      <c r="I207" s="78"/>
      <c r="J207" s="22"/>
      <c r="K207" s="22"/>
      <c r="L207" s="92" t="e">
        <f t="shared" si="146"/>
        <v>#DIV/0!</v>
      </c>
      <c r="M207" s="22">
        <v>-4100</v>
      </c>
      <c r="N207" s="22"/>
      <c r="O207" s="92">
        <f t="shared" si="147"/>
        <v>-1</v>
      </c>
      <c r="P207" s="61">
        <f t="shared" si="148"/>
        <v>-4100</v>
      </c>
      <c r="Q207" s="61">
        <f t="shared" si="148"/>
        <v>0</v>
      </c>
      <c r="R207" s="92">
        <f t="shared" si="149"/>
        <v>-1</v>
      </c>
      <c r="S207" s="39"/>
      <c r="T207" s="39"/>
      <c r="U207" s="92" t="e">
        <f t="shared" si="150"/>
        <v>#DIV/0!</v>
      </c>
      <c r="V207" s="38">
        <f t="shared" si="151"/>
        <v>-4100</v>
      </c>
      <c r="W207" s="38">
        <f t="shared" si="151"/>
        <v>0</v>
      </c>
      <c r="X207" s="92">
        <f t="shared" si="152"/>
        <v>-1</v>
      </c>
      <c r="Y207" s="39"/>
      <c r="Z207" s="39"/>
      <c r="AA207" s="92" t="e">
        <f t="shared" si="153"/>
        <v>#DIV/0!</v>
      </c>
      <c r="AB207" s="39">
        <f t="shared" si="154"/>
        <v>-4100</v>
      </c>
      <c r="AC207" s="39">
        <f t="shared" si="154"/>
        <v>0</v>
      </c>
      <c r="AD207" s="92">
        <f t="shared" si="155"/>
        <v>-1</v>
      </c>
      <c r="AE207" s="101"/>
      <c r="AF207" s="101"/>
      <c r="AG207" s="92" t="e">
        <f t="shared" si="156"/>
        <v>#DIV/0!</v>
      </c>
      <c r="AH207" s="101">
        <f t="shared" si="157"/>
        <v>-4100</v>
      </c>
      <c r="AI207" s="101">
        <f t="shared" si="157"/>
        <v>0</v>
      </c>
      <c r="AJ207" s="92">
        <f t="shared" si="158"/>
        <v>-1</v>
      </c>
      <c r="AK207" s="22"/>
      <c r="AL207" s="22"/>
      <c r="AM207" s="92" t="e">
        <f t="shared" si="159"/>
        <v>#DIV/0!</v>
      </c>
      <c r="AN207" s="101">
        <f t="shared" si="160"/>
        <v>-4100</v>
      </c>
      <c r="AO207" s="101">
        <f t="shared" si="160"/>
        <v>0</v>
      </c>
      <c r="AP207" s="92">
        <f t="shared" si="161"/>
        <v>-1</v>
      </c>
      <c r="AQ207" s="22"/>
      <c r="AR207" s="22"/>
      <c r="AS207" s="92" t="e">
        <f t="shared" si="162"/>
        <v>#DIV/0!</v>
      </c>
      <c r="AT207" s="22">
        <f t="shared" si="163"/>
        <v>-4100</v>
      </c>
      <c r="AU207" s="22">
        <f t="shared" si="163"/>
        <v>0</v>
      </c>
      <c r="AV207" s="92">
        <f t="shared" si="164"/>
        <v>-1</v>
      </c>
      <c r="AW207" s="22"/>
      <c r="AX207" s="22"/>
      <c r="AY207" s="92" t="e">
        <f t="shared" si="165"/>
        <v>#DIV/0!</v>
      </c>
      <c r="AZ207" s="22">
        <f t="shared" si="166"/>
        <v>-4100</v>
      </c>
      <c r="BA207" s="22">
        <f t="shared" si="166"/>
        <v>0</v>
      </c>
      <c r="BB207" s="92">
        <f t="shared" si="167"/>
        <v>-1</v>
      </c>
      <c r="BC207" s="101"/>
      <c r="BD207" s="101"/>
      <c r="BE207" s="92" t="e">
        <f t="shared" si="168"/>
        <v>#DIV/0!</v>
      </c>
      <c r="BF207" s="101">
        <f t="shared" si="169"/>
        <v>-4100</v>
      </c>
      <c r="BG207" s="101">
        <f t="shared" si="169"/>
        <v>0</v>
      </c>
      <c r="BH207" s="92">
        <f t="shared" si="170"/>
        <v>-1</v>
      </c>
      <c r="BI207" s="39"/>
      <c r="BJ207" s="28"/>
      <c r="BK207" s="101"/>
      <c r="BL207" s="22">
        <v>-4100</v>
      </c>
      <c r="BM207" s="29" t="e">
        <f t="shared" si="171"/>
        <v>#DIV/0!</v>
      </c>
      <c r="BN207" s="20"/>
    </row>
    <row r="208" spans="1:67">
      <c r="A208" s="42" t="s">
        <v>30</v>
      </c>
      <c r="B208" s="69" t="s">
        <v>30</v>
      </c>
      <c r="C208" s="79" t="s">
        <v>320</v>
      </c>
      <c r="D208" s="78" t="s">
        <v>65</v>
      </c>
      <c r="E208" s="78" t="s">
        <v>65</v>
      </c>
      <c r="F208" s="78" t="s">
        <v>321</v>
      </c>
      <c r="G208" s="78" t="s">
        <v>321</v>
      </c>
      <c r="H208" s="78" t="s">
        <v>308</v>
      </c>
      <c r="I208" s="78">
        <v>80</v>
      </c>
      <c r="J208" s="22">
        <v>80326</v>
      </c>
      <c r="K208" s="22">
        <v>23324</v>
      </c>
      <c r="L208" s="92">
        <f t="shared" si="146"/>
        <v>-0.70963324452854615</v>
      </c>
      <c r="M208" s="22">
        <v>5033</v>
      </c>
      <c r="N208" s="22">
        <v>21751</v>
      </c>
      <c r="O208" s="92">
        <f t="shared" si="147"/>
        <v>3.3216769322471684</v>
      </c>
      <c r="P208" s="61">
        <f t="shared" si="148"/>
        <v>85359</v>
      </c>
      <c r="Q208" s="61">
        <f t="shared" si="148"/>
        <v>45075</v>
      </c>
      <c r="R208" s="92">
        <f t="shared" si="149"/>
        <v>-0.47193617544722877</v>
      </c>
      <c r="S208" s="39">
        <v>50000</v>
      </c>
      <c r="T208" s="39">
        <v>23844</v>
      </c>
      <c r="U208" s="92">
        <f t="shared" si="150"/>
        <v>-0.52312000000000003</v>
      </c>
      <c r="V208" s="38">
        <f t="shared" si="151"/>
        <v>135359</v>
      </c>
      <c r="W208" s="38">
        <f t="shared" si="151"/>
        <v>68919</v>
      </c>
      <c r="X208" s="92">
        <f t="shared" si="152"/>
        <v>-0.4908428697020516</v>
      </c>
      <c r="Y208" s="39"/>
      <c r="Z208" s="39"/>
      <c r="AA208" s="92" t="e">
        <f t="shared" si="153"/>
        <v>#DIV/0!</v>
      </c>
      <c r="AB208" s="39">
        <f t="shared" si="154"/>
        <v>135359</v>
      </c>
      <c r="AC208" s="39">
        <f t="shared" si="154"/>
        <v>68919</v>
      </c>
      <c r="AD208" s="92">
        <f t="shared" si="155"/>
        <v>-0.4908428697020516</v>
      </c>
      <c r="AE208" s="101">
        <v>18721</v>
      </c>
      <c r="AF208" s="101">
        <v>34862</v>
      </c>
      <c r="AG208" s="92">
        <f t="shared" si="156"/>
        <v>0.86218684899310927</v>
      </c>
      <c r="AH208" s="101">
        <f t="shared" si="157"/>
        <v>154080</v>
      </c>
      <c r="AI208" s="101">
        <f t="shared" si="157"/>
        <v>103781</v>
      </c>
      <c r="AJ208" s="92">
        <f t="shared" si="158"/>
        <v>-0.32644730010384215</v>
      </c>
      <c r="AK208" s="22"/>
      <c r="AL208" s="22"/>
      <c r="AM208" s="92" t="e">
        <f t="shared" si="159"/>
        <v>#DIV/0!</v>
      </c>
      <c r="AN208" s="101">
        <f t="shared" si="160"/>
        <v>154080</v>
      </c>
      <c r="AO208" s="101">
        <f t="shared" si="160"/>
        <v>103781</v>
      </c>
      <c r="AP208" s="92">
        <f t="shared" si="161"/>
        <v>-0.32644730010384215</v>
      </c>
      <c r="AQ208" s="22">
        <v>25918</v>
      </c>
      <c r="AR208" s="22">
        <v>10900</v>
      </c>
      <c r="AS208" s="92">
        <f t="shared" si="162"/>
        <v>-0.57944285824523489</v>
      </c>
      <c r="AT208" s="22">
        <f t="shared" si="163"/>
        <v>179998</v>
      </c>
      <c r="AU208" s="22">
        <f t="shared" si="163"/>
        <v>114681</v>
      </c>
      <c r="AV208" s="92">
        <f t="shared" si="164"/>
        <v>-0.36287625418060199</v>
      </c>
      <c r="AW208" s="22">
        <v>50000</v>
      </c>
      <c r="AX208" s="22">
        <v>17800</v>
      </c>
      <c r="AY208" s="92">
        <f t="shared" si="165"/>
        <v>-0.64400000000000002</v>
      </c>
      <c r="AZ208" s="22">
        <f t="shared" si="166"/>
        <v>229998</v>
      </c>
      <c r="BA208" s="22">
        <f t="shared" si="166"/>
        <v>132481</v>
      </c>
      <c r="BB208" s="92">
        <f t="shared" si="167"/>
        <v>-0.42399064339689907</v>
      </c>
      <c r="BC208" s="101">
        <v>13006</v>
      </c>
      <c r="BD208" s="101">
        <v>30085</v>
      </c>
      <c r="BE208" s="92">
        <f t="shared" si="168"/>
        <v>1.3131631554667078</v>
      </c>
      <c r="BF208" s="101">
        <f t="shared" si="169"/>
        <v>243004</v>
      </c>
      <c r="BG208" s="101">
        <f t="shared" si="169"/>
        <v>162566</v>
      </c>
      <c r="BH208" s="92">
        <f t="shared" si="170"/>
        <v>-0.33101512732300697</v>
      </c>
      <c r="BI208" s="39"/>
      <c r="BJ208" s="28">
        <v>110000</v>
      </c>
      <c r="BK208" s="101">
        <v>100023</v>
      </c>
      <c r="BL208" s="22">
        <v>453027</v>
      </c>
      <c r="BM208" s="29">
        <f t="shared" si="171"/>
        <v>0.20320749999999999</v>
      </c>
      <c r="BN208" s="20"/>
      <c r="BO208">
        <v>34862</v>
      </c>
    </row>
    <row r="209" spans="1:67">
      <c r="A209" s="42" t="s">
        <v>30</v>
      </c>
      <c r="B209" s="69" t="s">
        <v>30</v>
      </c>
      <c r="C209" s="98" t="s">
        <v>322</v>
      </c>
      <c r="D209" s="78" t="s">
        <v>61</v>
      </c>
      <c r="E209" s="78" t="s">
        <v>61</v>
      </c>
      <c r="F209" s="78" t="s">
        <v>307</v>
      </c>
      <c r="G209" s="78" t="s">
        <v>307</v>
      </c>
      <c r="H209" s="78" t="s">
        <v>308</v>
      </c>
      <c r="I209" s="78">
        <v>30</v>
      </c>
      <c r="J209" s="22">
        <v>11054</v>
      </c>
      <c r="K209" s="22"/>
      <c r="L209" s="92">
        <f t="shared" si="146"/>
        <v>-1</v>
      </c>
      <c r="M209" s="22"/>
      <c r="N209" s="22"/>
      <c r="O209" s="92" t="e">
        <f t="shared" si="147"/>
        <v>#DIV/0!</v>
      </c>
      <c r="P209" s="61">
        <f t="shared" si="148"/>
        <v>11054</v>
      </c>
      <c r="Q209" s="61">
        <f t="shared" si="148"/>
        <v>0</v>
      </c>
      <c r="R209" s="92">
        <f t="shared" si="149"/>
        <v>-1</v>
      </c>
      <c r="S209" s="39"/>
      <c r="T209" s="39"/>
      <c r="U209" s="92" t="e">
        <f t="shared" si="150"/>
        <v>#DIV/0!</v>
      </c>
      <c r="V209" s="38">
        <f t="shared" si="151"/>
        <v>11054</v>
      </c>
      <c r="W209" s="38">
        <f t="shared" si="151"/>
        <v>0</v>
      </c>
      <c r="X209" s="92">
        <f t="shared" si="152"/>
        <v>-1</v>
      </c>
      <c r="Y209" s="39">
        <v>9650</v>
      </c>
      <c r="Z209" s="39"/>
      <c r="AA209" s="92">
        <f t="shared" si="153"/>
        <v>-1</v>
      </c>
      <c r="AB209" s="39">
        <f t="shared" si="154"/>
        <v>20704</v>
      </c>
      <c r="AC209" s="39">
        <f t="shared" si="154"/>
        <v>0</v>
      </c>
      <c r="AD209" s="92">
        <f t="shared" si="155"/>
        <v>-1</v>
      </c>
      <c r="AE209" s="101"/>
      <c r="AF209" s="101"/>
      <c r="AG209" s="92" t="e">
        <f t="shared" si="156"/>
        <v>#DIV/0!</v>
      </c>
      <c r="AH209" s="101">
        <f t="shared" si="157"/>
        <v>20704</v>
      </c>
      <c r="AI209" s="101">
        <f t="shared" si="157"/>
        <v>0</v>
      </c>
      <c r="AJ209" s="92">
        <f t="shared" si="158"/>
        <v>-1</v>
      </c>
      <c r="AK209" s="22"/>
      <c r="AL209" s="22"/>
      <c r="AM209" s="92" t="e">
        <f t="shared" si="159"/>
        <v>#DIV/0!</v>
      </c>
      <c r="AN209" s="101">
        <f t="shared" si="160"/>
        <v>20704</v>
      </c>
      <c r="AO209" s="101">
        <f t="shared" si="160"/>
        <v>0</v>
      </c>
      <c r="AP209" s="92">
        <f t="shared" si="161"/>
        <v>-1</v>
      </c>
      <c r="AQ209" s="22"/>
      <c r="AR209" s="22"/>
      <c r="AS209" s="92" t="e">
        <f t="shared" si="162"/>
        <v>#DIV/0!</v>
      </c>
      <c r="AT209" s="22">
        <f t="shared" si="163"/>
        <v>20704</v>
      </c>
      <c r="AU209" s="22">
        <f t="shared" si="163"/>
        <v>0</v>
      </c>
      <c r="AV209" s="92">
        <f t="shared" si="164"/>
        <v>-1</v>
      </c>
      <c r="AW209" s="22"/>
      <c r="AX209" s="22"/>
      <c r="AY209" s="92" t="e">
        <f t="shared" si="165"/>
        <v>#DIV/0!</v>
      </c>
      <c r="AZ209" s="22">
        <f t="shared" si="166"/>
        <v>20704</v>
      </c>
      <c r="BA209" s="22">
        <f t="shared" si="166"/>
        <v>0</v>
      </c>
      <c r="BB209" s="92">
        <f t="shared" si="167"/>
        <v>-1</v>
      </c>
      <c r="BC209" s="101"/>
      <c r="BD209" s="101"/>
      <c r="BE209" s="92" t="e">
        <f t="shared" si="168"/>
        <v>#DIV/0!</v>
      </c>
      <c r="BF209" s="101">
        <f t="shared" si="169"/>
        <v>20704</v>
      </c>
      <c r="BG209" s="101">
        <f t="shared" si="169"/>
        <v>0</v>
      </c>
      <c r="BH209" s="92">
        <f t="shared" si="170"/>
        <v>-1</v>
      </c>
      <c r="BI209" s="39"/>
      <c r="BJ209" s="28"/>
      <c r="BK209" s="101"/>
      <c r="BL209" s="22">
        <v>20704</v>
      </c>
      <c r="BM209" s="29">
        <f t="shared" si="171"/>
        <v>0</v>
      </c>
      <c r="BN209" s="20"/>
    </row>
    <row r="210" spans="1:67">
      <c r="A210" s="42" t="s">
        <v>30</v>
      </c>
      <c r="B210" s="69" t="s">
        <v>30</v>
      </c>
      <c r="C210" s="81" t="s">
        <v>323</v>
      </c>
      <c r="D210" s="78" t="s">
        <v>88</v>
      </c>
      <c r="E210" s="78" t="s">
        <v>88</v>
      </c>
      <c r="F210" s="78" t="s">
        <v>302</v>
      </c>
      <c r="G210" s="78" t="s">
        <v>317</v>
      </c>
      <c r="H210" s="78"/>
      <c r="I210" s="78"/>
      <c r="J210" s="22">
        <v>106482</v>
      </c>
      <c r="K210" s="22">
        <v>179573.4</v>
      </c>
      <c r="L210" s="92">
        <f t="shared" si="146"/>
        <v>0.68642024004057012</v>
      </c>
      <c r="M210" s="22">
        <v>47216</v>
      </c>
      <c r="N210" s="22">
        <v>105249</v>
      </c>
      <c r="O210" s="92">
        <f t="shared" si="147"/>
        <v>1.2290960691291088</v>
      </c>
      <c r="P210" s="61">
        <f t="shared" si="148"/>
        <v>153698</v>
      </c>
      <c r="Q210" s="61">
        <f t="shared" si="148"/>
        <v>284822.40000000002</v>
      </c>
      <c r="R210" s="92">
        <f t="shared" si="149"/>
        <v>0.85313016434826761</v>
      </c>
      <c r="S210" s="39">
        <v>137272</v>
      </c>
      <c r="T210" s="39">
        <f>84087+13980.32</f>
        <v>98067.32</v>
      </c>
      <c r="U210" s="92">
        <f t="shared" si="150"/>
        <v>-0.28559851972725681</v>
      </c>
      <c r="V210" s="38">
        <f t="shared" si="151"/>
        <v>290970</v>
      </c>
      <c r="W210" s="38">
        <f t="shared" si="151"/>
        <v>382889.72000000003</v>
      </c>
      <c r="X210" s="92">
        <f t="shared" si="152"/>
        <v>0.31590789428463428</v>
      </c>
      <c r="Y210" s="39">
        <v>106839</v>
      </c>
      <c r="Z210" s="39">
        <v>26001</v>
      </c>
      <c r="AA210" s="92">
        <f t="shared" si="153"/>
        <v>-0.75663381349507208</v>
      </c>
      <c r="AB210" s="39">
        <f t="shared" si="154"/>
        <v>397809</v>
      </c>
      <c r="AC210" s="39">
        <f t="shared" si="154"/>
        <v>408890.72000000003</v>
      </c>
      <c r="AD210" s="92">
        <f t="shared" si="155"/>
        <v>2.7856886093577726E-2</v>
      </c>
      <c r="AE210" s="101">
        <v>104179</v>
      </c>
      <c r="AF210" s="101">
        <v>145162</v>
      </c>
      <c r="AG210" s="92">
        <f t="shared" si="156"/>
        <v>0.39339022259764445</v>
      </c>
      <c r="AH210" s="101">
        <f t="shared" si="157"/>
        <v>501988</v>
      </c>
      <c r="AI210" s="101">
        <f t="shared" si="157"/>
        <v>554052.72</v>
      </c>
      <c r="AJ210" s="92">
        <f t="shared" si="158"/>
        <v>0.10371706096560063</v>
      </c>
      <c r="AK210" s="22">
        <v>94199.4</v>
      </c>
      <c r="AL210" s="22">
        <v>117019.56</v>
      </c>
      <c r="AM210" s="92">
        <f t="shared" si="159"/>
        <v>0.24225377231702128</v>
      </c>
      <c r="AN210" s="101">
        <f t="shared" si="160"/>
        <v>596187.4</v>
      </c>
      <c r="AO210" s="101">
        <f t="shared" si="160"/>
        <v>671072.28</v>
      </c>
      <c r="AP210" s="92">
        <f t="shared" si="161"/>
        <v>0.12560627748925923</v>
      </c>
      <c r="AQ210" s="22">
        <v>85550</v>
      </c>
      <c r="AR210" s="22">
        <v>92805</v>
      </c>
      <c r="AS210" s="92">
        <f t="shared" si="162"/>
        <v>8.4804208065458742E-2</v>
      </c>
      <c r="AT210" s="22">
        <f t="shared" si="163"/>
        <v>681737.4</v>
      </c>
      <c r="AU210" s="22">
        <f t="shared" si="163"/>
        <v>763877.28</v>
      </c>
      <c r="AV210" s="92">
        <f t="shared" si="164"/>
        <v>0.12048609919303233</v>
      </c>
      <c r="AW210" s="22">
        <v>113437.2</v>
      </c>
      <c r="AX210" s="22">
        <v>201219.76</v>
      </c>
      <c r="AY210" s="92">
        <f t="shared" si="165"/>
        <v>0.77384279583769722</v>
      </c>
      <c r="AZ210" s="22">
        <f t="shared" si="166"/>
        <v>795174.6</v>
      </c>
      <c r="BA210" s="22">
        <f t="shared" si="166"/>
        <v>965097.04</v>
      </c>
      <c r="BB210" s="92">
        <f t="shared" si="167"/>
        <v>0.21369198664041833</v>
      </c>
      <c r="BC210" s="101">
        <v>137063</v>
      </c>
      <c r="BD210" s="101">
        <v>114860.2</v>
      </c>
      <c r="BE210" s="92">
        <f t="shared" si="168"/>
        <v>-0.16198974194348581</v>
      </c>
      <c r="BF210" s="101">
        <f t="shared" si="169"/>
        <v>932237.6</v>
      </c>
      <c r="BG210" s="101">
        <f t="shared" si="169"/>
        <v>1079957.24</v>
      </c>
      <c r="BH210" s="92">
        <f t="shared" si="170"/>
        <v>0.15845707145903587</v>
      </c>
      <c r="BI210" s="39">
        <v>172689</v>
      </c>
      <c r="BJ210" s="28">
        <v>124406.7</v>
      </c>
      <c r="BK210" s="101">
        <v>253098.7</v>
      </c>
      <c r="BL210" s="22">
        <v>1482432</v>
      </c>
      <c r="BM210" s="29" t="e">
        <f t="shared" si="171"/>
        <v>#DIV/0!</v>
      </c>
      <c r="BN210" s="20"/>
    </row>
    <row r="211" spans="1:67">
      <c r="A211" s="42" t="s">
        <v>30</v>
      </c>
      <c r="B211" s="69" t="s">
        <v>30</v>
      </c>
      <c r="C211" s="81" t="s">
        <v>324</v>
      </c>
      <c r="D211" s="78" t="s">
        <v>65</v>
      </c>
      <c r="E211" s="78" t="s">
        <v>65</v>
      </c>
      <c r="F211" s="78" t="s">
        <v>311</v>
      </c>
      <c r="G211" s="78" t="s">
        <v>311</v>
      </c>
      <c r="H211" s="78" t="s">
        <v>308</v>
      </c>
      <c r="I211" s="78">
        <v>80</v>
      </c>
      <c r="J211" s="22">
        <v>199467</v>
      </c>
      <c r="K211" s="22">
        <v>33384</v>
      </c>
      <c r="L211" s="92">
        <f t="shared" si="146"/>
        <v>-0.8326339695287942</v>
      </c>
      <c r="M211" s="22">
        <v>16962</v>
      </c>
      <c r="N211" s="22">
        <v>18012</v>
      </c>
      <c r="O211" s="92">
        <f t="shared" si="147"/>
        <v>6.1903077467279743E-2</v>
      </c>
      <c r="P211" s="61">
        <f t="shared" si="148"/>
        <v>216429</v>
      </c>
      <c r="Q211" s="61">
        <f t="shared" si="148"/>
        <v>51396</v>
      </c>
      <c r="R211" s="92">
        <f t="shared" si="149"/>
        <v>-0.76252720291642984</v>
      </c>
      <c r="S211" s="39">
        <v>21823</v>
      </c>
      <c r="T211" s="39">
        <v>12509</v>
      </c>
      <c r="U211" s="92">
        <f t="shared" si="150"/>
        <v>-0.42679741557072814</v>
      </c>
      <c r="V211" s="38">
        <f t="shared" si="151"/>
        <v>238252</v>
      </c>
      <c r="W211" s="38">
        <f t="shared" si="151"/>
        <v>63905</v>
      </c>
      <c r="X211" s="92">
        <f t="shared" si="152"/>
        <v>-0.73177559894565425</v>
      </c>
      <c r="Y211" s="39">
        <v>37539</v>
      </c>
      <c r="Z211" s="39">
        <v>14479</v>
      </c>
      <c r="AA211" s="92">
        <f t="shared" si="153"/>
        <v>-0.6142944670875623</v>
      </c>
      <c r="AB211" s="39">
        <f t="shared" si="154"/>
        <v>275791</v>
      </c>
      <c r="AC211" s="39">
        <f t="shared" si="154"/>
        <v>78384</v>
      </c>
      <c r="AD211" s="92">
        <f t="shared" si="155"/>
        <v>-0.71578477905370375</v>
      </c>
      <c r="AE211" s="101">
        <v>98292</v>
      </c>
      <c r="AF211" s="101">
        <f>17747+33866</f>
        <v>51613</v>
      </c>
      <c r="AG211" s="92">
        <f t="shared" si="156"/>
        <v>-0.47490131445081996</v>
      </c>
      <c r="AH211" s="101">
        <f t="shared" si="157"/>
        <v>374083</v>
      </c>
      <c r="AI211" s="101">
        <f t="shared" si="157"/>
        <v>129997</v>
      </c>
      <c r="AJ211" s="92">
        <f t="shared" si="158"/>
        <v>-0.65249155935982128</v>
      </c>
      <c r="AK211" s="22"/>
      <c r="AL211" s="22">
        <v>12263</v>
      </c>
      <c r="AM211" s="92" t="e">
        <f t="shared" si="159"/>
        <v>#DIV/0!</v>
      </c>
      <c r="AN211" s="101">
        <f t="shared" si="160"/>
        <v>374083</v>
      </c>
      <c r="AO211" s="101">
        <f t="shared" si="160"/>
        <v>142260</v>
      </c>
      <c r="AP211" s="92">
        <f t="shared" si="161"/>
        <v>-0.61971006434400921</v>
      </c>
      <c r="AQ211" s="22">
        <v>21043</v>
      </c>
      <c r="AR211" s="22">
        <v>53011</v>
      </c>
      <c r="AS211" s="92">
        <f t="shared" si="162"/>
        <v>1.5191750225728269</v>
      </c>
      <c r="AT211" s="22">
        <f t="shared" si="163"/>
        <v>395126</v>
      </c>
      <c r="AU211" s="22">
        <f t="shared" si="163"/>
        <v>195271</v>
      </c>
      <c r="AV211" s="92">
        <f t="shared" si="164"/>
        <v>-0.50580068130166067</v>
      </c>
      <c r="AW211" s="22">
        <v>28974</v>
      </c>
      <c r="AX211" s="22">
        <v>58711</v>
      </c>
      <c r="AY211" s="92">
        <f t="shared" si="165"/>
        <v>1.0263339545799681</v>
      </c>
      <c r="AZ211" s="22">
        <f t="shared" si="166"/>
        <v>424100</v>
      </c>
      <c r="BA211" s="22">
        <f t="shared" si="166"/>
        <v>253982</v>
      </c>
      <c r="BB211" s="92">
        <f t="shared" si="167"/>
        <v>-0.40112709266682389</v>
      </c>
      <c r="BC211" s="101">
        <v>55387</v>
      </c>
      <c r="BD211" s="101">
        <v>18338</v>
      </c>
      <c r="BE211" s="92">
        <f t="shared" si="168"/>
        <v>-0.66891147742249979</v>
      </c>
      <c r="BF211" s="101">
        <f t="shared" si="169"/>
        <v>479487</v>
      </c>
      <c r="BG211" s="101">
        <f t="shared" si="169"/>
        <v>272320</v>
      </c>
      <c r="BH211" s="92">
        <f t="shared" si="170"/>
        <v>-0.43205968045014775</v>
      </c>
      <c r="BI211" s="39">
        <v>1903</v>
      </c>
      <c r="BJ211" s="28">
        <v>102468</v>
      </c>
      <c r="BK211" s="101">
        <v>297008</v>
      </c>
      <c r="BL211" s="22">
        <v>880866</v>
      </c>
      <c r="BM211" s="29">
        <f t="shared" si="171"/>
        <v>0.34039999999999998</v>
      </c>
      <c r="BN211" s="20">
        <v>45659</v>
      </c>
      <c r="BO211">
        <v>33866</v>
      </c>
    </row>
    <row r="212" spans="1:67">
      <c r="A212" s="42" t="s">
        <v>30</v>
      </c>
      <c r="B212" s="69" t="s">
        <v>30</v>
      </c>
      <c r="C212" s="81" t="s">
        <v>325</v>
      </c>
      <c r="D212" s="78" t="s">
        <v>102</v>
      </c>
      <c r="E212" s="78" t="s">
        <v>102</v>
      </c>
      <c r="F212" s="78" t="s">
        <v>311</v>
      </c>
      <c r="G212" s="78" t="s">
        <v>311</v>
      </c>
      <c r="H212" s="78" t="s">
        <v>308</v>
      </c>
      <c r="I212" s="78">
        <v>30</v>
      </c>
      <c r="J212" s="22">
        <v>17565</v>
      </c>
      <c r="K212" s="22"/>
      <c r="L212" s="92">
        <f t="shared" si="146"/>
        <v>-1</v>
      </c>
      <c r="M212" s="22">
        <v>11220</v>
      </c>
      <c r="N212" s="22"/>
      <c r="O212" s="92">
        <f t="shared" si="147"/>
        <v>-1</v>
      </c>
      <c r="P212" s="61">
        <f t="shared" si="148"/>
        <v>28785</v>
      </c>
      <c r="Q212" s="61">
        <f t="shared" si="148"/>
        <v>0</v>
      </c>
      <c r="R212" s="92">
        <f t="shared" si="149"/>
        <v>-1</v>
      </c>
      <c r="S212" s="39"/>
      <c r="T212" s="39"/>
      <c r="U212" s="92" t="e">
        <f t="shared" si="150"/>
        <v>#DIV/0!</v>
      </c>
      <c r="V212" s="38">
        <f t="shared" si="151"/>
        <v>28785</v>
      </c>
      <c r="W212" s="38">
        <f t="shared" si="151"/>
        <v>0</v>
      </c>
      <c r="X212" s="92">
        <f t="shared" si="152"/>
        <v>-1</v>
      </c>
      <c r="Y212" s="39"/>
      <c r="Z212" s="39"/>
      <c r="AA212" s="92" t="e">
        <f t="shared" si="153"/>
        <v>#DIV/0!</v>
      </c>
      <c r="AB212" s="39">
        <f t="shared" si="154"/>
        <v>28785</v>
      </c>
      <c r="AC212" s="39">
        <f t="shared" si="154"/>
        <v>0</v>
      </c>
      <c r="AD212" s="92">
        <f t="shared" si="155"/>
        <v>-1</v>
      </c>
      <c r="AE212" s="101">
        <v>24500</v>
      </c>
      <c r="AF212" s="101"/>
      <c r="AG212" s="92">
        <f t="shared" si="156"/>
        <v>-1</v>
      </c>
      <c r="AH212" s="101">
        <f t="shared" si="157"/>
        <v>53285</v>
      </c>
      <c r="AI212" s="101">
        <f t="shared" si="157"/>
        <v>0</v>
      </c>
      <c r="AJ212" s="92">
        <f t="shared" si="158"/>
        <v>-1</v>
      </c>
      <c r="AK212" s="22">
        <v>5320</v>
      </c>
      <c r="AL212" s="22">
        <v>5700</v>
      </c>
      <c r="AM212" s="92">
        <f t="shared" si="159"/>
        <v>7.1428571428571397E-2</v>
      </c>
      <c r="AN212" s="101">
        <f t="shared" si="160"/>
        <v>58605</v>
      </c>
      <c r="AO212" s="101">
        <f t="shared" si="160"/>
        <v>5700</v>
      </c>
      <c r="AP212" s="92">
        <f t="shared" si="161"/>
        <v>-0.90273867417455844</v>
      </c>
      <c r="AQ212" s="22"/>
      <c r="AR212" s="22"/>
      <c r="AS212" s="92" t="e">
        <f t="shared" si="162"/>
        <v>#DIV/0!</v>
      </c>
      <c r="AT212" s="22">
        <f t="shared" si="163"/>
        <v>58605</v>
      </c>
      <c r="AU212" s="22">
        <f t="shared" si="163"/>
        <v>5700</v>
      </c>
      <c r="AV212" s="92">
        <f t="shared" si="164"/>
        <v>-0.90273867417455844</v>
      </c>
      <c r="AW212" s="22"/>
      <c r="AX212" s="22">
        <v>10808</v>
      </c>
      <c r="AY212" s="92" t="e">
        <f t="shared" si="165"/>
        <v>#DIV/0!</v>
      </c>
      <c r="AZ212" s="22">
        <f t="shared" si="166"/>
        <v>58605</v>
      </c>
      <c r="BA212" s="22">
        <f t="shared" si="166"/>
        <v>16508</v>
      </c>
      <c r="BB212" s="92">
        <f t="shared" si="167"/>
        <v>-0.7183175496971248</v>
      </c>
      <c r="BC212" s="101">
        <v>10808</v>
      </c>
      <c r="BD212" s="101"/>
      <c r="BE212" s="92">
        <f t="shared" si="168"/>
        <v>-1</v>
      </c>
      <c r="BF212" s="101">
        <f t="shared" si="169"/>
        <v>69413</v>
      </c>
      <c r="BG212" s="101">
        <f t="shared" si="169"/>
        <v>16508</v>
      </c>
      <c r="BH212" s="92">
        <f t="shared" si="170"/>
        <v>-0.76217711379712738</v>
      </c>
      <c r="BI212" s="39">
        <v>19050</v>
      </c>
      <c r="BJ212" s="28">
        <v>27500</v>
      </c>
      <c r="BK212" s="101">
        <v>31561</v>
      </c>
      <c r="BL212" s="22">
        <v>147524</v>
      </c>
      <c r="BM212" s="29">
        <f t="shared" si="171"/>
        <v>5.5026666666666668E-2</v>
      </c>
      <c r="BN212" s="20"/>
    </row>
    <row r="213" spans="1:67" ht="45">
      <c r="A213" s="42" t="s">
        <v>30</v>
      </c>
      <c r="B213" s="69" t="s">
        <v>30</v>
      </c>
      <c r="C213" s="99" t="s">
        <v>326</v>
      </c>
      <c r="D213" s="78" t="s">
        <v>102</v>
      </c>
      <c r="E213" s="78" t="s">
        <v>102</v>
      </c>
      <c r="F213" s="78" t="s">
        <v>307</v>
      </c>
      <c r="G213" s="78" t="s">
        <v>307</v>
      </c>
      <c r="H213" s="78" t="s">
        <v>314</v>
      </c>
      <c r="I213" s="78">
        <v>30</v>
      </c>
      <c r="J213" s="22">
        <v>10000</v>
      </c>
      <c r="K213" s="22">
        <v>20000</v>
      </c>
      <c r="L213" s="92">
        <f t="shared" si="146"/>
        <v>1</v>
      </c>
      <c r="M213" s="22">
        <v>20000</v>
      </c>
      <c r="N213" s="22"/>
      <c r="O213" s="92">
        <f t="shared" si="147"/>
        <v>-1</v>
      </c>
      <c r="P213" s="61">
        <f t="shared" si="148"/>
        <v>30000</v>
      </c>
      <c r="Q213" s="61">
        <f t="shared" si="148"/>
        <v>20000</v>
      </c>
      <c r="R213" s="92">
        <f t="shared" si="149"/>
        <v>-0.33333333333333337</v>
      </c>
      <c r="S213" s="39">
        <v>10000</v>
      </c>
      <c r="T213" s="39">
        <v>10000</v>
      </c>
      <c r="U213" s="92">
        <f t="shared" si="150"/>
        <v>0</v>
      </c>
      <c r="V213" s="38">
        <f t="shared" si="151"/>
        <v>40000</v>
      </c>
      <c r="W213" s="38">
        <f t="shared" si="151"/>
        <v>30000</v>
      </c>
      <c r="X213" s="92">
        <f t="shared" si="152"/>
        <v>-0.25</v>
      </c>
      <c r="Y213" s="39"/>
      <c r="Z213" s="39"/>
      <c r="AA213" s="92" t="e">
        <f t="shared" si="153"/>
        <v>#DIV/0!</v>
      </c>
      <c r="AB213" s="39">
        <f t="shared" si="154"/>
        <v>40000</v>
      </c>
      <c r="AC213" s="39">
        <f t="shared" si="154"/>
        <v>30000</v>
      </c>
      <c r="AD213" s="92">
        <f t="shared" si="155"/>
        <v>-0.25</v>
      </c>
      <c r="AE213" s="101">
        <v>20000</v>
      </c>
      <c r="AF213" s="101">
        <v>20000</v>
      </c>
      <c r="AG213" s="92">
        <f t="shared" si="156"/>
        <v>0</v>
      </c>
      <c r="AH213" s="101">
        <f t="shared" si="157"/>
        <v>60000</v>
      </c>
      <c r="AI213" s="101">
        <f t="shared" si="157"/>
        <v>50000</v>
      </c>
      <c r="AJ213" s="92">
        <f t="shared" si="158"/>
        <v>-0.16666666666666663</v>
      </c>
      <c r="AK213" s="22"/>
      <c r="AL213" s="22">
        <v>10000</v>
      </c>
      <c r="AM213" s="92" t="e">
        <f t="shared" si="159"/>
        <v>#DIV/0!</v>
      </c>
      <c r="AN213" s="101">
        <f t="shared" si="160"/>
        <v>60000</v>
      </c>
      <c r="AO213" s="101">
        <f t="shared" si="160"/>
        <v>60000</v>
      </c>
      <c r="AP213" s="92">
        <f t="shared" si="161"/>
        <v>0</v>
      </c>
      <c r="AQ213" s="22">
        <v>20000</v>
      </c>
      <c r="AR213" s="22"/>
      <c r="AS213" s="92">
        <f t="shared" si="162"/>
        <v>-1</v>
      </c>
      <c r="AT213" s="22">
        <f t="shared" si="163"/>
        <v>80000</v>
      </c>
      <c r="AU213" s="22">
        <f t="shared" si="163"/>
        <v>60000</v>
      </c>
      <c r="AV213" s="92">
        <f t="shared" si="164"/>
        <v>-0.25</v>
      </c>
      <c r="AW213" s="22"/>
      <c r="AX213" s="22"/>
      <c r="AY213" s="92" t="e">
        <f t="shared" si="165"/>
        <v>#DIV/0!</v>
      </c>
      <c r="AZ213" s="22">
        <f t="shared" si="166"/>
        <v>80000</v>
      </c>
      <c r="BA213" s="22">
        <f t="shared" si="166"/>
        <v>60000</v>
      </c>
      <c r="BB213" s="92">
        <f t="shared" si="167"/>
        <v>-0.25</v>
      </c>
      <c r="BC213" s="101"/>
      <c r="BD213" s="101"/>
      <c r="BE213" s="92" t="e">
        <f t="shared" si="168"/>
        <v>#DIV/0!</v>
      </c>
      <c r="BF213" s="101">
        <f t="shared" si="169"/>
        <v>80000</v>
      </c>
      <c r="BG213" s="101">
        <f t="shared" si="169"/>
        <v>60000</v>
      </c>
      <c r="BH213" s="92">
        <f t="shared" si="170"/>
        <v>-0.25</v>
      </c>
      <c r="BI213" s="39"/>
      <c r="BJ213" s="28"/>
      <c r="BK213" s="101">
        <v>10000</v>
      </c>
      <c r="BL213" s="22">
        <v>90000</v>
      </c>
      <c r="BM213" s="29">
        <f t="shared" si="171"/>
        <v>0.2</v>
      </c>
      <c r="BN213" s="20"/>
    </row>
    <row r="214" spans="1:67" ht="30">
      <c r="A214" s="42" t="s">
        <v>30</v>
      </c>
      <c r="B214" s="69" t="s">
        <v>30</v>
      </c>
      <c r="C214" s="99" t="s">
        <v>327</v>
      </c>
      <c r="D214" s="78" t="s">
        <v>102</v>
      </c>
      <c r="E214" s="78" t="s">
        <v>102</v>
      </c>
      <c r="F214" s="78" t="s">
        <v>302</v>
      </c>
      <c r="G214" s="78" t="s">
        <v>317</v>
      </c>
      <c r="H214" s="78" t="s">
        <v>314</v>
      </c>
      <c r="I214" s="78">
        <v>30</v>
      </c>
      <c r="J214" s="22">
        <v>40000</v>
      </c>
      <c r="K214" s="22">
        <v>20000</v>
      </c>
      <c r="L214" s="92">
        <f t="shared" si="146"/>
        <v>-0.5</v>
      </c>
      <c r="M214" s="22"/>
      <c r="N214" s="22">
        <v>40000</v>
      </c>
      <c r="O214" s="92" t="e">
        <f t="shared" si="147"/>
        <v>#DIV/0!</v>
      </c>
      <c r="P214" s="61">
        <f t="shared" si="148"/>
        <v>40000</v>
      </c>
      <c r="Q214" s="61">
        <f t="shared" si="148"/>
        <v>60000</v>
      </c>
      <c r="R214" s="92">
        <f t="shared" si="149"/>
        <v>0.5</v>
      </c>
      <c r="S214" s="39">
        <v>20000</v>
      </c>
      <c r="T214" s="39"/>
      <c r="U214" s="92">
        <f t="shared" si="150"/>
        <v>-1</v>
      </c>
      <c r="V214" s="38">
        <f t="shared" si="151"/>
        <v>60000</v>
      </c>
      <c r="W214" s="38">
        <f t="shared" si="151"/>
        <v>60000</v>
      </c>
      <c r="X214" s="92">
        <f t="shared" si="152"/>
        <v>0</v>
      </c>
      <c r="Y214" s="39">
        <v>10000</v>
      </c>
      <c r="Z214" s="39">
        <v>30000</v>
      </c>
      <c r="AA214" s="92">
        <f t="shared" si="153"/>
        <v>2</v>
      </c>
      <c r="AB214" s="39">
        <f t="shared" si="154"/>
        <v>70000</v>
      </c>
      <c r="AC214" s="39">
        <f t="shared" si="154"/>
        <v>90000</v>
      </c>
      <c r="AD214" s="92">
        <f t="shared" si="155"/>
        <v>0.28571428571428581</v>
      </c>
      <c r="AE214" s="101"/>
      <c r="AF214" s="101">
        <v>60568</v>
      </c>
      <c r="AG214" s="92" t="e">
        <f t="shared" si="156"/>
        <v>#DIV/0!</v>
      </c>
      <c r="AH214" s="101">
        <f t="shared" si="157"/>
        <v>70000</v>
      </c>
      <c r="AI214" s="101">
        <f t="shared" si="157"/>
        <v>150568</v>
      </c>
      <c r="AJ214" s="92">
        <f t="shared" si="158"/>
        <v>1.1509714285714288</v>
      </c>
      <c r="AK214" s="22"/>
      <c r="AL214" s="22"/>
      <c r="AM214" s="92" t="e">
        <f t="shared" si="159"/>
        <v>#DIV/0!</v>
      </c>
      <c r="AN214" s="101">
        <f t="shared" si="160"/>
        <v>70000</v>
      </c>
      <c r="AO214" s="101">
        <f t="shared" si="160"/>
        <v>150568</v>
      </c>
      <c r="AP214" s="92">
        <f t="shared" si="161"/>
        <v>1.1509714285714288</v>
      </c>
      <c r="AQ214" s="22">
        <v>20000</v>
      </c>
      <c r="AR214" s="22"/>
      <c r="AS214" s="92">
        <f t="shared" si="162"/>
        <v>-1</v>
      </c>
      <c r="AT214" s="22">
        <f t="shared" si="163"/>
        <v>90000</v>
      </c>
      <c r="AU214" s="22">
        <f t="shared" si="163"/>
        <v>150568</v>
      </c>
      <c r="AV214" s="92">
        <f t="shared" si="164"/>
        <v>0.67297777777777767</v>
      </c>
      <c r="AW214" s="22">
        <v>20000</v>
      </c>
      <c r="AX214" s="22"/>
      <c r="AY214" s="92">
        <f t="shared" si="165"/>
        <v>-1</v>
      </c>
      <c r="AZ214" s="22">
        <f t="shared" si="166"/>
        <v>110000</v>
      </c>
      <c r="BA214" s="22">
        <f t="shared" si="166"/>
        <v>150568</v>
      </c>
      <c r="BB214" s="92">
        <f t="shared" si="167"/>
        <v>0.36880000000000002</v>
      </c>
      <c r="BC214" s="101"/>
      <c r="BD214" s="101">
        <v>9121</v>
      </c>
      <c r="BE214" s="92" t="e">
        <f t="shared" si="168"/>
        <v>#DIV/0!</v>
      </c>
      <c r="BF214" s="101">
        <f t="shared" si="169"/>
        <v>110000</v>
      </c>
      <c r="BG214" s="101">
        <f t="shared" si="169"/>
        <v>159689</v>
      </c>
      <c r="BH214" s="92">
        <f t="shared" si="170"/>
        <v>0.45171818181818191</v>
      </c>
      <c r="BI214" s="39"/>
      <c r="BJ214" s="28">
        <v>21000</v>
      </c>
      <c r="BK214" s="101">
        <v>45000</v>
      </c>
      <c r="BL214" s="22">
        <v>176000</v>
      </c>
      <c r="BM214" s="29">
        <f t="shared" si="171"/>
        <v>0.53229666666666664</v>
      </c>
      <c r="BN214" s="20"/>
    </row>
    <row r="215" spans="1:67" ht="15">
      <c r="A215" s="42" t="s">
        <v>30</v>
      </c>
      <c r="B215" s="69" t="s">
        <v>30</v>
      </c>
      <c r="C215" s="99" t="s">
        <v>328</v>
      </c>
      <c r="D215" s="78" t="s">
        <v>79</v>
      </c>
      <c r="E215" s="78" t="s">
        <v>79</v>
      </c>
      <c r="F215" s="78" t="s">
        <v>302</v>
      </c>
      <c r="G215" s="78" t="s">
        <v>317</v>
      </c>
      <c r="H215" s="78" t="s">
        <v>314</v>
      </c>
      <c r="I215" s="78"/>
      <c r="J215" s="22"/>
      <c r="K215" s="22">
        <v>54440.36</v>
      </c>
      <c r="L215" s="92" t="e">
        <f t="shared" si="146"/>
        <v>#DIV/0!</v>
      </c>
      <c r="M215" s="22">
        <v>10797.73</v>
      </c>
      <c r="N215" s="22">
        <v>29508.02</v>
      </c>
      <c r="O215" s="92">
        <f t="shared" si="147"/>
        <v>1.7327984678261079</v>
      </c>
      <c r="P215" s="61">
        <f t="shared" si="148"/>
        <v>10797.73</v>
      </c>
      <c r="Q215" s="61">
        <f t="shared" si="148"/>
        <v>83948.38</v>
      </c>
      <c r="R215" s="92">
        <f t="shared" si="149"/>
        <v>6.7746322606696046</v>
      </c>
      <c r="S215" s="39">
        <v>56823.31</v>
      </c>
      <c r="T215" s="39">
        <v>3457.13</v>
      </c>
      <c r="U215" s="92">
        <f t="shared" si="150"/>
        <v>-0.93916000317475345</v>
      </c>
      <c r="V215" s="38">
        <f t="shared" si="151"/>
        <v>67621.039999999994</v>
      </c>
      <c r="W215" s="38">
        <f t="shared" si="151"/>
        <v>87405.510000000009</v>
      </c>
      <c r="X215" s="92">
        <f t="shared" si="152"/>
        <v>0.29257861162738719</v>
      </c>
      <c r="Y215" s="39">
        <v>14596</v>
      </c>
      <c r="Z215" s="39">
        <v>11403.76</v>
      </c>
      <c r="AA215" s="92">
        <f t="shared" si="153"/>
        <v>-0.21870649493011785</v>
      </c>
      <c r="AB215" s="39">
        <f t="shared" si="154"/>
        <v>82217.039999999994</v>
      </c>
      <c r="AC215" s="39">
        <f t="shared" si="154"/>
        <v>98809.27</v>
      </c>
      <c r="AD215" s="92">
        <f t="shared" si="155"/>
        <v>0.20181011138323646</v>
      </c>
      <c r="AE215" s="101">
        <v>41660.410000000003</v>
      </c>
      <c r="AF215" s="101">
        <f>51243.95+10000</f>
        <v>61243.95</v>
      </c>
      <c r="AG215" s="92">
        <f t="shared" si="156"/>
        <v>0.47007554654406891</v>
      </c>
      <c r="AH215" s="101">
        <f t="shared" si="157"/>
        <v>123877.45</v>
      </c>
      <c r="AI215" s="101">
        <f t="shared" si="157"/>
        <v>160053.22</v>
      </c>
      <c r="AJ215" s="92">
        <f t="shared" si="158"/>
        <v>0.29202869448797997</v>
      </c>
      <c r="AK215" s="22">
        <v>92552.98</v>
      </c>
      <c r="AL215" s="22">
        <v>46338.06</v>
      </c>
      <c r="AM215" s="92">
        <f t="shared" si="159"/>
        <v>-0.49933475939942717</v>
      </c>
      <c r="AN215" s="101">
        <f t="shared" si="160"/>
        <v>216430.43</v>
      </c>
      <c r="AO215" s="101">
        <f t="shared" si="160"/>
        <v>206391.28</v>
      </c>
      <c r="AP215" s="92">
        <f t="shared" si="161"/>
        <v>-4.638511322090888E-2</v>
      </c>
      <c r="AQ215" s="22">
        <v>79159.98</v>
      </c>
      <c r="AR215" s="22">
        <v>161520.60999999999</v>
      </c>
      <c r="AS215" s="92">
        <f t="shared" si="162"/>
        <v>1.0404326782295801</v>
      </c>
      <c r="AT215" s="22">
        <f t="shared" si="163"/>
        <v>295590.40999999997</v>
      </c>
      <c r="AU215" s="22">
        <f t="shared" si="163"/>
        <v>367911.89</v>
      </c>
      <c r="AV215" s="92">
        <f t="shared" si="164"/>
        <v>0.24466788350812885</v>
      </c>
      <c r="AW215" s="22"/>
      <c r="AX215" s="22"/>
      <c r="AY215" s="92" t="e">
        <f t="shared" si="165"/>
        <v>#DIV/0!</v>
      </c>
      <c r="AZ215" s="22">
        <f t="shared" si="166"/>
        <v>295590.40999999997</v>
      </c>
      <c r="BA215" s="22">
        <f t="shared" si="166"/>
        <v>367911.89</v>
      </c>
      <c r="BB215" s="92">
        <f t="shared" si="167"/>
        <v>0.24466788350812885</v>
      </c>
      <c r="BC215" s="101">
        <v>37043.760000000002</v>
      </c>
      <c r="BD215" s="101"/>
      <c r="BE215" s="92">
        <f t="shared" si="168"/>
        <v>-1</v>
      </c>
      <c r="BF215" s="101">
        <f t="shared" si="169"/>
        <v>332634.17</v>
      </c>
      <c r="BG215" s="101">
        <f t="shared" si="169"/>
        <v>367911.89</v>
      </c>
      <c r="BH215" s="92">
        <f t="shared" si="170"/>
        <v>0.10605561058264112</v>
      </c>
      <c r="BI215" s="39">
        <v>78063.570000000007</v>
      </c>
      <c r="BJ215" s="28">
        <v>186738.72</v>
      </c>
      <c r="BK215" s="101">
        <v>130096.34</v>
      </c>
      <c r="BL215" s="22">
        <v>727532.8</v>
      </c>
      <c r="BM215" s="29" t="e">
        <f t="shared" si="171"/>
        <v>#DIV/0!</v>
      </c>
      <c r="BN215" s="20">
        <v>10000</v>
      </c>
      <c r="BO215">
        <v>10000</v>
      </c>
    </row>
    <row r="216" spans="1:67">
      <c r="A216" s="42" t="s">
        <v>30</v>
      </c>
      <c r="B216" s="69" t="s">
        <v>30</v>
      </c>
      <c r="C216" s="84" t="s">
        <v>329</v>
      </c>
      <c r="D216" s="78" t="s">
        <v>65</v>
      </c>
      <c r="E216" s="78" t="s">
        <v>65</v>
      </c>
      <c r="F216" s="78" t="s">
        <v>321</v>
      </c>
      <c r="G216" s="78" t="s">
        <v>321</v>
      </c>
      <c r="H216" s="78" t="s">
        <v>308</v>
      </c>
      <c r="I216" s="78">
        <v>0</v>
      </c>
      <c r="J216" s="22"/>
      <c r="K216" s="22"/>
      <c r="L216" s="92" t="e">
        <f t="shared" si="146"/>
        <v>#DIV/0!</v>
      </c>
      <c r="M216" s="22"/>
      <c r="N216" s="22"/>
      <c r="O216" s="92" t="e">
        <f t="shared" si="147"/>
        <v>#DIV/0!</v>
      </c>
      <c r="P216" s="61">
        <f t="shared" si="148"/>
        <v>0</v>
      </c>
      <c r="Q216" s="61">
        <f t="shared" si="148"/>
        <v>0</v>
      </c>
      <c r="R216" s="92" t="e">
        <f t="shared" si="149"/>
        <v>#DIV/0!</v>
      </c>
      <c r="S216" s="39"/>
      <c r="T216" s="39"/>
      <c r="U216" s="92" t="e">
        <f t="shared" si="150"/>
        <v>#DIV/0!</v>
      </c>
      <c r="V216" s="38">
        <f t="shared" si="151"/>
        <v>0</v>
      </c>
      <c r="W216" s="38">
        <f t="shared" si="151"/>
        <v>0</v>
      </c>
      <c r="X216" s="92" t="e">
        <f t="shared" si="152"/>
        <v>#DIV/0!</v>
      </c>
      <c r="Y216" s="39"/>
      <c r="Z216" s="39"/>
      <c r="AA216" s="92" t="e">
        <f t="shared" si="153"/>
        <v>#DIV/0!</v>
      </c>
      <c r="AB216" s="39">
        <f t="shared" si="154"/>
        <v>0</v>
      </c>
      <c r="AC216" s="39">
        <f t="shared" si="154"/>
        <v>0</v>
      </c>
      <c r="AD216" s="92" t="e">
        <f t="shared" si="155"/>
        <v>#DIV/0!</v>
      </c>
      <c r="AE216" s="101">
        <v>48949</v>
      </c>
      <c r="AF216" s="101"/>
      <c r="AG216" s="92">
        <f t="shared" si="156"/>
        <v>-1</v>
      </c>
      <c r="AH216" s="101">
        <f t="shared" si="157"/>
        <v>48949</v>
      </c>
      <c r="AI216" s="101">
        <f t="shared" si="157"/>
        <v>0</v>
      </c>
      <c r="AJ216" s="92">
        <f t="shared" si="158"/>
        <v>-1</v>
      </c>
      <c r="AK216" s="22"/>
      <c r="AL216" s="22"/>
      <c r="AM216" s="92" t="e">
        <f t="shared" si="159"/>
        <v>#DIV/0!</v>
      </c>
      <c r="AN216" s="101">
        <f t="shared" si="160"/>
        <v>48949</v>
      </c>
      <c r="AO216" s="101">
        <f t="shared" si="160"/>
        <v>0</v>
      </c>
      <c r="AP216" s="92">
        <f t="shared" si="161"/>
        <v>-1</v>
      </c>
      <c r="AQ216" s="22"/>
      <c r="AR216" s="22"/>
      <c r="AS216" s="92" t="e">
        <f t="shared" si="162"/>
        <v>#DIV/0!</v>
      </c>
      <c r="AT216" s="22">
        <f t="shared" si="163"/>
        <v>48949</v>
      </c>
      <c r="AU216" s="22">
        <f t="shared" si="163"/>
        <v>0</v>
      </c>
      <c r="AV216" s="92">
        <f t="shared" si="164"/>
        <v>-1</v>
      </c>
      <c r="AW216" s="22"/>
      <c r="AX216" s="22"/>
      <c r="AY216" s="92" t="e">
        <f t="shared" si="165"/>
        <v>#DIV/0!</v>
      </c>
      <c r="AZ216" s="22">
        <f t="shared" si="166"/>
        <v>48949</v>
      </c>
      <c r="BA216" s="22">
        <f t="shared" si="166"/>
        <v>0</v>
      </c>
      <c r="BB216" s="92">
        <f t="shared" si="167"/>
        <v>-1</v>
      </c>
      <c r="BC216" s="101"/>
      <c r="BD216" s="101">
        <v>3200</v>
      </c>
      <c r="BE216" s="92" t="e">
        <f t="shared" si="168"/>
        <v>#DIV/0!</v>
      </c>
      <c r="BF216" s="101">
        <f t="shared" si="169"/>
        <v>48949</v>
      </c>
      <c r="BG216" s="101">
        <f t="shared" si="169"/>
        <v>3200</v>
      </c>
      <c r="BH216" s="92">
        <f t="shared" si="170"/>
        <v>-0.93462583505281005</v>
      </c>
      <c r="BI216" s="39"/>
      <c r="BJ216" s="28"/>
      <c r="BK216" s="101"/>
      <c r="BL216" s="22">
        <v>48949</v>
      </c>
      <c r="BM216" s="29" t="e">
        <f t="shared" si="171"/>
        <v>#DIV/0!</v>
      </c>
      <c r="BN216" s="20">
        <v>48949</v>
      </c>
    </row>
    <row r="217" spans="1:67">
      <c r="A217" s="42" t="s">
        <v>30</v>
      </c>
      <c r="B217" s="69" t="s">
        <v>30</v>
      </c>
      <c r="C217" s="84" t="s">
        <v>330</v>
      </c>
      <c r="D217" s="78" t="s">
        <v>65</v>
      </c>
      <c r="E217" s="78" t="s">
        <v>65</v>
      </c>
      <c r="F217" s="78" t="s">
        <v>331</v>
      </c>
      <c r="G217" s="78" t="s">
        <v>331</v>
      </c>
      <c r="H217" s="78" t="s">
        <v>304</v>
      </c>
      <c r="I217" s="78">
        <v>80</v>
      </c>
      <c r="J217" s="22">
        <v>198197</v>
      </c>
      <c r="K217" s="22">
        <v>57653</v>
      </c>
      <c r="L217" s="92">
        <f t="shared" si="146"/>
        <v>-0.70911265054466011</v>
      </c>
      <c r="M217" s="22">
        <v>22955</v>
      </c>
      <c r="N217" s="22">
        <v>38882</v>
      </c>
      <c r="O217" s="92">
        <f t="shared" si="147"/>
        <v>0.69383576562840332</v>
      </c>
      <c r="P217" s="61">
        <f t="shared" si="148"/>
        <v>221152</v>
      </c>
      <c r="Q217" s="61">
        <f t="shared" si="148"/>
        <v>96535</v>
      </c>
      <c r="R217" s="92">
        <f t="shared" si="149"/>
        <v>-0.56349026913615974</v>
      </c>
      <c r="S217" s="39">
        <v>13490</v>
      </c>
      <c r="T217" s="39">
        <v>55448</v>
      </c>
      <c r="U217" s="92">
        <f t="shared" si="150"/>
        <v>3.1103039288361751</v>
      </c>
      <c r="V217" s="38">
        <f t="shared" si="151"/>
        <v>234642</v>
      </c>
      <c r="W217" s="38">
        <f t="shared" si="151"/>
        <v>151983</v>
      </c>
      <c r="X217" s="92">
        <f t="shared" si="152"/>
        <v>-0.35227708594369289</v>
      </c>
      <c r="Y217" s="39">
        <v>37102</v>
      </c>
      <c r="Z217" s="39">
        <v>26004</v>
      </c>
      <c r="AA217" s="92">
        <f t="shared" si="153"/>
        <v>-0.29912134116759204</v>
      </c>
      <c r="AB217" s="39">
        <f t="shared" si="154"/>
        <v>271744</v>
      </c>
      <c r="AC217" s="39">
        <f t="shared" si="154"/>
        <v>177987</v>
      </c>
      <c r="AD217" s="92">
        <f t="shared" si="155"/>
        <v>-0.34501957724917565</v>
      </c>
      <c r="AE217" s="101">
        <v>92010</v>
      </c>
      <c r="AF217" s="101">
        <f>3441+51497+26151</f>
        <v>81089</v>
      </c>
      <c r="AG217" s="92">
        <f t="shared" si="156"/>
        <v>-0.11869362025866759</v>
      </c>
      <c r="AH217" s="101">
        <f t="shared" si="157"/>
        <v>363754</v>
      </c>
      <c r="AI217" s="101">
        <f t="shared" si="157"/>
        <v>259076</v>
      </c>
      <c r="AJ217" s="92">
        <f t="shared" si="158"/>
        <v>-0.28777140595017514</v>
      </c>
      <c r="AK217" s="22">
        <v>3173</v>
      </c>
      <c r="AL217" s="22">
        <f>4480+152569</f>
        <v>157049</v>
      </c>
      <c r="AM217" s="92">
        <f t="shared" si="159"/>
        <v>48.495430192247085</v>
      </c>
      <c r="AN217" s="101">
        <f t="shared" si="160"/>
        <v>366927</v>
      </c>
      <c r="AO217" s="101">
        <f t="shared" si="160"/>
        <v>416125</v>
      </c>
      <c r="AP217" s="92">
        <f t="shared" si="161"/>
        <v>0.13408116600849751</v>
      </c>
      <c r="AQ217" s="22">
        <v>50791</v>
      </c>
      <c r="AR217" s="22">
        <v>2560</v>
      </c>
      <c r="AS217" s="92">
        <f t="shared" si="162"/>
        <v>-0.94959736961272667</v>
      </c>
      <c r="AT217" s="22">
        <f t="shared" si="163"/>
        <v>417718</v>
      </c>
      <c r="AU217" s="22">
        <f t="shared" si="163"/>
        <v>418685</v>
      </c>
      <c r="AV217" s="92">
        <f t="shared" si="164"/>
        <v>2.3149588957143141E-3</v>
      </c>
      <c r="AW217" s="22">
        <v>46822</v>
      </c>
      <c r="AX217" s="22">
        <f>21040+27726</f>
        <v>48766</v>
      </c>
      <c r="AY217" s="92">
        <f t="shared" si="165"/>
        <v>4.1518944086113452E-2</v>
      </c>
      <c r="AZ217" s="22">
        <f t="shared" si="166"/>
        <v>464540</v>
      </c>
      <c r="BA217" s="22">
        <f t="shared" si="166"/>
        <v>467451</v>
      </c>
      <c r="BB217" s="92">
        <f t="shared" si="167"/>
        <v>6.266414087053862E-3</v>
      </c>
      <c r="BC217" s="101">
        <v>42696</v>
      </c>
      <c r="BD217" s="101">
        <v>35244.5</v>
      </c>
      <c r="BE217" s="92">
        <f t="shared" si="168"/>
        <v>-0.17452454562488284</v>
      </c>
      <c r="BF217" s="101">
        <f t="shared" si="169"/>
        <v>507236</v>
      </c>
      <c r="BG217" s="101">
        <f t="shared" si="169"/>
        <v>502695.5</v>
      </c>
      <c r="BH217" s="92">
        <f t="shared" si="170"/>
        <v>-8.9514545497558773E-3</v>
      </c>
      <c r="BI217" s="39">
        <v>139827</v>
      </c>
      <c r="BJ217" s="28">
        <v>55709</v>
      </c>
      <c r="BK217" s="101">
        <v>155422</v>
      </c>
      <c r="BL217" s="22">
        <v>858194</v>
      </c>
      <c r="BM217" s="29">
        <f t="shared" si="171"/>
        <v>0.62836937500000001</v>
      </c>
      <c r="BN217" s="20">
        <v>34635</v>
      </c>
      <c r="BO217">
        <v>26151</v>
      </c>
    </row>
    <row r="218" spans="1:67" ht="45">
      <c r="A218" s="42" t="s">
        <v>30</v>
      </c>
      <c r="B218" s="69" t="s">
        <v>30</v>
      </c>
      <c r="C218" s="99" t="s">
        <v>332</v>
      </c>
      <c r="D218" s="78" t="s">
        <v>61</v>
      </c>
      <c r="E218" s="78" t="s">
        <v>61</v>
      </c>
      <c r="F218" s="78" t="s">
        <v>307</v>
      </c>
      <c r="G218" s="78" t="s">
        <v>307</v>
      </c>
      <c r="H218" s="78" t="s">
        <v>308</v>
      </c>
      <c r="I218" s="78">
        <v>30</v>
      </c>
      <c r="J218" s="22">
        <v>25253</v>
      </c>
      <c r="K218" s="22"/>
      <c r="L218" s="92">
        <f t="shared" si="146"/>
        <v>-1</v>
      </c>
      <c r="M218" s="22"/>
      <c r="N218" s="22">
        <v>8054</v>
      </c>
      <c r="O218" s="92" t="e">
        <f t="shared" si="147"/>
        <v>#DIV/0!</v>
      </c>
      <c r="P218" s="61">
        <f t="shared" si="148"/>
        <v>25253</v>
      </c>
      <c r="Q218" s="61">
        <f t="shared" si="148"/>
        <v>8054</v>
      </c>
      <c r="R218" s="92">
        <f t="shared" si="149"/>
        <v>-0.68106759592919652</v>
      </c>
      <c r="S218" s="39">
        <v>10166</v>
      </c>
      <c r="T218" s="39"/>
      <c r="U218" s="92">
        <f t="shared" si="150"/>
        <v>-1</v>
      </c>
      <c r="V218" s="38">
        <f t="shared" si="151"/>
        <v>35419</v>
      </c>
      <c r="W218" s="38">
        <f t="shared" si="151"/>
        <v>8054</v>
      </c>
      <c r="X218" s="92">
        <f t="shared" si="152"/>
        <v>-0.77260792230158959</v>
      </c>
      <c r="Y218" s="39">
        <v>9194</v>
      </c>
      <c r="Z218" s="39"/>
      <c r="AA218" s="92">
        <f t="shared" si="153"/>
        <v>-1</v>
      </c>
      <c r="AB218" s="39">
        <f t="shared" si="154"/>
        <v>44613</v>
      </c>
      <c r="AC218" s="39">
        <f t="shared" si="154"/>
        <v>8054</v>
      </c>
      <c r="AD218" s="92">
        <f t="shared" si="155"/>
        <v>-0.81946966130948384</v>
      </c>
      <c r="AE218" s="101">
        <v>16472</v>
      </c>
      <c r="AF218" s="101"/>
      <c r="AG218" s="92">
        <f t="shared" si="156"/>
        <v>-1</v>
      </c>
      <c r="AH218" s="101">
        <f t="shared" si="157"/>
        <v>61085</v>
      </c>
      <c r="AI218" s="101">
        <f t="shared" si="157"/>
        <v>8054</v>
      </c>
      <c r="AJ218" s="92">
        <f t="shared" si="158"/>
        <v>-0.86815093721862979</v>
      </c>
      <c r="AK218" s="22">
        <v>23766</v>
      </c>
      <c r="AL218" s="22"/>
      <c r="AM218" s="92">
        <f t="shared" si="159"/>
        <v>-1</v>
      </c>
      <c r="AN218" s="101">
        <f t="shared" si="160"/>
        <v>84851</v>
      </c>
      <c r="AO218" s="101">
        <f t="shared" si="160"/>
        <v>8054</v>
      </c>
      <c r="AP218" s="92">
        <f t="shared" si="161"/>
        <v>-0.90508067082297206</v>
      </c>
      <c r="AQ218" s="22">
        <v>19411</v>
      </c>
      <c r="AR218" s="22">
        <v>4303</v>
      </c>
      <c r="AS218" s="92">
        <f t="shared" si="162"/>
        <v>-0.77832157024367632</v>
      </c>
      <c r="AT218" s="22">
        <f t="shared" si="163"/>
        <v>104262</v>
      </c>
      <c r="AU218" s="22">
        <f t="shared" si="163"/>
        <v>12357</v>
      </c>
      <c r="AV218" s="92">
        <f t="shared" si="164"/>
        <v>-0.88148126834321228</v>
      </c>
      <c r="AW218" s="22"/>
      <c r="AX218" s="22"/>
      <c r="AY218" s="92" t="e">
        <f t="shared" si="165"/>
        <v>#DIV/0!</v>
      </c>
      <c r="AZ218" s="22">
        <f t="shared" si="166"/>
        <v>104262</v>
      </c>
      <c r="BA218" s="22">
        <f t="shared" si="166"/>
        <v>12357</v>
      </c>
      <c r="BB218" s="92">
        <f t="shared" si="167"/>
        <v>-0.88148126834321228</v>
      </c>
      <c r="BC218" s="101">
        <v>2358</v>
      </c>
      <c r="BD218" s="101"/>
      <c r="BE218" s="92">
        <f t="shared" si="168"/>
        <v>-1</v>
      </c>
      <c r="BF218" s="101">
        <f t="shared" si="169"/>
        <v>106620</v>
      </c>
      <c r="BG218" s="101">
        <f t="shared" si="169"/>
        <v>12357</v>
      </c>
      <c r="BH218" s="92">
        <f t="shared" si="170"/>
        <v>-0.88410241980866633</v>
      </c>
      <c r="BI218" s="39">
        <v>4176</v>
      </c>
      <c r="BJ218" s="28">
        <v>17786</v>
      </c>
      <c r="BK218" s="101">
        <v>1859</v>
      </c>
      <c r="BL218" s="22">
        <v>130441</v>
      </c>
      <c r="BM218" s="29">
        <f t="shared" si="171"/>
        <v>4.1189999999999997E-2</v>
      </c>
      <c r="BN218" s="20"/>
    </row>
    <row r="219" spans="1:67" ht="30">
      <c r="A219" s="42" t="s">
        <v>30</v>
      </c>
      <c r="B219" s="69" t="s">
        <v>30</v>
      </c>
      <c r="C219" s="99" t="s">
        <v>333</v>
      </c>
      <c r="D219" s="78" t="s">
        <v>61</v>
      </c>
      <c r="E219" s="78" t="s">
        <v>61</v>
      </c>
      <c r="F219" s="78" t="s">
        <v>307</v>
      </c>
      <c r="G219" s="78" t="s">
        <v>307</v>
      </c>
      <c r="H219" s="78" t="s">
        <v>308</v>
      </c>
      <c r="I219" s="78">
        <v>30</v>
      </c>
      <c r="J219" s="22">
        <v>44290</v>
      </c>
      <c r="K219" s="22"/>
      <c r="L219" s="92">
        <f t="shared" si="146"/>
        <v>-1</v>
      </c>
      <c r="M219" s="22"/>
      <c r="N219" s="22"/>
      <c r="O219" s="92" t="e">
        <f t="shared" si="147"/>
        <v>#DIV/0!</v>
      </c>
      <c r="P219" s="61">
        <f t="shared" si="148"/>
        <v>44290</v>
      </c>
      <c r="Q219" s="61">
        <f t="shared" si="148"/>
        <v>0</v>
      </c>
      <c r="R219" s="92">
        <f t="shared" si="149"/>
        <v>-1</v>
      </c>
      <c r="S219" s="39">
        <v>11484</v>
      </c>
      <c r="T219" s="39">
        <v>9000</v>
      </c>
      <c r="U219" s="92">
        <f t="shared" si="150"/>
        <v>-0.21630094043887149</v>
      </c>
      <c r="V219" s="38">
        <f t="shared" si="151"/>
        <v>55774</v>
      </c>
      <c r="W219" s="38">
        <f t="shared" si="151"/>
        <v>9000</v>
      </c>
      <c r="X219" s="92">
        <f t="shared" si="152"/>
        <v>-0.8386344891885108</v>
      </c>
      <c r="Y219" s="39">
        <v>3652</v>
      </c>
      <c r="Z219" s="39"/>
      <c r="AA219" s="92">
        <f t="shared" si="153"/>
        <v>-1</v>
      </c>
      <c r="AB219" s="39">
        <f t="shared" si="154"/>
        <v>59426</v>
      </c>
      <c r="AC219" s="39">
        <f t="shared" si="154"/>
        <v>9000</v>
      </c>
      <c r="AD219" s="92">
        <f t="shared" si="155"/>
        <v>-0.848551139231986</v>
      </c>
      <c r="AE219" s="101"/>
      <c r="AF219" s="101">
        <v>17704</v>
      </c>
      <c r="AG219" s="92" t="e">
        <f t="shared" si="156"/>
        <v>#DIV/0!</v>
      </c>
      <c r="AH219" s="101">
        <f t="shared" si="157"/>
        <v>59426</v>
      </c>
      <c r="AI219" s="101">
        <f t="shared" si="157"/>
        <v>26704</v>
      </c>
      <c r="AJ219" s="92">
        <f t="shared" si="158"/>
        <v>-0.55063440245010598</v>
      </c>
      <c r="AK219" s="22">
        <v>6319</v>
      </c>
      <c r="AL219" s="22"/>
      <c r="AM219" s="92">
        <f t="shared" si="159"/>
        <v>-1</v>
      </c>
      <c r="AN219" s="101">
        <f t="shared" si="160"/>
        <v>65745</v>
      </c>
      <c r="AO219" s="101">
        <f t="shared" si="160"/>
        <v>26704</v>
      </c>
      <c r="AP219" s="92">
        <f t="shared" si="161"/>
        <v>-0.59382462544680203</v>
      </c>
      <c r="AQ219" s="22"/>
      <c r="AR219" s="22"/>
      <c r="AS219" s="92" t="e">
        <f t="shared" si="162"/>
        <v>#DIV/0!</v>
      </c>
      <c r="AT219" s="22">
        <f t="shared" si="163"/>
        <v>65745</v>
      </c>
      <c r="AU219" s="22">
        <f t="shared" si="163"/>
        <v>26704</v>
      </c>
      <c r="AV219" s="92">
        <f t="shared" si="164"/>
        <v>-0.59382462544680203</v>
      </c>
      <c r="AW219" s="22">
        <v>11439</v>
      </c>
      <c r="AX219" s="22">
        <v>5927</v>
      </c>
      <c r="AY219" s="92">
        <f t="shared" si="165"/>
        <v>-0.48186030247399247</v>
      </c>
      <c r="AZ219" s="22">
        <f t="shared" si="166"/>
        <v>77184</v>
      </c>
      <c r="BA219" s="22">
        <f t="shared" si="166"/>
        <v>32631</v>
      </c>
      <c r="BB219" s="92">
        <f t="shared" si="167"/>
        <v>-0.57723103233830853</v>
      </c>
      <c r="BC219" s="101">
        <v>20000</v>
      </c>
      <c r="BD219" s="101">
        <v>15873</v>
      </c>
      <c r="BE219" s="92">
        <f t="shared" si="168"/>
        <v>-0.20635000000000003</v>
      </c>
      <c r="BF219" s="101">
        <f t="shared" si="169"/>
        <v>97184</v>
      </c>
      <c r="BG219" s="101">
        <f t="shared" si="169"/>
        <v>48504</v>
      </c>
      <c r="BH219" s="92">
        <f t="shared" si="170"/>
        <v>-0.50090549884754698</v>
      </c>
      <c r="BI219" s="39"/>
      <c r="BJ219" s="28"/>
      <c r="BK219" s="101">
        <v>18807</v>
      </c>
      <c r="BL219" s="22">
        <v>115991</v>
      </c>
      <c r="BM219" s="29">
        <f t="shared" si="171"/>
        <v>0.16167999999999999</v>
      </c>
      <c r="BN219" s="20"/>
    </row>
    <row r="220" spans="1:67" ht="45">
      <c r="A220" s="42" t="s">
        <v>30</v>
      </c>
      <c r="B220" s="69" t="s">
        <v>30</v>
      </c>
      <c r="C220" s="99" t="s">
        <v>334</v>
      </c>
      <c r="D220" s="78" t="s">
        <v>65</v>
      </c>
      <c r="E220" s="78" t="s">
        <v>65</v>
      </c>
      <c r="F220" s="78" t="s">
        <v>302</v>
      </c>
      <c r="G220" s="78" t="s">
        <v>303</v>
      </c>
      <c r="H220" s="78" t="s">
        <v>314</v>
      </c>
      <c r="I220" s="78">
        <v>30</v>
      </c>
      <c r="J220" s="22">
        <v>13315</v>
      </c>
      <c r="K220" s="22">
        <v>8525</v>
      </c>
      <c r="L220" s="92">
        <f t="shared" si="146"/>
        <v>-0.35974464889222679</v>
      </c>
      <c r="M220" s="22">
        <v>4203</v>
      </c>
      <c r="N220" s="22">
        <v>5014</v>
      </c>
      <c r="O220" s="92">
        <f t="shared" si="147"/>
        <v>0.19295741137282896</v>
      </c>
      <c r="P220" s="61">
        <f t="shared" si="148"/>
        <v>17518</v>
      </c>
      <c r="Q220" s="61">
        <f t="shared" si="148"/>
        <v>13539</v>
      </c>
      <c r="R220" s="92">
        <f t="shared" si="149"/>
        <v>-0.22713780111884918</v>
      </c>
      <c r="S220" s="39">
        <v>17227</v>
      </c>
      <c r="T220" s="39">
        <v>8116</v>
      </c>
      <c r="U220" s="92">
        <f t="shared" si="150"/>
        <v>-0.52887908515702098</v>
      </c>
      <c r="V220" s="38">
        <f t="shared" si="151"/>
        <v>34745</v>
      </c>
      <c r="W220" s="38">
        <f t="shared" si="151"/>
        <v>21655</v>
      </c>
      <c r="X220" s="92">
        <f t="shared" si="152"/>
        <v>-0.37674485537487412</v>
      </c>
      <c r="Y220" s="39">
        <v>5384</v>
      </c>
      <c r="Z220" s="39">
        <v>13951</v>
      </c>
      <c r="AA220" s="92">
        <f t="shared" si="153"/>
        <v>1.5911961367013374</v>
      </c>
      <c r="AB220" s="39">
        <f t="shared" si="154"/>
        <v>40129</v>
      </c>
      <c r="AC220" s="39">
        <f t="shared" si="154"/>
        <v>35606</v>
      </c>
      <c r="AD220" s="92">
        <f t="shared" si="155"/>
        <v>-0.11271150539510078</v>
      </c>
      <c r="AE220" s="101">
        <v>29220</v>
      </c>
      <c r="AF220" s="101">
        <f>20450+33725</f>
        <v>54175</v>
      </c>
      <c r="AG220" s="92">
        <f t="shared" si="156"/>
        <v>0.85403832991101991</v>
      </c>
      <c r="AH220" s="101">
        <f t="shared" si="157"/>
        <v>69349</v>
      </c>
      <c r="AI220" s="101">
        <f t="shared" si="157"/>
        <v>89781</v>
      </c>
      <c r="AJ220" s="92">
        <f t="shared" si="158"/>
        <v>0.29462573360827116</v>
      </c>
      <c r="AK220" s="22">
        <v>18804</v>
      </c>
      <c r="AL220" s="22">
        <v>42855</v>
      </c>
      <c r="AM220" s="92">
        <f t="shared" si="159"/>
        <v>1.2790363752393108</v>
      </c>
      <c r="AN220" s="101">
        <f t="shared" si="160"/>
        <v>88153</v>
      </c>
      <c r="AO220" s="101">
        <f t="shared" si="160"/>
        <v>132636</v>
      </c>
      <c r="AP220" s="92">
        <f t="shared" si="161"/>
        <v>0.50461130080655225</v>
      </c>
      <c r="AQ220" s="22">
        <v>12513</v>
      </c>
      <c r="AR220" s="22">
        <v>38045</v>
      </c>
      <c r="AS220" s="92">
        <f t="shared" si="162"/>
        <v>2.0404379445376808</v>
      </c>
      <c r="AT220" s="22">
        <f t="shared" si="163"/>
        <v>100666</v>
      </c>
      <c r="AU220" s="22">
        <f t="shared" si="163"/>
        <v>170681</v>
      </c>
      <c r="AV220" s="92">
        <f t="shared" si="164"/>
        <v>0.6955178511115967</v>
      </c>
      <c r="AW220" s="22">
        <v>7756</v>
      </c>
      <c r="AX220" s="22">
        <v>30459</v>
      </c>
      <c r="AY220" s="92">
        <f t="shared" si="165"/>
        <v>2.9271531717380093</v>
      </c>
      <c r="AZ220" s="22">
        <f t="shared" si="166"/>
        <v>108422</v>
      </c>
      <c r="BA220" s="22">
        <f t="shared" si="166"/>
        <v>201140</v>
      </c>
      <c r="BB220" s="92">
        <f t="shared" si="167"/>
        <v>0.85515854715832584</v>
      </c>
      <c r="BC220" s="101">
        <v>41531</v>
      </c>
      <c r="BD220" s="101">
        <v>23024</v>
      </c>
      <c r="BE220" s="92">
        <f t="shared" si="168"/>
        <v>-0.44561893525318441</v>
      </c>
      <c r="BF220" s="101">
        <f t="shared" si="169"/>
        <v>149953</v>
      </c>
      <c r="BG220" s="101">
        <f t="shared" si="169"/>
        <v>224164</v>
      </c>
      <c r="BH220" s="92">
        <f t="shared" si="170"/>
        <v>0.49489506712103126</v>
      </c>
      <c r="BI220" s="39"/>
      <c r="BJ220" s="28">
        <v>5651</v>
      </c>
      <c r="BK220" s="101">
        <v>56416</v>
      </c>
      <c r="BL220" s="22">
        <v>212020</v>
      </c>
      <c r="BM220" s="29">
        <f t="shared" si="171"/>
        <v>0.74721333333333328</v>
      </c>
      <c r="BN220" s="20">
        <v>11238</v>
      </c>
      <c r="BO220">
        <v>33725</v>
      </c>
    </row>
    <row r="221" spans="1:67" ht="30">
      <c r="A221" s="42" t="s">
        <v>30</v>
      </c>
      <c r="B221" s="69" t="s">
        <v>30</v>
      </c>
      <c r="C221" s="99" t="s">
        <v>335</v>
      </c>
      <c r="D221" s="78" t="s">
        <v>102</v>
      </c>
      <c r="E221" s="78" t="s">
        <v>102</v>
      </c>
      <c r="F221" s="78" t="s">
        <v>336</v>
      </c>
      <c r="G221" s="78" t="s">
        <v>336</v>
      </c>
      <c r="H221" s="78" t="s">
        <v>304</v>
      </c>
      <c r="I221" s="78">
        <v>120</v>
      </c>
      <c r="J221" s="22">
        <v>41589</v>
      </c>
      <c r="K221" s="22"/>
      <c r="L221" s="92">
        <f t="shared" si="146"/>
        <v>-1</v>
      </c>
      <c r="M221" s="22"/>
      <c r="N221" s="22"/>
      <c r="O221" s="92" t="e">
        <f t="shared" si="147"/>
        <v>#DIV/0!</v>
      </c>
      <c r="P221" s="61">
        <f t="shared" si="148"/>
        <v>41589</v>
      </c>
      <c r="Q221" s="61">
        <f t="shared" si="148"/>
        <v>0</v>
      </c>
      <c r="R221" s="92">
        <f t="shared" si="149"/>
        <v>-1</v>
      </c>
      <c r="S221" s="39"/>
      <c r="T221" s="39"/>
      <c r="U221" s="92" t="e">
        <f t="shared" si="150"/>
        <v>#DIV/0!</v>
      </c>
      <c r="V221" s="38">
        <f t="shared" si="151"/>
        <v>41589</v>
      </c>
      <c r="W221" s="38">
        <f t="shared" si="151"/>
        <v>0</v>
      </c>
      <c r="X221" s="92">
        <f t="shared" si="152"/>
        <v>-1</v>
      </c>
      <c r="Y221" s="39"/>
      <c r="Z221" s="39"/>
      <c r="AA221" s="92" t="e">
        <f t="shared" si="153"/>
        <v>#DIV/0!</v>
      </c>
      <c r="AB221" s="39">
        <f t="shared" si="154"/>
        <v>41589</v>
      </c>
      <c r="AC221" s="39">
        <f t="shared" si="154"/>
        <v>0</v>
      </c>
      <c r="AD221" s="92">
        <f t="shared" si="155"/>
        <v>-1</v>
      </c>
      <c r="AE221" s="101"/>
      <c r="AF221" s="101"/>
      <c r="AG221" s="92" t="e">
        <f t="shared" si="156"/>
        <v>#DIV/0!</v>
      </c>
      <c r="AH221" s="101">
        <f t="shared" si="157"/>
        <v>41589</v>
      </c>
      <c r="AI221" s="101">
        <f t="shared" si="157"/>
        <v>0</v>
      </c>
      <c r="AJ221" s="92">
        <f t="shared" si="158"/>
        <v>-1</v>
      </c>
      <c r="AK221" s="22"/>
      <c r="AL221" s="22"/>
      <c r="AM221" s="92" t="e">
        <f t="shared" si="159"/>
        <v>#DIV/0!</v>
      </c>
      <c r="AN221" s="101">
        <f t="shared" si="160"/>
        <v>41589</v>
      </c>
      <c r="AO221" s="101">
        <f t="shared" si="160"/>
        <v>0</v>
      </c>
      <c r="AP221" s="92">
        <f t="shared" si="161"/>
        <v>-1</v>
      </c>
      <c r="AQ221" s="22"/>
      <c r="AR221" s="22"/>
      <c r="AS221" s="92" t="e">
        <f t="shared" si="162"/>
        <v>#DIV/0!</v>
      </c>
      <c r="AT221" s="22">
        <f t="shared" si="163"/>
        <v>41589</v>
      </c>
      <c r="AU221" s="22">
        <f t="shared" si="163"/>
        <v>0</v>
      </c>
      <c r="AV221" s="92">
        <f t="shared" si="164"/>
        <v>-1</v>
      </c>
      <c r="AW221" s="22"/>
      <c r="AX221" s="22">
        <v>21000</v>
      </c>
      <c r="AY221" s="92" t="e">
        <f t="shared" si="165"/>
        <v>#DIV/0!</v>
      </c>
      <c r="AZ221" s="22">
        <f t="shared" si="166"/>
        <v>41589</v>
      </c>
      <c r="BA221" s="22">
        <f t="shared" si="166"/>
        <v>21000</v>
      </c>
      <c r="BB221" s="92">
        <f t="shared" si="167"/>
        <v>-0.49505878958378413</v>
      </c>
      <c r="BC221" s="101">
        <v>17800</v>
      </c>
      <c r="BD221" s="101"/>
      <c r="BE221" s="92">
        <f t="shared" si="168"/>
        <v>-1</v>
      </c>
      <c r="BF221" s="101">
        <f t="shared" si="169"/>
        <v>59389</v>
      </c>
      <c r="BG221" s="101">
        <f t="shared" si="169"/>
        <v>21000</v>
      </c>
      <c r="BH221" s="92">
        <f t="shared" si="170"/>
        <v>-0.64639916482850357</v>
      </c>
      <c r="BI221" s="39"/>
      <c r="BJ221" s="28"/>
      <c r="BK221" s="101"/>
      <c r="BL221" s="22">
        <v>59389</v>
      </c>
      <c r="BM221" s="29">
        <f t="shared" si="171"/>
        <v>1.7500000000000002E-2</v>
      </c>
      <c r="BN221" s="20"/>
    </row>
    <row r="222" spans="1:67" ht="30">
      <c r="A222" s="42" t="s">
        <v>30</v>
      </c>
      <c r="B222" s="69" t="s">
        <v>30</v>
      </c>
      <c r="C222" s="99" t="s">
        <v>337</v>
      </c>
      <c r="D222" s="78" t="s">
        <v>102</v>
      </c>
      <c r="E222" s="78" t="s">
        <v>102</v>
      </c>
      <c r="F222" s="78" t="s">
        <v>336</v>
      </c>
      <c r="G222" s="78" t="s">
        <v>336</v>
      </c>
      <c r="H222" s="78" t="s">
        <v>304</v>
      </c>
      <c r="I222" s="78">
        <v>0</v>
      </c>
      <c r="J222" s="22">
        <v>28962</v>
      </c>
      <c r="K222" s="22">
        <v>19172</v>
      </c>
      <c r="L222" s="92">
        <f t="shared" si="146"/>
        <v>-0.3380291416338651</v>
      </c>
      <c r="M222" s="22">
        <v>790</v>
      </c>
      <c r="N222" s="22"/>
      <c r="O222" s="92">
        <f t="shared" si="147"/>
        <v>-1</v>
      </c>
      <c r="P222" s="61">
        <f t="shared" si="148"/>
        <v>29752</v>
      </c>
      <c r="Q222" s="61">
        <f t="shared" si="148"/>
        <v>19172</v>
      </c>
      <c r="R222" s="92">
        <f t="shared" si="149"/>
        <v>-0.35560634579187955</v>
      </c>
      <c r="S222" s="39">
        <v>5710</v>
      </c>
      <c r="T222" s="39"/>
      <c r="U222" s="92">
        <f t="shared" si="150"/>
        <v>-1</v>
      </c>
      <c r="V222" s="38">
        <f t="shared" si="151"/>
        <v>35462</v>
      </c>
      <c r="W222" s="38">
        <f t="shared" si="151"/>
        <v>19172</v>
      </c>
      <c r="X222" s="92">
        <f t="shared" si="152"/>
        <v>-0.45936495403530542</v>
      </c>
      <c r="Y222" s="39"/>
      <c r="Z222" s="39">
        <v>5160</v>
      </c>
      <c r="AA222" s="92" t="e">
        <f t="shared" si="153"/>
        <v>#DIV/0!</v>
      </c>
      <c r="AB222" s="39">
        <f t="shared" si="154"/>
        <v>35462</v>
      </c>
      <c r="AC222" s="39">
        <f t="shared" si="154"/>
        <v>24332</v>
      </c>
      <c r="AD222" s="92">
        <f t="shared" si="155"/>
        <v>-0.31385708645874455</v>
      </c>
      <c r="AE222" s="101"/>
      <c r="AF222" s="101"/>
      <c r="AG222" s="92" t="e">
        <f t="shared" si="156"/>
        <v>#DIV/0!</v>
      </c>
      <c r="AH222" s="101">
        <f t="shared" si="157"/>
        <v>35462</v>
      </c>
      <c r="AI222" s="101">
        <f t="shared" si="157"/>
        <v>24332</v>
      </c>
      <c r="AJ222" s="92">
        <f t="shared" si="158"/>
        <v>-0.31385708645874455</v>
      </c>
      <c r="AK222" s="22">
        <v>3173</v>
      </c>
      <c r="AL222" s="22">
        <v>10808</v>
      </c>
      <c r="AM222" s="92">
        <f t="shared" si="159"/>
        <v>2.4062401512763945</v>
      </c>
      <c r="AN222" s="101">
        <f t="shared" si="160"/>
        <v>38635</v>
      </c>
      <c r="AO222" s="101">
        <f t="shared" si="160"/>
        <v>35140</v>
      </c>
      <c r="AP222" s="92">
        <f t="shared" si="161"/>
        <v>-9.0462016306457893E-2</v>
      </c>
      <c r="AQ222" s="22">
        <v>3611</v>
      </c>
      <c r="AR222" s="22">
        <v>6500</v>
      </c>
      <c r="AS222" s="92">
        <f t="shared" si="162"/>
        <v>0.80005538631957895</v>
      </c>
      <c r="AT222" s="22">
        <f t="shared" si="163"/>
        <v>42246</v>
      </c>
      <c r="AU222" s="22">
        <f t="shared" si="163"/>
        <v>41640</v>
      </c>
      <c r="AV222" s="92">
        <f t="shared" si="164"/>
        <v>-1.4344553330492782E-2</v>
      </c>
      <c r="AW222" s="22"/>
      <c r="AX222" s="22"/>
      <c r="AY222" s="92" t="e">
        <f t="shared" si="165"/>
        <v>#DIV/0!</v>
      </c>
      <c r="AZ222" s="22">
        <f t="shared" si="166"/>
        <v>42246</v>
      </c>
      <c r="BA222" s="22">
        <f t="shared" si="166"/>
        <v>41640</v>
      </c>
      <c r="BB222" s="92">
        <f t="shared" si="167"/>
        <v>-1.4344553330492782E-2</v>
      </c>
      <c r="BC222" s="101">
        <v>5946</v>
      </c>
      <c r="BD222" s="101"/>
      <c r="BE222" s="92">
        <f t="shared" si="168"/>
        <v>-1</v>
      </c>
      <c r="BF222" s="101">
        <f t="shared" si="169"/>
        <v>48192</v>
      </c>
      <c r="BG222" s="101">
        <f t="shared" si="169"/>
        <v>41640</v>
      </c>
      <c r="BH222" s="92">
        <f t="shared" si="170"/>
        <v>-0.13595617529880477</v>
      </c>
      <c r="BI222" s="39">
        <v>13781</v>
      </c>
      <c r="BJ222" s="28">
        <v>7931</v>
      </c>
      <c r="BK222" s="101"/>
      <c r="BL222" s="22">
        <v>69904</v>
      </c>
      <c r="BM222" s="29" t="e">
        <f t="shared" si="171"/>
        <v>#DIV/0!</v>
      </c>
      <c r="BN222" s="20"/>
    </row>
    <row r="223" spans="1:67" ht="30">
      <c r="A223" s="42" t="s">
        <v>30</v>
      </c>
      <c r="B223" s="69" t="s">
        <v>30</v>
      </c>
      <c r="C223" s="99" t="s">
        <v>338</v>
      </c>
      <c r="D223" s="78" t="s">
        <v>102</v>
      </c>
      <c r="E223" s="78" t="s">
        <v>102</v>
      </c>
      <c r="F223" s="78" t="s">
        <v>302</v>
      </c>
      <c r="G223" s="78" t="s">
        <v>317</v>
      </c>
      <c r="H223" s="78" t="s">
        <v>314</v>
      </c>
      <c r="I223" s="78"/>
      <c r="J223" s="22">
        <v>5339</v>
      </c>
      <c r="K223" s="22">
        <v>35308</v>
      </c>
      <c r="L223" s="92">
        <f t="shared" si="146"/>
        <v>5.613223450084285</v>
      </c>
      <c r="M223" s="22">
        <v>10724</v>
      </c>
      <c r="N223" s="22"/>
      <c r="O223" s="92">
        <f t="shared" si="147"/>
        <v>-1</v>
      </c>
      <c r="P223" s="61">
        <f t="shared" si="148"/>
        <v>16063</v>
      </c>
      <c r="Q223" s="61">
        <f t="shared" si="148"/>
        <v>35308</v>
      </c>
      <c r="R223" s="92">
        <f t="shared" si="149"/>
        <v>1.1980950009338232</v>
      </c>
      <c r="S223" s="39"/>
      <c r="T223" s="39"/>
      <c r="U223" s="92" t="e">
        <f t="shared" si="150"/>
        <v>#DIV/0!</v>
      </c>
      <c r="V223" s="38">
        <f t="shared" si="151"/>
        <v>16063</v>
      </c>
      <c r="W223" s="38">
        <f t="shared" si="151"/>
        <v>35308</v>
      </c>
      <c r="X223" s="92">
        <f t="shared" si="152"/>
        <v>1.1980950009338232</v>
      </c>
      <c r="Y223" s="39">
        <v>1207</v>
      </c>
      <c r="Z223" s="39"/>
      <c r="AA223" s="92">
        <f t="shared" si="153"/>
        <v>-1</v>
      </c>
      <c r="AB223" s="39">
        <f t="shared" si="154"/>
        <v>17270</v>
      </c>
      <c r="AC223" s="39">
        <f t="shared" si="154"/>
        <v>35308</v>
      </c>
      <c r="AD223" s="92">
        <f t="shared" si="155"/>
        <v>1.0444701795020266</v>
      </c>
      <c r="AE223" s="101">
        <v>24500</v>
      </c>
      <c r="AF223" s="101"/>
      <c r="AG223" s="92">
        <f t="shared" si="156"/>
        <v>-1</v>
      </c>
      <c r="AH223" s="101">
        <f t="shared" si="157"/>
        <v>41770</v>
      </c>
      <c r="AI223" s="101">
        <f t="shared" si="157"/>
        <v>35308</v>
      </c>
      <c r="AJ223" s="92">
        <f t="shared" si="158"/>
        <v>-0.15470433325353128</v>
      </c>
      <c r="AK223" s="22">
        <v>1692</v>
      </c>
      <c r="AL223" s="22"/>
      <c r="AM223" s="92">
        <f t="shared" si="159"/>
        <v>-1</v>
      </c>
      <c r="AN223" s="101">
        <f t="shared" si="160"/>
        <v>43462</v>
      </c>
      <c r="AO223" s="101">
        <f t="shared" si="160"/>
        <v>35308</v>
      </c>
      <c r="AP223" s="92">
        <f t="shared" si="161"/>
        <v>-0.18761216695043947</v>
      </c>
      <c r="AQ223" s="22"/>
      <c r="AR223" s="22">
        <v>3173</v>
      </c>
      <c r="AS223" s="92" t="e">
        <f t="shared" si="162"/>
        <v>#DIV/0!</v>
      </c>
      <c r="AT223" s="22">
        <f t="shared" si="163"/>
        <v>43462</v>
      </c>
      <c r="AU223" s="22">
        <f t="shared" si="163"/>
        <v>38481</v>
      </c>
      <c r="AV223" s="92">
        <f t="shared" si="164"/>
        <v>-0.11460586259260963</v>
      </c>
      <c r="AW223" s="22"/>
      <c r="AX223" s="22"/>
      <c r="AY223" s="92" t="e">
        <f t="shared" si="165"/>
        <v>#DIV/0!</v>
      </c>
      <c r="AZ223" s="22">
        <f t="shared" si="166"/>
        <v>43462</v>
      </c>
      <c r="BA223" s="22">
        <f t="shared" si="166"/>
        <v>38481</v>
      </c>
      <c r="BB223" s="92">
        <f t="shared" si="167"/>
        <v>-0.11460586259260963</v>
      </c>
      <c r="BC223" s="101"/>
      <c r="BD223" s="101"/>
      <c r="BE223" s="92" t="e">
        <f t="shared" si="168"/>
        <v>#DIV/0!</v>
      </c>
      <c r="BF223" s="101">
        <f t="shared" si="169"/>
        <v>43462</v>
      </c>
      <c r="BG223" s="101">
        <f t="shared" si="169"/>
        <v>38481</v>
      </c>
      <c r="BH223" s="92">
        <f t="shared" si="170"/>
        <v>-0.11460586259260963</v>
      </c>
      <c r="BI223" s="39"/>
      <c r="BJ223" s="28"/>
      <c r="BK223" s="101"/>
      <c r="BL223" s="22">
        <v>43462</v>
      </c>
      <c r="BM223" s="29" t="e">
        <f t="shared" si="171"/>
        <v>#DIV/0!</v>
      </c>
      <c r="BN223" s="20"/>
    </row>
    <row r="224" spans="1:67" ht="30">
      <c r="A224" s="42" t="s">
        <v>30</v>
      </c>
      <c r="B224" s="69" t="s">
        <v>30</v>
      </c>
      <c r="C224" s="99" t="s">
        <v>339</v>
      </c>
      <c r="D224" s="78" t="s">
        <v>61</v>
      </c>
      <c r="E224" s="78" t="s">
        <v>61</v>
      </c>
      <c r="F224" s="78" t="s">
        <v>302</v>
      </c>
      <c r="G224" s="78" t="s">
        <v>303</v>
      </c>
      <c r="H224" s="78" t="s">
        <v>304</v>
      </c>
      <c r="I224" s="78">
        <v>30</v>
      </c>
      <c r="J224" s="22"/>
      <c r="K224" s="22">
        <v>13405</v>
      </c>
      <c r="L224" s="92" t="e">
        <f t="shared" si="146"/>
        <v>#DIV/0!</v>
      </c>
      <c r="M224" s="22"/>
      <c r="N224" s="22">
        <v>10992</v>
      </c>
      <c r="O224" s="92" t="e">
        <f t="shared" si="147"/>
        <v>#DIV/0!</v>
      </c>
      <c r="P224" s="61">
        <f t="shared" si="148"/>
        <v>0</v>
      </c>
      <c r="Q224" s="61">
        <f t="shared" si="148"/>
        <v>24397</v>
      </c>
      <c r="R224" s="92" t="e">
        <f t="shared" si="149"/>
        <v>#DIV/0!</v>
      </c>
      <c r="S224" s="39"/>
      <c r="T224" s="39">
        <v>3990</v>
      </c>
      <c r="U224" s="92" t="e">
        <f t="shared" si="150"/>
        <v>#DIV/0!</v>
      </c>
      <c r="V224" s="38">
        <f t="shared" si="151"/>
        <v>0</v>
      </c>
      <c r="W224" s="38">
        <f t="shared" si="151"/>
        <v>28387</v>
      </c>
      <c r="X224" s="92" t="e">
        <f t="shared" si="152"/>
        <v>#DIV/0!</v>
      </c>
      <c r="Y224" s="39">
        <v>10134</v>
      </c>
      <c r="Z224" s="39">
        <v>25320</v>
      </c>
      <c r="AA224" s="92">
        <f t="shared" si="153"/>
        <v>1.4985198342214328</v>
      </c>
      <c r="AB224" s="39">
        <f t="shared" si="154"/>
        <v>10134</v>
      </c>
      <c r="AC224" s="39">
        <f t="shared" si="154"/>
        <v>53707</v>
      </c>
      <c r="AD224" s="92">
        <f t="shared" si="155"/>
        <v>4.2996842313005725</v>
      </c>
      <c r="AE224" s="101">
        <v>6473</v>
      </c>
      <c r="AF224" s="101">
        <v>4206</v>
      </c>
      <c r="AG224" s="92">
        <f t="shared" si="156"/>
        <v>-0.35022400741541793</v>
      </c>
      <c r="AH224" s="101">
        <f t="shared" si="157"/>
        <v>16607</v>
      </c>
      <c r="AI224" s="101">
        <f t="shared" si="157"/>
        <v>57913</v>
      </c>
      <c r="AJ224" s="92">
        <f t="shared" si="158"/>
        <v>2.4872644065755405</v>
      </c>
      <c r="AK224" s="22">
        <v>6644</v>
      </c>
      <c r="AL224" s="22">
        <v>11402</v>
      </c>
      <c r="AM224" s="92">
        <f t="shared" si="159"/>
        <v>0.71613485851896441</v>
      </c>
      <c r="AN224" s="101">
        <f t="shared" si="160"/>
        <v>23251</v>
      </c>
      <c r="AO224" s="101">
        <f t="shared" si="160"/>
        <v>69315</v>
      </c>
      <c r="AP224" s="92">
        <f t="shared" si="161"/>
        <v>1.981162100554815</v>
      </c>
      <c r="AQ224" s="22"/>
      <c r="AR224" s="22"/>
      <c r="AS224" s="92" t="e">
        <f t="shared" si="162"/>
        <v>#DIV/0!</v>
      </c>
      <c r="AT224" s="22">
        <f t="shared" si="163"/>
        <v>23251</v>
      </c>
      <c r="AU224" s="22">
        <f t="shared" si="163"/>
        <v>69315</v>
      </c>
      <c r="AV224" s="92">
        <f t="shared" si="164"/>
        <v>1.981162100554815</v>
      </c>
      <c r="AW224" s="22"/>
      <c r="AX224" s="22"/>
      <c r="AY224" s="92" t="e">
        <f t="shared" si="165"/>
        <v>#DIV/0!</v>
      </c>
      <c r="AZ224" s="22">
        <f t="shared" si="166"/>
        <v>23251</v>
      </c>
      <c r="BA224" s="22">
        <f t="shared" si="166"/>
        <v>69315</v>
      </c>
      <c r="BB224" s="92">
        <f t="shared" si="167"/>
        <v>1.981162100554815</v>
      </c>
      <c r="BC224" s="101">
        <v>15033</v>
      </c>
      <c r="BD224" s="101">
        <v>6809</v>
      </c>
      <c r="BE224" s="92">
        <f t="shared" si="168"/>
        <v>-0.54706312778553845</v>
      </c>
      <c r="BF224" s="101">
        <f t="shared" si="169"/>
        <v>38284</v>
      </c>
      <c r="BG224" s="101">
        <f t="shared" si="169"/>
        <v>76124</v>
      </c>
      <c r="BH224" s="92">
        <f t="shared" si="170"/>
        <v>0.98840246578205004</v>
      </c>
      <c r="BI224" s="39"/>
      <c r="BJ224" s="28">
        <v>1580</v>
      </c>
      <c r="BK224" s="101">
        <v>15123</v>
      </c>
      <c r="BL224" s="22">
        <v>54987</v>
      </c>
      <c r="BM224" s="29">
        <f t="shared" si="171"/>
        <v>0.25374666666666668</v>
      </c>
      <c r="BN224" s="20"/>
    </row>
    <row r="225" spans="1:66" ht="45">
      <c r="A225" s="42" t="s">
        <v>30</v>
      </c>
      <c r="B225" s="69" t="s">
        <v>30</v>
      </c>
      <c r="C225" s="99" t="s">
        <v>340</v>
      </c>
      <c r="D225" s="78" t="s">
        <v>114</v>
      </c>
      <c r="E225" s="78" t="s">
        <v>114</v>
      </c>
      <c r="F225" s="78" t="s">
        <v>302</v>
      </c>
      <c r="G225" s="78" t="s">
        <v>317</v>
      </c>
      <c r="H225" s="78" t="s">
        <v>304</v>
      </c>
      <c r="I225" s="78"/>
      <c r="J225" s="22">
        <v>42263</v>
      </c>
      <c r="K225" s="22"/>
      <c r="L225" s="92">
        <f t="shared" si="146"/>
        <v>-1</v>
      </c>
      <c r="M225" s="22">
        <v>1790</v>
      </c>
      <c r="N225" s="22"/>
      <c r="O225" s="92">
        <f t="shared" si="147"/>
        <v>-1</v>
      </c>
      <c r="P225" s="61">
        <f t="shared" si="148"/>
        <v>44053</v>
      </c>
      <c r="Q225" s="61">
        <f t="shared" si="148"/>
        <v>0</v>
      </c>
      <c r="R225" s="92">
        <f t="shared" si="149"/>
        <v>-1</v>
      </c>
      <c r="S225" s="39"/>
      <c r="T225" s="39"/>
      <c r="U225" s="92" t="e">
        <f t="shared" si="150"/>
        <v>#DIV/0!</v>
      </c>
      <c r="V225" s="38">
        <f t="shared" si="151"/>
        <v>44053</v>
      </c>
      <c r="W225" s="38">
        <f t="shared" si="151"/>
        <v>0</v>
      </c>
      <c r="X225" s="92">
        <f t="shared" si="152"/>
        <v>-1</v>
      </c>
      <c r="Y225" s="39"/>
      <c r="Z225" s="39"/>
      <c r="AA225" s="92" t="e">
        <f t="shared" si="153"/>
        <v>#DIV/0!</v>
      </c>
      <c r="AB225" s="39">
        <f t="shared" si="154"/>
        <v>44053</v>
      </c>
      <c r="AC225" s="39">
        <f t="shared" si="154"/>
        <v>0</v>
      </c>
      <c r="AD225" s="92">
        <f t="shared" si="155"/>
        <v>-1</v>
      </c>
      <c r="AE225" s="101"/>
      <c r="AF225" s="101"/>
      <c r="AG225" s="92" t="e">
        <f t="shared" si="156"/>
        <v>#DIV/0!</v>
      </c>
      <c r="AH225" s="101">
        <f t="shared" si="157"/>
        <v>44053</v>
      </c>
      <c r="AI225" s="101">
        <f t="shared" si="157"/>
        <v>0</v>
      </c>
      <c r="AJ225" s="92">
        <f t="shared" si="158"/>
        <v>-1</v>
      </c>
      <c r="AK225" s="22"/>
      <c r="AL225" s="22"/>
      <c r="AM225" s="92" t="e">
        <f t="shared" si="159"/>
        <v>#DIV/0!</v>
      </c>
      <c r="AN225" s="101">
        <f t="shared" si="160"/>
        <v>44053</v>
      </c>
      <c r="AO225" s="101">
        <f t="shared" si="160"/>
        <v>0</v>
      </c>
      <c r="AP225" s="92">
        <f t="shared" si="161"/>
        <v>-1</v>
      </c>
      <c r="AQ225" s="22"/>
      <c r="AR225" s="22"/>
      <c r="AS225" s="92" t="e">
        <f t="shared" si="162"/>
        <v>#DIV/0!</v>
      </c>
      <c r="AT225" s="22">
        <f t="shared" si="163"/>
        <v>44053</v>
      </c>
      <c r="AU225" s="22">
        <f t="shared" si="163"/>
        <v>0</v>
      </c>
      <c r="AV225" s="92">
        <f t="shared" si="164"/>
        <v>-1</v>
      </c>
      <c r="AW225" s="22"/>
      <c r="AX225" s="22"/>
      <c r="AY225" s="92" t="e">
        <f t="shared" si="165"/>
        <v>#DIV/0!</v>
      </c>
      <c r="AZ225" s="22">
        <f t="shared" si="166"/>
        <v>44053</v>
      </c>
      <c r="BA225" s="22">
        <f t="shared" si="166"/>
        <v>0</v>
      </c>
      <c r="BB225" s="92">
        <f t="shared" si="167"/>
        <v>-1</v>
      </c>
      <c r="BC225" s="101"/>
      <c r="BD225" s="101"/>
      <c r="BE225" s="92" t="e">
        <f t="shared" si="168"/>
        <v>#DIV/0!</v>
      </c>
      <c r="BF225" s="101">
        <f t="shared" si="169"/>
        <v>44053</v>
      </c>
      <c r="BG225" s="101">
        <f t="shared" si="169"/>
        <v>0</v>
      </c>
      <c r="BH225" s="92">
        <f t="shared" si="170"/>
        <v>-1</v>
      </c>
      <c r="BI225" s="39"/>
      <c r="BJ225" s="28"/>
      <c r="BK225" s="101"/>
      <c r="BL225" s="22">
        <v>44053</v>
      </c>
      <c r="BM225" s="29" t="e">
        <f t="shared" si="171"/>
        <v>#DIV/0!</v>
      </c>
      <c r="BN225" s="20"/>
    </row>
    <row r="226" spans="1:66" ht="30">
      <c r="A226" s="42" t="s">
        <v>30</v>
      </c>
      <c r="B226" s="69" t="s">
        <v>30</v>
      </c>
      <c r="C226" s="99" t="s">
        <v>341</v>
      </c>
      <c r="D226" s="78" t="s">
        <v>102</v>
      </c>
      <c r="E226" s="78" t="s">
        <v>102</v>
      </c>
      <c r="F226" s="78" t="s">
        <v>342</v>
      </c>
      <c r="G226" s="78" t="s">
        <v>342</v>
      </c>
      <c r="H226" s="78" t="s">
        <v>308</v>
      </c>
      <c r="I226" s="78">
        <v>30</v>
      </c>
      <c r="J226" s="22"/>
      <c r="K226" s="22"/>
      <c r="L226" s="92" t="e">
        <f t="shared" si="146"/>
        <v>#DIV/0!</v>
      </c>
      <c r="M226" s="22"/>
      <c r="N226" s="22"/>
      <c r="O226" s="92" t="e">
        <f t="shared" si="147"/>
        <v>#DIV/0!</v>
      </c>
      <c r="P226" s="61">
        <f t="shared" si="148"/>
        <v>0</v>
      </c>
      <c r="Q226" s="61">
        <f t="shared" si="148"/>
        <v>0</v>
      </c>
      <c r="R226" s="92" t="e">
        <f t="shared" si="149"/>
        <v>#DIV/0!</v>
      </c>
      <c r="S226" s="39"/>
      <c r="T226" s="39">
        <v>0</v>
      </c>
      <c r="U226" s="92" t="e">
        <f t="shared" si="150"/>
        <v>#DIV/0!</v>
      </c>
      <c r="V226" s="38">
        <f t="shared" si="151"/>
        <v>0</v>
      </c>
      <c r="W226" s="38">
        <f t="shared" si="151"/>
        <v>0</v>
      </c>
      <c r="X226" s="92" t="e">
        <f t="shared" si="152"/>
        <v>#DIV/0!</v>
      </c>
      <c r="Y226" s="39">
        <v>8400</v>
      </c>
      <c r="Z226" s="39"/>
      <c r="AA226" s="92">
        <f t="shared" si="153"/>
        <v>-1</v>
      </c>
      <c r="AB226" s="39">
        <f t="shared" si="154"/>
        <v>8400</v>
      </c>
      <c r="AC226" s="39">
        <f t="shared" si="154"/>
        <v>0</v>
      </c>
      <c r="AD226" s="92">
        <f t="shared" si="155"/>
        <v>-1</v>
      </c>
      <c r="AE226" s="101"/>
      <c r="AF226" s="101"/>
      <c r="AG226" s="92" t="e">
        <f t="shared" si="156"/>
        <v>#DIV/0!</v>
      </c>
      <c r="AH226" s="101">
        <f t="shared" si="157"/>
        <v>8400</v>
      </c>
      <c r="AI226" s="101">
        <f t="shared" si="157"/>
        <v>0</v>
      </c>
      <c r="AJ226" s="92">
        <f t="shared" si="158"/>
        <v>-1</v>
      </c>
      <c r="AK226" s="22"/>
      <c r="AL226" s="22"/>
      <c r="AM226" s="92" t="e">
        <f t="shared" si="159"/>
        <v>#DIV/0!</v>
      </c>
      <c r="AN226" s="101">
        <f t="shared" si="160"/>
        <v>8400</v>
      </c>
      <c r="AO226" s="101">
        <f t="shared" si="160"/>
        <v>0</v>
      </c>
      <c r="AP226" s="92">
        <f t="shared" si="161"/>
        <v>-1</v>
      </c>
      <c r="AQ226" s="22"/>
      <c r="AR226" s="22"/>
      <c r="AS226" s="92" t="e">
        <f t="shared" si="162"/>
        <v>#DIV/0!</v>
      </c>
      <c r="AT226" s="22">
        <f t="shared" si="163"/>
        <v>8400</v>
      </c>
      <c r="AU226" s="22">
        <f t="shared" si="163"/>
        <v>0</v>
      </c>
      <c r="AV226" s="92">
        <f t="shared" si="164"/>
        <v>-1</v>
      </c>
      <c r="AW226" s="22">
        <v>21616</v>
      </c>
      <c r="AX226" s="22"/>
      <c r="AY226" s="92">
        <f t="shared" si="165"/>
        <v>-1</v>
      </c>
      <c r="AZ226" s="22">
        <f t="shared" si="166"/>
        <v>30016</v>
      </c>
      <c r="BA226" s="22">
        <f t="shared" si="166"/>
        <v>0</v>
      </c>
      <c r="BB226" s="92">
        <f t="shared" si="167"/>
        <v>-1</v>
      </c>
      <c r="BC226" s="101"/>
      <c r="BD226" s="101"/>
      <c r="BE226" s="92" t="e">
        <f t="shared" si="168"/>
        <v>#DIV/0!</v>
      </c>
      <c r="BF226" s="101">
        <f t="shared" si="169"/>
        <v>30016</v>
      </c>
      <c r="BG226" s="101">
        <f t="shared" si="169"/>
        <v>0</v>
      </c>
      <c r="BH226" s="92">
        <f t="shared" si="170"/>
        <v>-1</v>
      </c>
      <c r="BI226" s="39">
        <v>6071</v>
      </c>
      <c r="BJ226" s="28"/>
      <c r="BK226" s="101"/>
      <c r="BL226" s="22">
        <v>36087</v>
      </c>
      <c r="BM226" s="29">
        <f t="shared" si="171"/>
        <v>0</v>
      </c>
      <c r="BN226" s="20"/>
    </row>
    <row r="227" spans="1:66" ht="30">
      <c r="A227" s="42" t="s">
        <v>30</v>
      </c>
      <c r="B227" s="69" t="s">
        <v>30</v>
      </c>
      <c r="C227" s="99" t="s">
        <v>343</v>
      </c>
      <c r="D227" s="78" t="s">
        <v>61</v>
      </c>
      <c r="E227" s="78" t="s">
        <v>61</v>
      </c>
      <c r="F227" s="78" t="s">
        <v>302</v>
      </c>
      <c r="G227" s="78" t="s">
        <v>317</v>
      </c>
      <c r="H227" s="78" t="s">
        <v>314</v>
      </c>
      <c r="I227" s="78"/>
      <c r="J227" s="22"/>
      <c r="K227" s="22"/>
      <c r="L227" s="92" t="e">
        <f t="shared" si="146"/>
        <v>#DIV/0!</v>
      </c>
      <c r="M227" s="22"/>
      <c r="N227" s="22"/>
      <c r="O227" s="92" t="e">
        <f t="shared" si="147"/>
        <v>#DIV/0!</v>
      </c>
      <c r="P227" s="61">
        <f t="shared" si="148"/>
        <v>0</v>
      </c>
      <c r="Q227" s="61">
        <f t="shared" si="148"/>
        <v>0</v>
      </c>
      <c r="R227" s="92" t="e">
        <f t="shared" si="149"/>
        <v>#DIV/0!</v>
      </c>
      <c r="S227" s="39"/>
      <c r="T227" s="39"/>
      <c r="U227" s="92" t="e">
        <f t="shared" si="150"/>
        <v>#DIV/0!</v>
      </c>
      <c r="V227" s="38">
        <f t="shared" si="151"/>
        <v>0</v>
      </c>
      <c r="W227" s="38">
        <f t="shared" si="151"/>
        <v>0</v>
      </c>
      <c r="X227" s="92" t="e">
        <f t="shared" si="152"/>
        <v>#DIV/0!</v>
      </c>
      <c r="Y227" s="39">
        <v>107064</v>
      </c>
      <c r="Z227" s="39"/>
      <c r="AA227" s="92">
        <f t="shared" si="153"/>
        <v>-1</v>
      </c>
      <c r="AB227" s="39">
        <f t="shared" si="154"/>
        <v>107064</v>
      </c>
      <c r="AC227" s="39">
        <f t="shared" si="154"/>
        <v>0</v>
      </c>
      <c r="AD227" s="92">
        <f t="shared" si="155"/>
        <v>-1</v>
      </c>
      <c r="AE227" s="101"/>
      <c r="AF227" s="101"/>
      <c r="AG227" s="92" t="e">
        <f t="shared" si="156"/>
        <v>#DIV/0!</v>
      </c>
      <c r="AH227" s="101">
        <f t="shared" si="157"/>
        <v>107064</v>
      </c>
      <c r="AI227" s="101">
        <f t="shared" si="157"/>
        <v>0</v>
      </c>
      <c r="AJ227" s="92">
        <f t="shared" si="158"/>
        <v>-1</v>
      </c>
      <c r="AK227" s="22"/>
      <c r="AL227" s="22"/>
      <c r="AM227" s="92" t="e">
        <f t="shared" si="159"/>
        <v>#DIV/0!</v>
      </c>
      <c r="AN227" s="101">
        <f t="shared" si="160"/>
        <v>107064</v>
      </c>
      <c r="AO227" s="101">
        <f t="shared" si="160"/>
        <v>0</v>
      </c>
      <c r="AP227" s="92">
        <f t="shared" si="161"/>
        <v>-1</v>
      </c>
      <c r="AQ227" s="22"/>
      <c r="AR227" s="22"/>
      <c r="AS227" s="92" t="e">
        <f t="shared" si="162"/>
        <v>#DIV/0!</v>
      </c>
      <c r="AT227" s="22">
        <f t="shared" si="163"/>
        <v>107064</v>
      </c>
      <c r="AU227" s="22">
        <f t="shared" si="163"/>
        <v>0</v>
      </c>
      <c r="AV227" s="92">
        <f t="shared" si="164"/>
        <v>-1</v>
      </c>
      <c r="AW227" s="22"/>
      <c r="AX227" s="22"/>
      <c r="AY227" s="92" t="e">
        <f t="shared" si="165"/>
        <v>#DIV/0!</v>
      </c>
      <c r="AZ227" s="22">
        <f t="shared" si="166"/>
        <v>107064</v>
      </c>
      <c r="BA227" s="22">
        <f t="shared" si="166"/>
        <v>0</v>
      </c>
      <c r="BB227" s="92">
        <f t="shared" si="167"/>
        <v>-1</v>
      </c>
      <c r="BC227" s="101"/>
      <c r="BD227" s="101"/>
      <c r="BE227" s="92" t="e">
        <f t="shared" si="168"/>
        <v>#DIV/0!</v>
      </c>
      <c r="BF227" s="101">
        <f t="shared" si="169"/>
        <v>107064</v>
      </c>
      <c r="BG227" s="101">
        <f t="shared" si="169"/>
        <v>0</v>
      </c>
      <c r="BH227" s="92">
        <f t="shared" si="170"/>
        <v>-1</v>
      </c>
      <c r="BI227" s="39"/>
      <c r="BJ227" s="28"/>
      <c r="BK227" s="101"/>
      <c r="BL227" s="22">
        <v>107064</v>
      </c>
      <c r="BM227" s="29" t="e">
        <f t="shared" si="171"/>
        <v>#DIV/0!</v>
      </c>
      <c r="BN227" s="20"/>
    </row>
    <row r="228" spans="1:66" ht="45">
      <c r="A228" s="42" t="s">
        <v>30</v>
      </c>
      <c r="B228" s="69" t="s">
        <v>30</v>
      </c>
      <c r="C228" s="99" t="s">
        <v>344</v>
      </c>
      <c r="D228" s="78" t="s">
        <v>114</v>
      </c>
      <c r="E228" s="78" t="s">
        <v>114</v>
      </c>
      <c r="F228" s="78" t="s">
        <v>302</v>
      </c>
      <c r="G228" s="78" t="s">
        <v>302</v>
      </c>
      <c r="H228" s="78" t="s">
        <v>304</v>
      </c>
      <c r="I228" s="78"/>
      <c r="J228" s="22"/>
      <c r="K228" s="22">
        <v>3080</v>
      </c>
      <c r="L228" s="92" t="e">
        <f t="shared" si="146"/>
        <v>#DIV/0!</v>
      </c>
      <c r="M228" s="22"/>
      <c r="N228" s="22">
        <v>456</v>
      </c>
      <c r="O228" s="92" t="e">
        <f t="shared" si="147"/>
        <v>#DIV/0!</v>
      </c>
      <c r="P228" s="61">
        <f t="shared" si="148"/>
        <v>0</v>
      </c>
      <c r="Q228" s="61">
        <f t="shared" si="148"/>
        <v>3536</v>
      </c>
      <c r="R228" s="92" t="e">
        <f t="shared" si="149"/>
        <v>#DIV/0!</v>
      </c>
      <c r="S228" s="39"/>
      <c r="T228" s="39"/>
      <c r="U228" s="92" t="e">
        <f t="shared" si="150"/>
        <v>#DIV/0!</v>
      </c>
      <c r="V228" s="38">
        <f t="shared" si="151"/>
        <v>0</v>
      </c>
      <c r="W228" s="38">
        <f t="shared" si="151"/>
        <v>3536</v>
      </c>
      <c r="X228" s="92" t="e">
        <f t="shared" si="152"/>
        <v>#DIV/0!</v>
      </c>
      <c r="Y228" s="39"/>
      <c r="Z228" s="39">
        <v>12921</v>
      </c>
      <c r="AA228" s="92" t="e">
        <f t="shared" si="153"/>
        <v>#DIV/0!</v>
      </c>
      <c r="AB228" s="39">
        <f t="shared" si="154"/>
        <v>0</v>
      </c>
      <c r="AC228" s="39">
        <f t="shared" si="154"/>
        <v>16457</v>
      </c>
      <c r="AD228" s="92" t="e">
        <f t="shared" si="155"/>
        <v>#DIV/0!</v>
      </c>
      <c r="AE228" s="101"/>
      <c r="AF228" s="101">
        <v>7300</v>
      </c>
      <c r="AG228" s="92" t="e">
        <f t="shared" si="156"/>
        <v>#DIV/0!</v>
      </c>
      <c r="AH228" s="101">
        <f t="shared" si="157"/>
        <v>0</v>
      </c>
      <c r="AI228" s="101">
        <f t="shared" si="157"/>
        <v>23757</v>
      </c>
      <c r="AJ228" s="92" t="e">
        <f t="shared" si="158"/>
        <v>#DIV/0!</v>
      </c>
      <c r="AK228" s="22"/>
      <c r="AL228" s="22">
        <v>8131.2</v>
      </c>
      <c r="AM228" s="92" t="e">
        <f t="shared" si="159"/>
        <v>#DIV/0!</v>
      </c>
      <c r="AN228" s="101">
        <f t="shared" si="160"/>
        <v>0</v>
      </c>
      <c r="AO228" s="101">
        <f t="shared" si="160"/>
        <v>31888.2</v>
      </c>
      <c r="AP228" s="92" t="e">
        <f t="shared" si="161"/>
        <v>#DIV/0!</v>
      </c>
      <c r="AQ228" s="22"/>
      <c r="AR228" s="22">
        <v>10884</v>
      </c>
      <c r="AS228" s="92" t="e">
        <f t="shared" si="162"/>
        <v>#DIV/0!</v>
      </c>
      <c r="AT228" s="22">
        <f t="shared" si="163"/>
        <v>0</v>
      </c>
      <c r="AU228" s="22">
        <f t="shared" si="163"/>
        <v>42772.2</v>
      </c>
      <c r="AV228" s="92" t="e">
        <f t="shared" si="164"/>
        <v>#DIV/0!</v>
      </c>
      <c r="AW228" s="22"/>
      <c r="AX228" s="22">
        <v>114</v>
      </c>
      <c r="AY228" s="92" t="e">
        <f t="shared" si="165"/>
        <v>#DIV/0!</v>
      </c>
      <c r="AZ228" s="22">
        <f t="shared" si="166"/>
        <v>0</v>
      </c>
      <c r="BA228" s="22">
        <f t="shared" si="166"/>
        <v>42886.2</v>
      </c>
      <c r="BB228" s="92" t="e">
        <f t="shared" si="167"/>
        <v>#DIV/0!</v>
      </c>
      <c r="BC228" s="101"/>
      <c r="BD228" s="101">
        <v>7300</v>
      </c>
      <c r="BE228" s="92" t="e">
        <f t="shared" si="168"/>
        <v>#DIV/0!</v>
      </c>
      <c r="BF228" s="101">
        <f t="shared" si="169"/>
        <v>0</v>
      </c>
      <c r="BG228" s="101">
        <f t="shared" si="169"/>
        <v>50186.2</v>
      </c>
      <c r="BH228" s="92" t="e">
        <f t="shared" si="170"/>
        <v>#DIV/0!</v>
      </c>
      <c r="BI228" s="39"/>
      <c r="BJ228" s="28"/>
      <c r="BK228" s="101">
        <v>5748.4</v>
      </c>
      <c r="BL228" s="22">
        <v>5748.4</v>
      </c>
      <c r="BM228" s="29" t="e">
        <f t="shared" si="171"/>
        <v>#DIV/0!</v>
      </c>
      <c r="BN228" s="20"/>
    </row>
    <row r="229" spans="1:66" ht="30">
      <c r="A229" s="42" t="s">
        <v>30</v>
      </c>
      <c r="B229" s="69" t="s">
        <v>30</v>
      </c>
      <c r="C229" s="99" t="s">
        <v>345</v>
      </c>
      <c r="D229" s="78" t="s">
        <v>61</v>
      </c>
      <c r="E229" s="78" t="s">
        <v>61</v>
      </c>
      <c r="F229" s="78" t="s">
        <v>336</v>
      </c>
      <c r="G229" s="78" t="s">
        <v>336</v>
      </c>
      <c r="H229" s="78" t="s">
        <v>304</v>
      </c>
      <c r="I229" s="78"/>
      <c r="J229" s="22"/>
      <c r="K229" s="22"/>
      <c r="L229" s="92"/>
      <c r="M229" s="22"/>
      <c r="N229" s="22"/>
      <c r="O229" s="92"/>
      <c r="P229" s="61"/>
      <c r="Q229" s="61"/>
      <c r="R229" s="92"/>
      <c r="S229" s="39"/>
      <c r="T229" s="39"/>
      <c r="U229" s="92"/>
      <c r="V229" s="38"/>
      <c r="W229" s="38"/>
      <c r="X229" s="92"/>
      <c r="Y229" s="39"/>
      <c r="Z229" s="39"/>
      <c r="AA229" s="92"/>
      <c r="AB229" s="39"/>
      <c r="AC229" s="39"/>
      <c r="AD229" s="92"/>
      <c r="AE229" s="101"/>
      <c r="AF229" s="101"/>
      <c r="AG229" s="92"/>
      <c r="AH229" s="101"/>
      <c r="AI229" s="101"/>
      <c r="AJ229" s="92"/>
      <c r="AK229" s="22"/>
      <c r="AL229" s="22"/>
      <c r="AM229" s="92"/>
      <c r="AN229" s="101"/>
      <c r="AO229" s="101"/>
      <c r="AP229" s="92"/>
      <c r="AQ229" s="22"/>
      <c r="AR229" s="22"/>
      <c r="AS229" s="92"/>
      <c r="AT229" s="22"/>
      <c r="AU229" s="22"/>
      <c r="AV229" s="92"/>
      <c r="AW229" s="22"/>
      <c r="AX229" s="22"/>
      <c r="AY229" s="92"/>
      <c r="AZ229" s="22"/>
      <c r="BA229" s="22"/>
      <c r="BB229" s="92"/>
      <c r="BC229" s="101"/>
      <c r="BD229" s="101">
        <v>9504</v>
      </c>
      <c r="BE229" s="92" t="e">
        <f t="shared" si="168"/>
        <v>#DIV/0!</v>
      </c>
      <c r="BF229" s="101">
        <f t="shared" si="169"/>
        <v>0</v>
      </c>
      <c r="BG229" s="101">
        <f t="shared" si="169"/>
        <v>9504</v>
      </c>
      <c r="BH229" s="92" t="e">
        <f t="shared" si="170"/>
        <v>#DIV/0!</v>
      </c>
      <c r="BI229" s="39"/>
      <c r="BJ229" s="28"/>
      <c r="BK229" s="101"/>
      <c r="BL229" s="22"/>
      <c r="BM229" s="29" t="e">
        <f t="shared" si="171"/>
        <v>#DIV/0!</v>
      </c>
      <c r="BN229" s="20"/>
    </row>
    <row r="230" spans="1:66">
      <c r="A230" s="42" t="s">
        <v>30</v>
      </c>
      <c r="B230" s="69">
        <v>42</v>
      </c>
      <c r="C230" s="81" t="s">
        <v>31</v>
      </c>
      <c r="D230" s="78"/>
      <c r="E230" s="78"/>
      <c r="F230" s="78">
        <v>0</v>
      </c>
      <c r="G230" s="33"/>
      <c r="H230" s="78"/>
      <c r="I230" s="93">
        <f>SUM(I198:I228)</f>
        <v>1140</v>
      </c>
      <c r="J230" s="28">
        <f t="shared" ref="J230:N230" si="172">SUM(J198:J228)</f>
        <v>987273</v>
      </c>
      <c r="K230" s="28">
        <f t="shared" si="172"/>
        <v>979673.76</v>
      </c>
      <c r="L230" s="92">
        <f>K230/J230-1</f>
        <v>-7.6972022935904993E-3</v>
      </c>
      <c r="M230" s="28">
        <f t="shared" si="172"/>
        <v>496989.73</v>
      </c>
      <c r="N230" s="28">
        <f t="shared" si="172"/>
        <v>426348.02</v>
      </c>
      <c r="O230" s="92">
        <f>N230/M230-1</f>
        <v>-0.14213917458616288</v>
      </c>
      <c r="P230" s="100">
        <f t="shared" ref="P230:T230" si="173">SUM(P198:P228)</f>
        <v>1484262.73</v>
      </c>
      <c r="Q230" s="100">
        <f t="shared" si="173"/>
        <v>1406021.7799999998</v>
      </c>
      <c r="R230" s="92">
        <f>Q230/P230-1</f>
        <v>-5.271367960576645E-2</v>
      </c>
      <c r="S230" s="100">
        <f t="shared" si="173"/>
        <v>704817.31</v>
      </c>
      <c r="T230" s="100">
        <f t="shared" si="173"/>
        <v>895972.45000000007</v>
      </c>
      <c r="U230" s="92">
        <f>T230/S230-1</f>
        <v>0.27121232309121357</v>
      </c>
      <c r="V230" s="100">
        <f t="shared" ref="V230:Z230" si="174">SUM(V198:V228)</f>
        <v>2189080.04</v>
      </c>
      <c r="W230" s="100">
        <f t="shared" si="174"/>
        <v>2301994.23</v>
      </c>
      <c r="X230" s="92">
        <f>W230/V230-1</f>
        <v>5.1580658512605071E-2</v>
      </c>
      <c r="Y230" s="100">
        <f t="shared" si="174"/>
        <v>634914</v>
      </c>
      <c r="Z230" s="100">
        <f t="shared" si="174"/>
        <v>940883.01</v>
      </c>
      <c r="AA230" s="92">
        <f>Z230/Y230-1</f>
        <v>0.48190622667006866</v>
      </c>
      <c r="AB230" s="100">
        <f t="shared" ref="AB230:AF230" si="175">SUM(AB198:AB228)</f>
        <v>2823994.04</v>
      </c>
      <c r="AC230" s="100">
        <f t="shared" si="175"/>
        <v>3242877.24</v>
      </c>
      <c r="AD230" s="92">
        <f>AC230/AB230-1</f>
        <v>0.14833005809034927</v>
      </c>
      <c r="AE230" s="93">
        <f t="shared" si="175"/>
        <v>730473.41</v>
      </c>
      <c r="AF230" s="93">
        <f t="shared" si="175"/>
        <v>967383.14999999991</v>
      </c>
      <c r="AG230" s="92">
        <f>AF230/AE230-1</f>
        <v>0.32432356435807819</v>
      </c>
      <c r="AH230" s="93">
        <f t="shared" ref="AH230:AL230" si="176">SUM(AH198:AH228)</f>
        <v>3554467.45</v>
      </c>
      <c r="AI230" s="93">
        <f t="shared" si="176"/>
        <v>4210260.3900000006</v>
      </c>
      <c r="AJ230" s="92">
        <f>AI230/AH230-1</f>
        <v>0.18449822630954182</v>
      </c>
      <c r="AK230" s="102">
        <f t="shared" si="176"/>
        <v>396701.38</v>
      </c>
      <c r="AL230" s="102">
        <f t="shared" si="176"/>
        <v>995385.52</v>
      </c>
      <c r="AM230" s="92">
        <f>AL230/AK230-1</f>
        <v>1.5091556777543853</v>
      </c>
      <c r="AN230" s="102">
        <f t="shared" ref="AN230:AR230" si="177">SUM(AN198:AN228)</f>
        <v>3951168.83</v>
      </c>
      <c r="AO230" s="102">
        <f t="shared" si="177"/>
        <v>5205645.91</v>
      </c>
      <c r="AP230" s="92">
        <f>AO230/AN230-1</f>
        <v>0.31749518534240928</v>
      </c>
      <c r="AQ230" s="102">
        <f t="shared" si="177"/>
        <v>528805.98</v>
      </c>
      <c r="AR230" s="102">
        <f t="shared" si="177"/>
        <v>665570.61</v>
      </c>
      <c r="AS230" s="92">
        <f>AR230/AQ230-1</f>
        <v>0.25862912896711188</v>
      </c>
      <c r="AT230" s="103">
        <f t="shared" ref="AT230:AX230" si="178">SUM(AT198:AT228)</f>
        <v>4479974.8100000005</v>
      </c>
      <c r="AU230" s="103">
        <f t="shared" si="178"/>
        <v>5871216.5199999996</v>
      </c>
      <c r="AV230" s="92">
        <f>AU230/AT230-1</f>
        <v>0.31054677068597147</v>
      </c>
      <c r="AW230" s="103">
        <f t="shared" si="178"/>
        <v>747759.2</v>
      </c>
      <c r="AX230" s="103">
        <f t="shared" si="178"/>
        <v>600199.76</v>
      </c>
      <c r="AY230" s="92">
        <f>AX230/AW230-1</f>
        <v>-0.19733550586873416</v>
      </c>
      <c r="AZ230" s="103">
        <f t="shared" ref="AZ230:BA230" si="179">SUM(AZ198:AZ228)</f>
        <v>5227734.01</v>
      </c>
      <c r="BA230" s="103">
        <f t="shared" si="179"/>
        <v>6471416.2799999993</v>
      </c>
      <c r="BB230" s="92">
        <f>BA230/AZ230-1</f>
        <v>0.23790083191321343</v>
      </c>
      <c r="BC230" s="103">
        <f t="shared" ref="BC230:BG230" si="180">SUM(BC198:BC229)</f>
        <v>1304515.76</v>
      </c>
      <c r="BD230" s="103">
        <f t="shared" si="180"/>
        <v>463720.7</v>
      </c>
      <c r="BE230" s="92">
        <f t="shared" si="168"/>
        <v>-0.64452656363461647</v>
      </c>
      <c r="BF230" s="103">
        <f t="shared" si="180"/>
        <v>6532249.7699999996</v>
      </c>
      <c r="BG230" s="103">
        <f t="shared" si="180"/>
        <v>6935136.9799999995</v>
      </c>
      <c r="BH230" s="92">
        <f t="shared" si="170"/>
        <v>6.1676638858835231E-2</v>
      </c>
      <c r="BI230" s="104">
        <v>768318.57</v>
      </c>
      <c r="BJ230" s="104">
        <v>1557250.42</v>
      </c>
      <c r="BK230" s="104">
        <v>1738010.44</v>
      </c>
      <c r="BL230" s="105">
        <v>10595829.199999999</v>
      </c>
      <c r="BM230" s="29">
        <f t="shared" si="171"/>
        <v>0.60834534912280702</v>
      </c>
      <c r="BN230" s="20"/>
    </row>
    <row r="234" spans="1:66">
      <c r="A234" s="78"/>
      <c r="B234" s="78"/>
      <c r="C234" s="219" t="s">
        <v>46</v>
      </c>
      <c r="D234" s="207" t="s">
        <v>47</v>
      </c>
      <c r="E234" s="207" t="s">
        <v>48</v>
      </c>
      <c r="F234" s="207" t="s">
        <v>49</v>
      </c>
      <c r="G234" s="207" t="s">
        <v>50</v>
      </c>
      <c r="H234" s="226" t="s">
        <v>51</v>
      </c>
      <c r="I234" s="227" t="s">
        <v>38</v>
      </c>
      <c r="J234" s="205" t="s">
        <v>3</v>
      </c>
      <c r="K234" s="206"/>
      <c r="L234" s="203" t="s">
        <v>4</v>
      </c>
      <c r="M234" s="197" t="s">
        <v>5</v>
      </c>
      <c r="N234" s="197"/>
      <c r="O234" s="196" t="s">
        <v>4</v>
      </c>
      <c r="P234" s="197" t="s">
        <v>39</v>
      </c>
      <c r="Q234" s="197"/>
      <c r="R234" s="196" t="s">
        <v>4</v>
      </c>
      <c r="S234" s="197" t="s">
        <v>6</v>
      </c>
      <c r="T234" s="197"/>
      <c r="U234" s="196" t="s">
        <v>4</v>
      </c>
      <c r="V234" s="197" t="s">
        <v>7</v>
      </c>
      <c r="W234" s="197"/>
      <c r="X234" s="196" t="s">
        <v>4</v>
      </c>
      <c r="Y234" s="197" t="s">
        <v>8</v>
      </c>
      <c r="Z234" s="197"/>
      <c r="AA234" s="196" t="s">
        <v>4</v>
      </c>
      <c r="AB234" s="197" t="s">
        <v>9</v>
      </c>
      <c r="AC234" s="197"/>
      <c r="AD234" s="196" t="s">
        <v>4</v>
      </c>
      <c r="AE234" s="197" t="s">
        <v>10</v>
      </c>
      <c r="AF234" s="197"/>
      <c r="AG234" s="196" t="s">
        <v>4</v>
      </c>
      <c r="AH234" s="197" t="s">
        <v>11</v>
      </c>
      <c r="AI234" s="197"/>
      <c r="AJ234" s="196" t="s">
        <v>4</v>
      </c>
      <c r="AK234" s="197" t="s">
        <v>12</v>
      </c>
      <c r="AL234" s="197"/>
      <c r="AM234" s="196" t="s">
        <v>4</v>
      </c>
      <c r="AN234" s="197" t="s">
        <v>13</v>
      </c>
      <c r="AO234" s="197"/>
      <c r="AP234" s="196" t="s">
        <v>4</v>
      </c>
      <c r="AQ234" s="197" t="s">
        <v>14</v>
      </c>
      <c r="AR234" s="197"/>
      <c r="AS234" s="196" t="s">
        <v>4</v>
      </c>
      <c r="AT234" s="197" t="s">
        <v>15</v>
      </c>
      <c r="AU234" s="197"/>
      <c r="AV234" s="187" t="s">
        <v>4</v>
      </c>
      <c r="AW234" s="197" t="s">
        <v>16</v>
      </c>
      <c r="AX234" s="197"/>
      <c r="AY234" s="196" t="s">
        <v>4</v>
      </c>
      <c r="AZ234" s="197" t="s">
        <v>17</v>
      </c>
      <c r="BA234" s="197"/>
      <c r="BB234" s="187" t="s">
        <v>4</v>
      </c>
      <c r="BC234" s="191" t="s">
        <v>18</v>
      </c>
      <c r="BD234" s="192"/>
      <c r="BE234" s="187" t="s">
        <v>4</v>
      </c>
      <c r="BF234" s="191" t="s">
        <v>19</v>
      </c>
      <c r="BG234" s="192"/>
      <c r="BH234" s="187" t="s">
        <v>4</v>
      </c>
      <c r="BI234" s="78" t="s">
        <v>40</v>
      </c>
      <c r="BJ234" s="78" t="s">
        <v>41</v>
      </c>
      <c r="BK234" s="78" t="s">
        <v>42</v>
      </c>
      <c r="BL234" s="78" t="s">
        <v>133</v>
      </c>
      <c r="BM234" s="199" t="s">
        <v>20</v>
      </c>
      <c r="BN234" s="22"/>
    </row>
    <row r="235" spans="1:66">
      <c r="A235" s="78"/>
      <c r="B235" s="78"/>
      <c r="C235" s="219"/>
      <c r="D235" s="207"/>
      <c r="E235" s="207"/>
      <c r="F235" s="207"/>
      <c r="G235" s="207"/>
      <c r="H235" s="226"/>
      <c r="I235" s="228"/>
      <c r="J235" s="63" t="s">
        <v>21</v>
      </c>
      <c r="K235" s="64" t="s">
        <v>22</v>
      </c>
      <c r="L235" s="204"/>
      <c r="M235" s="35" t="s">
        <v>21</v>
      </c>
      <c r="N235" s="35" t="s">
        <v>22</v>
      </c>
      <c r="O235" s="196"/>
      <c r="P235" s="35" t="s">
        <v>21</v>
      </c>
      <c r="Q235" s="35" t="s">
        <v>22</v>
      </c>
      <c r="R235" s="196"/>
      <c r="S235" s="35" t="s">
        <v>21</v>
      </c>
      <c r="T235" s="35" t="s">
        <v>22</v>
      </c>
      <c r="U235" s="196"/>
      <c r="V235" s="35" t="s">
        <v>21</v>
      </c>
      <c r="W235" s="35" t="s">
        <v>22</v>
      </c>
      <c r="X235" s="196"/>
      <c r="Y235" s="35" t="s">
        <v>21</v>
      </c>
      <c r="Z235" s="35" t="s">
        <v>22</v>
      </c>
      <c r="AA235" s="196"/>
      <c r="AB235" s="35" t="s">
        <v>21</v>
      </c>
      <c r="AC235" s="35" t="s">
        <v>22</v>
      </c>
      <c r="AD235" s="196"/>
      <c r="AE235" s="35" t="s">
        <v>21</v>
      </c>
      <c r="AF235" s="35" t="s">
        <v>22</v>
      </c>
      <c r="AG235" s="196"/>
      <c r="AH235" s="35" t="s">
        <v>21</v>
      </c>
      <c r="AI235" s="35" t="s">
        <v>22</v>
      </c>
      <c r="AJ235" s="196"/>
      <c r="AK235" s="35" t="s">
        <v>21</v>
      </c>
      <c r="AL235" s="35" t="s">
        <v>22</v>
      </c>
      <c r="AM235" s="196"/>
      <c r="AN235" s="35" t="s">
        <v>21</v>
      </c>
      <c r="AO235" s="35" t="s">
        <v>22</v>
      </c>
      <c r="AP235" s="196"/>
      <c r="AQ235" s="35" t="s">
        <v>21</v>
      </c>
      <c r="AR235" s="35" t="s">
        <v>22</v>
      </c>
      <c r="AS235" s="196"/>
      <c r="AT235" s="35" t="s">
        <v>21</v>
      </c>
      <c r="AU235" s="35" t="s">
        <v>22</v>
      </c>
      <c r="AV235" s="187"/>
      <c r="AW235" s="35" t="s">
        <v>21</v>
      </c>
      <c r="AX235" s="35" t="s">
        <v>22</v>
      </c>
      <c r="AY235" s="196"/>
      <c r="AZ235" s="35" t="s">
        <v>21</v>
      </c>
      <c r="BA235" s="35" t="s">
        <v>22</v>
      </c>
      <c r="BB235" s="187"/>
      <c r="BC235" s="35" t="s">
        <v>21</v>
      </c>
      <c r="BD235" s="35" t="s">
        <v>22</v>
      </c>
      <c r="BE235" s="187"/>
      <c r="BF235" s="35" t="s">
        <v>21</v>
      </c>
      <c r="BG235" s="35" t="s">
        <v>22</v>
      </c>
      <c r="BH235" s="187"/>
      <c r="BI235" s="64" t="s">
        <v>21</v>
      </c>
      <c r="BJ235" s="64" t="s">
        <v>21</v>
      </c>
      <c r="BK235" s="64" t="s">
        <v>21</v>
      </c>
      <c r="BL235" s="64" t="s">
        <v>21</v>
      </c>
      <c r="BM235" s="199"/>
      <c r="BN235" s="22" t="s">
        <v>52</v>
      </c>
    </row>
    <row r="236" spans="1:66">
      <c r="A236" s="80" t="s">
        <v>33</v>
      </c>
      <c r="B236" s="80" t="s">
        <v>33</v>
      </c>
      <c r="C236" s="174" t="s">
        <v>346</v>
      </c>
      <c r="D236" s="33" t="s">
        <v>56</v>
      </c>
      <c r="E236" s="33" t="s">
        <v>56</v>
      </c>
      <c r="F236" s="176" t="s">
        <v>347</v>
      </c>
      <c r="G236" s="176" t="s">
        <v>347</v>
      </c>
      <c r="H236" s="33" t="s">
        <v>348</v>
      </c>
      <c r="I236" s="33">
        <v>350</v>
      </c>
      <c r="J236" s="91"/>
      <c r="K236" s="91">
        <v>420000</v>
      </c>
      <c r="L236" s="92" t="e">
        <f t="shared" ref="L236:L283" si="181">K236/J236-1</f>
        <v>#DIV/0!</v>
      </c>
      <c r="M236" s="91"/>
      <c r="N236" s="91"/>
      <c r="O236" s="92" t="e">
        <f t="shared" ref="O236:O283" si="182">N236/M236-1</f>
        <v>#DIV/0!</v>
      </c>
      <c r="P236" s="91">
        <f t="shared" ref="P236:Q283" si="183">M236+J236</f>
        <v>0</v>
      </c>
      <c r="Q236" s="91">
        <f t="shared" si="183"/>
        <v>420000</v>
      </c>
      <c r="R236" s="92" t="e">
        <f t="shared" ref="R236:R283" si="184">Q236/P236-1</f>
        <v>#DIV/0!</v>
      </c>
      <c r="S236" s="38">
        <v>170000</v>
      </c>
      <c r="T236" s="38">
        <v>950000</v>
      </c>
      <c r="U236" s="92">
        <f t="shared" ref="U236:U284" si="185">T236/S236-1</f>
        <v>4.5882352941176467</v>
      </c>
      <c r="V236" s="38">
        <f t="shared" ref="V236:W284" si="186">S236+P236</f>
        <v>170000</v>
      </c>
      <c r="W236" s="38">
        <f t="shared" si="186"/>
        <v>1370000</v>
      </c>
      <c r="X236" s="92">
        <f t="shared" ref="X236:X284" si="187">W236/V236-1</f>
        <v>7.0588235294117645</v>
      </c>
      <c r="Y236" s="38">
        <v>90000</v>
      </c>
      <c r="Z236" s="38">
        <v>260000</v>
      </c>
      <c r="AA236" s="92">
        <f t="shared" ref="AA236:AA285" si="188">Z236/Y236-1</f>
        <v>1.8888888888888888</v>
      </c>
      <c r="AB236" s="38">
        <f t="shared" ref="AB236:AC285" si="189">V236+Y236</f>
        <v>260000</v>
      </c>
      <c r="AC236" s="38">
        <f t="shared" si="189"/>
        <v>1630000</v>
      </c>
      <c r="AD236" s="92">
        <f t="shared" ref="AD236:AD285" si="190">AC236/AB236-1</f>
        <v>5.2692307692307692</v>
      </c>
      <c r="AE236" s="22">
        <v>300000</v>
      </c>
      <c r="AF236" s="22">
        <v>170000</v>
      </c>
      <c r="AG236" s="92">
        <f t="shared" ref="AG236:AG288" si="191">AF236/AE236-1</f>
        <v>-0.43333333333333335</v>
      </c>
      <c r="AH236" s="22">
        <f t="shared" ref="AH236:AI288" si="192">AE236+AB236</f>
        <v>560000</v>
      </c>
      <c r="AI236" s="22">
        <f t="shared" si="192"/>
        <v>1800000</v>
      </c>
      <c r="AJ236" s="92">
        <f t="shared" ref="AJ236:AJ288" si="193">AI236/AH236-1</f>
        <v>2.2142857142857144</v>
      </c>
      <c r="AK236" s="22">
        <v>170000</v>
      </c>
      <c r="AL236" s="22">
        <v>570000</v>
      </c>
      <c r="AM236" s="92">
        <f t="shared" ref="AM236:AM288" si="194">AL236/AK236-1</f>
        <v>2.3529411764705883</v>
      </c>
      <c r="AN236" s="22">
        <f t="shared" ref="AN236:AO288" si="195">AK236+AH236</f>
        <v>730000</v>
      </c>
      <c r="AO236" s="22">
        <f t="shared" si="195"/>
        <v>2370000</v>
      </c>
      <c r="AP236" s="92">
        <f t="shared" ref="AP236:AP288" si="196">AO236/AN236-1</f>
        <v>2.2465753424657535</v>
      </c>
      <c r="AQ236" s="22">
        <v>350000</v>
      </c>
      <c r="AR236" s="22">
        <v>500000</v>
      </c>
      <c r="AS236" s="92">
        <f t="shared" ref="AS236:AS293" si="197">AR236/AQ236-1</f>
        <v>0.4285714285714286</v>
      </c>
      <c r="AT236" s="22">
        <f t="shared" ref="AT236:AU293" si="198">AQ236+AN236</f>
        <v>1080000</v>
      </c>
      <c r="AU236" s="22">
        <f t="shared" si="198"/>
        <v>2870000</v>
      </c>
      <c r="AV236" s="92">
        <f t="shared" ref="AV236:AV293" si="199">AU236/AT236-1</f>
        <v>1.6574074074074074</v>
      </c>
      <c r="AW236" s="38">
        <v>390000</v>
      </c>
      <c r="AX236" s="38">
        <v>200000</v>
      </c>
      <c r="AY236" s="92">
        <f t="shared" ref="AY236:AY295" si="200">AX236/AW236-1</f>
        <v>-0.48717948717948723</v>
      </c>
      <c r="AZ236" s="38">
        <f t="shared" ref="AZ236:BA294" si="201">AT236+AW236</f>
        <v>1470000</v>
      </c>
      <c r="BA236" s="38">
        <f t="shared" si="201"/>
        <v>3070000</v>
      </c>
      <c r="BB236" s="92">
        <f t="shared" ref="BB236:BB295" si="202">BA236/AZ236-1</f>
        <v>1.0884353741496597</v>
      </c>
      <c r="BC236" s="38">
        <v>350000</v>
      </c>
      <c r="BD236" s="38">
        <v>230000</v>
      </c>
      <c r="BE236" s="92">
        <f t="shared" ref="BE236:BE295" si="203">BD236/BC236-1</f>
        <v>-0.34285714285714286</v>
      </c>
      <c r="BF236" s="38">
        <f t="shared" ref="BF236:BG294" si="204">BC236+AZ236</f>
        <v>1820000</v>
      </c>
      <c r="BG236" s="38">
        <f t="shared" si="204"/>
        <v>3300000</v>
      </c>
      <c r="BH236" s="92">
        <f t="shared" ref="BH236:BH295" si="205">BG236/BF236-1</f>
        <v>0.81318681318681318</v>
      </c>
      <c r="BI236" s="22">
        <v>300000</v>
      </c>
      <c r="BJ236" s="22">
        <v>650000</v>
      </c>
      <c r="BK236" s="22">
        <v>230000</v>
      </c>
      <c r="BL236" s="22">
        <v>3000000</v>
      </c>
      <c r="BM236" s="96">
        <f t="shared" ref="BM236:BM295" si="206">BG236/10000/I236</f>
        <v>0.94285714285714284</v>
      </c>
      <c r="BN236" s="22"/>
    </row>
    <row r="237" spans="1:66" ht="30">
      <c r="A237" s="80" t="s">
        <v>33</v>
      </c>
      <c r="B237" s="80" t="s">
        <v>33</v>
      </c>
      <c r="C237" s="82" t="s">
        <v>349</v>
      </c>
      <c r="D237" s="33" t="s">
        <v>61</v>
      </c>
      <c r="E237" s="33" t="s">
        <v>61</v>
      </c>
      <c r="F237" s="176" t="s">
        <v>347</v>
      </c>
      <c r="G237" s="176" t="s">
        <v>347</v>
      </c>
      <c r="H237" s="33" t="s">
        <v>348</v>
      </c>
      <c r="I237" s="33">
        <v>40</v>
      </c>
      <c r="J237" s="91"/>
      <c r="K237" s="91"/>
      <c r="L237" s="92" t="e">
        <f t="shared" si="181"/>
        <v>#DIV/0!</v>
      </c>
      <c r="M237" s="91"/>
      <c r="N237" s="91"/>
      <c r="O237" s="92" t="e">
        <f t="shared" si="182"/>
        <v>#DIV/0!</v>
      </c>
      <c r="P237" s="91">
        <f t="shared" si="183"/>
        <v>0</v>
      </c>
      <c r="Q237" s="91">
        <f t="shared" si="183"/>
        <v>0</v>
      </c>
      <c r="R237" s="92" t="e">
        <f t="shared" si="184"/>
        <v>#DIV/0!</v>
      </c>
      <c r="S237" s="38"/>
      <c r="T237" s="38">
        <v>17000</v>
      </c>
      <c r="U237" s="92" t="e">
        <f t="shared" si="185"/>
        <v>#DIV/0!</v>
      </c>
      <c r="V237" s="38">
        <f t="shared" si="186"/>
        <v>0</v>
      </c>
      <c r="W237" s="38">
        <f t="shared" si="186"/>
        <v>17000</v>
      </c>
      <c r="X237" s="92" t="e">
        <f t="shared" si="187"/>
        <v>#DIV/0!</v>
      </c>
      <c r="Y237" s="38">
        <v>30000</v>
      </c>
      <c r="Z237" s="38"/>
      <c r="AA237" s="92">
        <f t="shared" si="188"/>
        <v>-1</v>
      </c>
      <c r="AB237" s="38">
        <f t="shared" si="189"/>
        <v>30000</v>
      </c>
      <c r="AC237" s="38">
        <f t="shared" si="189"/>
        <v>17000</v>
      </c>
      <c r="AD237" s="92">
        <f t="shared" si="190"/>
        <v>-0.43333333333333335</v>
      </c>
      <c r="AE237" s="22"/>
      <c r="AF237" s="22"/>
      <c r="AG237" s="92" t="e">
        <f t="shared" si="191"/>
        <v>#DIV/0!</v>
      </c>
      <c r="AH237" s="22">
        <f t="shared" si="192"/>
        <v>30000</v>
      </c>
      <c r="AI237" s="22">
        <f t="shared" si="192"/>
        <v>17000</v>
      </c>
      <c r="AJ237" s="92">
        <f t="shared" si="193"/>
        <v>-0.43333333333333335</v>
      </c>
      <c r="AK237" s="22">
        <v>30000</v>
      </c>
      <c r="AL237" s="22"/>
      <c r="AM237" s="92">
        <f t="shared" si="194"/>
        <v>-1</v>
      </c>
      <c r="AN237" s="22">
        <f t="shared" si="195"/>
        <v>60000</v>
      </c>
      <c r="AO237" s="22">
        <f t="shared" si="195"/>
        <v>17000</v>
      </c>
      <c r="AP237" s="92">
        <f t="shared" si="196"/>
        <v>-0.71666666666666667</v>
      </c>
      <c r="AQ237" s="22"/>
      <c r="AR237" s="22"/>
      <c r="AS237" s="92" t="e">
        <f t="shared" si="197"/>
        <v>#DIV/0!</v>
      </c>
      <c r="AT237" s="22">
        <f t="shared" si="198"/>
        <v>60000</v>
      </c>
      <c r="AU237" s="22">
        <f t="shared" si="198"/>
        <v>17000</v>
      </c>
      <c r="AV237" s="92">
        <f t="shared" si="199"/>
        <v>-0.71666666666666667</v>
      </c>
      <c r="AW237" s="38"/>
      <c r="AX237" s="38"/>
      <c r="AY237" s="92" t="e">
        <f t="shared" si="200"/>
        <v>#DIV/0!</v>
      </c>
      <c r="AZ237" s="38">
        <f t="shared" si="201"/>
        <v>60000</v>
      </c>
      <c r="BA237" s="38">
        <f t="shared" si="201"/>
        <v>17000</v>
      </c>
      <c r="BB237" s="92">
        <f t="shared" si="202"/>
        <v>-0.71666666666666667</v>
      </c>
      <c r="BC237" s="38"/>
      <c r="BD237" s="38"/>
      <c r="BE237" s="92" t="e">
        <f t="shared" si="203"/>
        <v>#DIV/0!</v>
      </c>
      <c r="BF237" s="38">
        <f t="shared" si="204"/>
        <v>60000</v>
      </c>
      <c r="BG237" s="38">
        <f t="shared" si="204"/>
        <v>17000</v>
      </c>
      <c r="BH237" s="92">
        <f t="shared" si="205"/>
        <v>-0.71666666666666667</v>
      </c>
      <c r="BI237" s="22">
        <v>50000</v>
      </c>
      <c r="BJ237" s="22"/>
      <c r="BK237" s="22"/>
      <c r="BL237" s="22">
        <v>110000</v>
      </c>
      <c r="BM237" s="96">
        <f t="shared" si="206"/>
        <v>4.2499999999999996E-2</v>
      </c>
      <c r="BN237" s="22"/>
    </row>
    <row r="238" spans="1:66">
      <c r="A238" s="80" t="s">
        <v>33</v>
      </c>
      <c r="B238" s="80" t="s">
        <v>33</v>
      </c>
      <c r="C238" s="174" t="s">
        <v>350</v>
      </c>
      <c r="D238" s="33" t="s">
        <v>61</v>
      </c>
      <c r="E238" s="33" t="s">
        <v>56</v>
      </c>
      <c r="F238" s="33" t="s">
        <v>351</v>
      </c>
      <c r="G238" s="33" t="s">
        <v>351</v>
      </c>
      <c r="H238" s="33" t="s">
        <v>352</v>
      </c>
      <c r="I238" s="33">
        <v>50</v>
      </c>
      <c r="J238" s="91">
        <v>50000</v>
      </c>
      <c r="K238" s="91">
        <v>110000</v>
      </c>
      <c r="L238" s="92">
        <f t="shared" si="181"/>
        <v>1.2000000000000002</v>
      </c>
      <c r="M238" s="91"/>
      <c r="N238" s="91"/>
      <c r="O238" s="92" t="e">
        <f t="shared" si="182"/>
        <v>#DIV/0!</v>
      </c>
      <c r="P238" s="91">
        <f t="shared" si="183"/>
        <v>50000</v>
      </c>
      <c r="Q238" s="91">
        <f t="shared" si="183"/>
        <v>110000</v>
      </c>
      <c r="R238" s="92">
        <f t="shared" si="184"/>
        <v>1.2000000000000002</v>
      </c>
      <c r="S238" s="38">
        <v>60000</v>
      </c>
      <c r="T238" s="38">
        <v>110000</v>
      </c>
      <c r="U238" s="92">
        <f t="shared" si="185"/>
        <v>0.83333333333333326</v>
      </c>
      <c r="V238" s="38">
        <f t="shared" si="186"/>
        <v>110000</v>
      </c>
      <c r="W238" s="38">
        <f t="shared" si="186"/>
        <v>220000</v>
      </c>
      <c r="X238" s="92">
        <f t="shared" si="187"/>
        <v>1</v>
      </c>
      <c r="Y238" s="38">
        <v>30000</v>
      </c>
      <c r="Z238" s="38">
        <v>80000</v>
      </c>
      <c r="AA238" s="92">
        <f t="shared" si="188"/>
        <v>1.6666666666666665</v>
      </c>
      <c r="AB238" s="38">
        <f t="shared" si="189"/>
        <v>140000</v>
      </c>
      <c r="AC238" s="38">
        <f t="shared" si="189"/>
        <v>300000</v>
      </c>
      <c r="AD238" s="92">
        <f t="shared" si="190"/>
        <v>1.1428571428571428</v>
      </c>
      <c r="AE238" s="22">
        <v>80000</v>
      </c>
      <c r="AF238" s="22">
        <v>110000</v>
      </c>
      <c r="AG238" s="92">
        <f t="shared" si="191"/>
        <v>0.375</v>
      </c>
      <c r="AH238" s="22">
        <f t="shared" si="192"/>
        <v>220000</v>
      </c>
      <c r="AI238" s="22">
        <f t="shared" si="192"/>
        <v>410000</v>
      </c>
      <c r="AJ238" s="92">
        <f t="shared" si="193"/>
        <v>0.86363636363636354</v>
      </c>
      <c r="AK238" s="22">
        <v>118042</v>
      </c>
      <c r="AL238" s="22">
        <v>80000</v>
      </c>
      <c r="AM238" s="92">
        <f t="shared" si="194"/>
        <v>-0.32227512241405598</v>
      </c>
      <c r="AN238" s="22">
        <f t="shared" si="195"/>
        <v>338042</v>
      </c>
      <c r="AO238" s="22">
        <f t="shared" si="195"/>
        <v>490000</v>
      </c>
      <c r="AP238" s="92">
        <f t="shared" si="196"/>
        <v>0.44952402364203259</v>
      </c>
      <c r="AQ238" s="22"/>
      <c r="AR238" s="22">
        <v>80000</v>
      </c>
      <c r="AS238" s="92" t="e">
        <f t="shared" si="197"/>
        <v>#DIV/0!</v>
      </c>
      <c r="AT238" s="22">
        <f t="shared" si="198"/>
        <v>338042</v>
      </c>
      <c r="AU238" s="22">
        <f t="shared" si="198"/>
        <v>570000</v>
      </c>
      <c r="AV238" s="92">
        <f t="shared" si="199"/>
        <v>0.68618100709379304</v>
      </c>
      <c r="AW238" s="38"/>
      <c r="AX238" s="38">
        <v>50000</v>
      </c>
      <c r="AY238" s="92" t="e">
        <f t="shared" si="200"/>
        <v>#DIV/0!</v>
      </c>
      <c r="AZ238" s="38">
        <f t="shared" si="201"/>
        <v>338042</v>
      </c>
      <c r="BA238" s="38">
        <f t="shared" si="201"/>
        <v>620000</v>
      </c>
      <c r="BB238" s="92">
        <f t="shared" si="202"/>
        <v>0.83409162175114338</v>
      </c>
      <c r="BC238" s="38">
        <v>110000</v>
      </c>
      <c r="BD238" s="38">
        <v>30000</v>
      </c>
      <c r="BE238" s="92">
        <f t="shared" si="203"/>
        <v>-0.72727272727272729</v>
      </c>
      <c r="BF238" s="38">
        <f t="shared" si="204"/>
        <v>448042</v>
      </c>
      <c r="BG238" s="38">
        <f t="shared" si="204"/>
        <v>650000</v>
      </c>
      <c r="BH238" s="92">
        <f t="shared" si="205"/>
        <v>0.45075684868829269</v>
      </c>
      <c r="BI238" s="22">
        <v>110000</v>
      </c>
      <c r="BJ238" s="22">
        <v>190000</v>
      </c>
      <c r="BK238" s="22">
        <v>50000</v>
      </c>
      <c r="BL238" s="22">
        <v>798042</v>
      </c>
      <c r="BM238" s="96">
        <f t="shared" si="206"/>
        <v>1.3</v>
      </c>
      <c r="BN238" s="22"/>
    </row>
    <row r="239" spans="1:66">
      <c r="A239" s="80" t="s">
        <v>33</v>
      </c>
      <c r="B239" s="80" t="s">
        <v>33</v>
      </c>
      <c r="C239" s="174" t="s">
        <v>353</v>
      </c>
      <c r="D239" s="33" t="s">
        <v>61</v>
      </c>
      <c r="E239" s="33" t="s">
        <v>61</v>
      </c>
      <c r="F239" s="176" t="s">
        <v>347</v>
      </c>
      <c r="G239" s="176" t="s">
        <v>347</v>
      </c>
      <c r="H239" s="33" t="s">
        <v>348</v>
      </c>
      <c r="I239" s="33">
        <v>40</v>
      </c>
      <c r="J239" s="91">
        <v>10203</v>
      </c>
      <c r="K239" s="91"/>
      <c r="L239" s="92">
        <f t="shared" si="181"/>
        <v>-1</v>
      </c>
      <c r="M239" s="91">
        <v>14925</v>
      </c>
      <c r="N239" s="91"/>
      <c r="O239" s="92">
        <f t="shared" si="182"/>
        <v>-1</v>
      </c>
      <c r="P239" s="91">
        <f t="shared" si="183"/>
        <v>25128</v>
      </c>
      <c r="Q239" s="91">
        <f t="shared" si="183"/>
        <v>0</v>
      </c>
      <c r="R239" s="92">
        <f t="shared" si="184"/>
        <v>-1</v>
      </c>
      <c r="S239" s="38">
        <v>17163</v>
      </c>
      <c r="T239" s="38">
        <v>3953</v>
      </c>
      <c r="U239" s="92">
        <f t="shared" si="185"/>
        <v>-0.76967896055468155</v>
      </c>
      <c r="V239" s="38">
        <f t="shared" si="186"/>
        <v>42291</v>
      </c>
      <c r="W239" s="38">
        <f t="shared" si="186"/>
        <v>3953</v>
      </c>
      <c r="X239" s="92">
        <f t="shared" si="187"/>
        <v>-0.90652857581991442</v>
      </c>
      <c r="Y239" s="38">
        <v>29060</v>
      </c>
      <c r="Z239" s="38">
        <v>4074</v>
      </c>
      <c r="AA239" s="92">
        <f t="shared" si="188"/>
        <v>-0.85980729525120436</v>
      </c>
      <c r="AB239" s="38">
        <f t="shared" si="189"/>
        <v>71351</v>
      </c>
      <c r="AC239" s="38">
        <f t="shared" si="189"/>
        <v>8027</v>
      </c>
      <c r="AD239" s="92">
        <f t="shared" si="190"/>
        <v>-0.88749982480974343</v>
      </c>
      <c r="AE239" s="22">
        <v>35379</v>
      </c>
      <c r="AF239" s="22"/>
      <c r="AG239" s="92">
        <f t="shared" si="191"/>
        <v>-1</v>
      </c>
      <c r="AH239" s="22">
        <f t="shared" si="192"/>
        <v>106730</v>
      </c>
      <c r="AI239" s="22">
        <f t="shared" si="192"/>
        <v>8027</v>
      </c>
      <c r="AJ239" s="92">
        <f t="shared" si="193"/>
        <v>-0.92479153002904524</v>
      </c>
      <c r="AK239" s="22">
        <v>13721</v>
      </c>
      <c r="AL239" s="22">
        <v>12739</v>
      </c>
      <c r="AM239" s="92">
        <f t="shared" si="194"/>
        <v>-7.1569127614605321E-2</v>
      </c>
      <c r="AN239" s="22">
        <f t="shared" si="195"/>
        <v>120451</v>
      </c>
      <c r="AO239" s="22">
        <f t="shared" si="195"/>
        <v>20766</v>
      </c>
      <c r="AP239" s="92">
        <f t="shared" si="196"/>
        <v>-0.82759794439232548</v>
      </c>
      <c r="AQ239" s="22">
        <v>15953</v>
      </c>
      <c r="AR239" s="22">
        <v>5143</v>
      </c>
      <c r="AS239" s="92">
        <f t="shared" si="197"/>
        <v>-0.67761549551808442</v>
      </c>
      <c r="AT239" s="22">
        <f t="shared" si="198"/>
        <v>136404</v>
      </c>
      <c r="AU239" s="22">
        <f t="shared" si="198"/>
        <v>25909</v>
      </c>
      <c r="AV239" s="92">
        <f t="shared" si="199"/>
        <v>-0.81005688982727775</v>
      </c>
      <c r="AW239" s="38">
        <v>17927</v>
      </c>
      <c r="AX239" s="38">
        <v>42982</v>
      </c>
      <c r="AY239" s="92">
        <f t="shared" si="200"/>
        <v>1.3976125397445194</v>
      </c>
      <c r="AZ239" s="38">
        <f t="shared" si="201"/>
        <v>154331</v>
      </c>
      <c r="BA239" s="38">
        <f t="shared" si="201"/>
        <v>68891</v>
      </c>
      <c r="BB239" s="92">
        <f t="shared" si="202"/>
        <v>-0.55361528144054017</v>
      </c>
      <c r="BC239" s="38">
        <v>29976</v>
      </c>
      <c r="BD239" s="38"/>
      <c r="BE239" s="92">
        <f t="shared" si="203"/>
        <v>-1</v>
      </c>
      <c r="BF239" s="38">
        <f t="shared" si="204"/>
        <v>184307</v>
      </c>
      <c r="BG239" s="38">
        <f t="shared" si="204"/>
        <v>68891</v>
      </c>
      <c r="BH239" s="92">
        <f t="shared" si="205"/>
        <v>-0.62621604171301137</v>
      </c>
      <c r="BI239" s="22">
        <v>48396</v>
      </c>
      <c r="BJ239" s="22">
        <v>45019</v>
      </c>
      <c r="BK239" s="22">
        <v>102148</v>
      </c>
      <c r="BL239" s="22">
        <v>379870</v>
      </c>
      <c r="BM239" s="96">
        <f t="shared" si="206"/>
        <v>0.17222750000000001</v>
      </c>
      <c r="BN239" s="22"/>
    </row>
    <row r="240" spans="1:66">
      <c r="A240" s="80" t="s">
        <v>33</v>
      </c>
      <c r="B240" s="80" t="s">
        <v>33</v>
      </c>
      <c r="C240" s="180" t="s">
        <v>354</v>
      </c>
      <c r="D240" s="33" t="s">
        <v>61</v>
      </c>
      <c r="E240" s="33" t="s">
        <v>61</v>
      </c>
      <c r="F240" s="176" t="s">
        <v>351</v>
      </c>
      <c r="G240" s="176" t="s">
        <v>351</v>
      </c>
      <c r="H240" s="33" t="s">
        <v>352</v>
      </c>
      <c r="I240" s="33">
        <v>15</v>
      </c>
      <c r="J240" s="91"/>
      <c r="K240" s="91"/>
      <c r="L240" s="92" t="e">
        <f t="shared" si="181"/>
        <v>#DIV/0!</v>
      </c>
      <c r="M240" s="91"/>
      <c r="N240" s="91">
        <v>50000</v>
      </c>
      <c r="O240" s="92" t="e">
        <f t="shared" si="182"/>
        <v>#DIV/0!</v>
      </c>
      <c r="P240" s="91">
        <f t="shared" si="183"/>
        <v>0</v>
      </c>
      <c r="Q240" s="91">
        <f t="shared" si="183"/>
        <v>50000</v>
      </c>
      <c r="R240" s="92" t="e">
        <f t="shared" si="184"/>
        <v>#DIV/0!</v>
      </c>
      <c r="S240" s="38"/>
      <c r="T240" s="38"/>
      <c r="U240" s="92" t="e">
        <f t="shared" si="185"/>
        <v>#DIV/0!</v>
      </c>
      <c r="V240" s="38">
        <f t="shared" si="186"/>
        <v>0</v>
      </c>
      <c r="W240" s="38">
        <f t="shared" si="186"/>
        <v>50000</v>
      </c>
      <c r="X240" s="92" t="e">
        <f t="shared" si="187"/>
        <v>#DIV/0!</v>
      </c>
      <c r="Y240" s="38"/>
      <c r="Z240" s="38"/>
      <c r="AA240" s="92" t="e">
        <f t="shared" si="188"/>
        <v>#DIV/0!</v>
      </c>
      <c r="AB240" s="38">
        <f t="shared" si="189"/>
        <v>0</v>
      </c>
      <c r="AC240" s="38">
        <f t="shared" si="189"/>
        <v>50000</v>
      </c>
      <c r="AD240" s="92" t="e">
        <f t="shared" si="190"/>
        <v>#DIV/0!</v>
      </c>
      <c r="AE240" s="22">
        <v>50000</v>
      </c>
      <c r="AF240" s="22"/>
      <c r="AG240" s="92">
        <f t="shared" si="191"/>
        <v>-1</v>
      </c>
      <c r="AH240" s="22">
        <f t="shared" si="192"/>
        <v>50000</v>
      </c>
      <c r="AI240" s="22">
        <f t="shared" si="192"/>
        <v>50000</v>
      </c>
      <c r="AJ240" s="92">
        <f t="shared" si="193"/>
        <v>0</v>
      </c>
      <c r="AK240" s="22"/>
      <c r="AL240" s="22">
        <v>50000</v>
      </c>
      <c r="AM240" s="92" t="e">
        <f t="shared" si="194"/>
        <v>#DIV/0!</v>
      </c>
      <c r="AN240" s="22">
        <f t="shared" si="195"/>
        <v>50000</v>
      </c>
      <c r="AO240" s="22">
        <f t="shared" si="195"/>
        <v>100000</v>
      </c>
      <c r="AP240" s="92">
        <f t="shared" si="196"/>
        <v>1</v>
      </c>
      <c r="AQ240" s="22"/>
      <c r="AR240" s="22"/>
      <c r="AS240" s="92" t="e">
        <f t="shared" si="197"/>
        <v>#DIV/0!</v>
      </c>
      <c r="AT240" s="22">
        <f t="shared" si="198"/>
        <v>50000</v>
      </c>
      <c r="AU240" s="22">
        <f t="shared" si="198"/>
        <v>100000</v>
      </c>
      <c r="AV240" s="92">
        <f t="shared" si="199"/>
        <v>1</v>
      </c>
      <c r="AW240" s="38"/>
      <c r="AX240" s="38"/>
      <c r="AY240" s="92" t="e">
        <f t="shared" si="200"/>
        <v>#DIV/0!</v>
      </c>
      <c r="AZ240" s="38">
        <f t="shared" si="201"/>
        <v>50000</v>
      </c>
      <c r="BA240" s="38">
        <f t="shared" si="201"/>
        <v>100000</v>
      </c>
      <c r="BB240" s="92">
        <f t="shared" si="202"/>
        <v>1</v>
      </c>
      <c r="BC240" s="38">
        <v>50000</v>
      </c>
      <c r="BD240" s="38"/>
      <c r="BE240" s="92">
        <f t="shared" si="203"/>
        <v>-1</v>
      </c>
      <c r="BF240" s="38">
        <f t="shared" si="204"/>
        <v>100000</v>
      </c>
      <c r="BG240" s="38">
        <f t="shared" si="204"/>
        <v>100000</v>
      </c>
      <c r="BH240" s="92">
        <f t="shared" si="205"/>
        <v>0</v>
      </c>
      <c r="BI240" s="22"/>
      <c r="BJ240" s="22">
        <v>50000</v>
      </c>
      <c r="BK240" s="22"/>
      <c r="BL240" s="22">
        <v>150000</v>
      </c>
      <c r="BM240" s="96">
        <f t="shared" si="206"/>
        <v>0.66666666666666663</v>
      </c>
      <c r="BN240" s="22"/>
    </row>
    <row r="241" spans="1:66">
      <c r="A241" s="80" t="s">
        <v>33</v>
      </c>
      <c r="B241" s="80" t="s">
        <v>33</v>
      </c>
      <c r="C241" s="174" t="s">
        <v>355</v>
      </c>
      <c r="D241" s="33" t="s">
        <v>61</v>
      </c>
      <c r="E241" s="33" t="s">
        <v>61</v>
      </c>
      <c r="F241" s="176" t="s">
        <v>356</v>
      </c>
      <c r="G241" s="176" t="s">
        <v>356</v>
      </c>
      <c r="H241" s="33" t="s">
        <v>352</v>
      </c>
      <c r="I241" s="33">
        <v>25</v>
      </c>
      <c r="J241" s="91">
        <v>20000</v>
      </c>
      <c r="K241" s="91">
        <v>40000</v>
      </c>
      <c r="L241" s="92">
        <f t="shared" si="181"/>
        <v>1</v>
      </c>
      <c r="M241" s="91">
        <v>20000</v>
      </c>
      <c r="N241" s="91">
        <v>30000</v>
      </c>
      <c r="O241" s="92">
        <f t="shared" si="182"/>
        <v>0.5</v>
      </c>
      <c r="P241" s="91">
        <f t="shared" si="183"/>
        <v>40000</v>
      </c>
      <c r="Q241" s="91">
        <f t="shared" si="183"/>
        <v>70000</v>
      </c>
      <c r="R241" s="92">
        <f t="shared" si="184"/>
        <v>0.75</v>
      </c>
      <c r="S241" s="38"/>
      <c r="T241" s="38"/>
      <c r="U241" s="92" t="e">
        <f t="shared" si="185"/>
        <v>#DIV/0!</v>
      </c>
      <c r="V241" s="38">
        <f t="shared" si="186"/>
        <v>40000</v>
      </c>
      <c r="W241" s="38">
        <f t="shared" si="186"/>
        <v>70000</v>
      </c>
      <c r="X241" s="92">
        <f t="shared" si="187"/>
        <v>0.75</v>
      </c>
      <c r="Y241" s="38">
        <v>20000</v>
      </c>
      <c r="Z241" s="38"/>
      <c r="AA241" s="92">
        <f t="shared" si="188"/>
        <v>-1</v>
      </c>
      <c r="AB241" s="38">
        <f t="shared" si="189"/>
        <v>60000</v>
      </c>
      <c r="AC241" s="38">
        <f t="shared" si="189"/>
        <v>70000</v>
      </c>
      <c r="AD241" s="92">
        <f t="shared" si="190"/>
        <v>0.16666666666666674</v>
      </c>
      <c r="AE241" s="22"/>
      <c r="AF241" s="22"/>
      <c r="AG241" s="92" t="e">
        <f t="shared" si="191"/>
        <v>#DIV/0!</v>
      </c>
      <c r="AH241" s="22">
        <f t="shared" si="192"/>
        <v>60000</v>
      </c>
      <c r="AI241" s="22">
        <f t="shared" si="192"/>
        <v>70000</v>
      </c>
      <c r="AJ241" s="92">
        <f t="shared" si="193"/>
        <v>0.16666666666666674</v>
      </c>
      <c r="AK241" s="22"/>
      <c r="AL241" s="22"/>
      <c r="AM241" s="92" t="e">
        <f t="shared" si="194"/>
        <v>#DIV/0!</v>
      </c>
      <c r="AN241" s="22">
        <f t="shared" si="195"/>
        <v>60000</v>
      </c>
      <c r="AO241" s="22">
        <f t="shared" si="195"/>
        <v>70000</v>
      </c>
      <c r="AP241" s="92">
        <f t="shared" si="196"/>
        <v>0.16666666666666674</v>
      </c>
      <c r="AQ241" s="22"/>
      <c r="AR241" s="22"/>
      <c r="AS241" s="92" t="e">
        <f t="shared" si="197"/>
        <v>#DIV/0!</v>
      </c>
      <c r="AT241" s="22">
        <f t="shared" si="198"/>
        <v>60000</v>
      </c>
      <c r="AU241" s="22">
        <f t="shared" si="198"/>
        <v>70000</v>
      </c>
      <c r="AV241" s="92">
        <f t="shared" si="199"/>
        <v>0.16666666666666674</v>
      </c>
      <c r="AW241" s="38"/>
      <c r="AX241" s="38"/>
      <c r="AY241" s="92" t="e">
        <f t="shared" si="200"/>
        <v>#DIV/0!</v>
      </c>
      <c r="AZ241" s="38">
        <f t="shared" si="201"/>
        <v>60000</v>
      </c>
      <c r="BA241" s="38">
        <f t="shared" si="201"/>
        <v>70000</v>
      </c>
      <c r="BB241" s="92">
        <f t="shared" si="202"/>
        <v>0.16666666666666674</v>
      </c>
      <c r="BC241" s="38">
        <v>20000</v>
      </c>
      <c r="BD241" s="38"/>
      <c r="BE241" s="92">
        <f t="shared" si="203"/>
        <v>-1</v>
      </c>
      <c r="BF241" s="38">
        <f t="shared" si="204"/>
        <v>80000</v>
      </c>
      <c r="BG241" s="38">
        <f t="shared" si="204"/>
        <v>70000</v>
      </c>
      <c r="BH241" s="92">
        <f t="shared" si="205"/>
        <v>-0.125</v>
      </c>
      <c r="BI241" s="22"/>
      <c r="BJ241" s="22">
        <v>30000</v>
      </c>
      <c r="BK241" s="22"/>
      <c r="BL241" s="22">
        <v>110000</v>
      </c>
      <c r="BM241" s="96">
        <f t="shared" si="206"/>
        <v>0.28000000000000003</v>
      </c>
      <c r="BN241" s="22"/>
    </row>
    <row r="242" spans="1:66">
      <c r="A242" s="80" t="s">
        <v>33</v>
      </c>
      <c r="B242" s="80" t="s">
        <v>33</v>
      </c>
      <c r="C242" s="81" t="s">
        <v>357</v>
      </c>
      <c r="D242" s="33" t="s">
        <v>61</v>
      </c>
      <c r="E242" s="33" t="s">
        <v>61</v>
      </c>
      <c r="F242" s="176" t="s">
        <v>351</v>
      </c>
      <c r="G242" s="176" t="s">
        <v>351</v>
      </c>
      <c r="H242" s="33" t="s">
        <v>352</v>
      </c>
      <c r="I242" s="33"/>
      <c r="J242" s="91">
        <v>10027</v>
      </c>
      <c r="K242" s="91"/>
      <c r="L242" s="92">
        <f t="shared" si="181"/>
        <v>-1</v>
      </c>
      <c r="M242" s="91"/>
      <c r="N242" s="91"/>
      <c r="O242" s="92" t="e">
        <f t="shared" si="182"/>
        <v>#DIV/0!</v>
      </c>
      <c r="P242" s="91">
        <f t="shared" si="183"/>
        <v>10027</v>
      </c>
      <c r="Q242" s="91">
        <f t="shared" si="183"/>
        <v>0</v>
      </c>
      <c r="R242" s="92">
        <f t="shared" si="184"/>
        <v>-1</v>
      </c>
      <c r="S242" s="38">
        <v>5704</v>
      </c>
      <c r="T242" s="38"/>
      <c r="U242" s="92">
        <f t="shared" si="185"/>
        <v>-1</v>
      </c>
      <c r="V242" s="38">
        <f t="shared" si="186"/>
        <v>15731</v>
      </c>
      <c r="W242" s="38">
        <f t="shared" si="186"/>
        <v>0</v>
      </c>
      <c r="X242" s="92">
        <f t="shared" si="187"/>
        <v>-1</v>
      </c>
      <c r="Y242" s="38"/>
      <c r="Z242" s="38"/>
      <c r="AA242" s="92" t="e">
        <f t="shared" si="188"/>
        <v>#DIV/0!</v>
      </c>
      <c r="AB242" s="38">
        <f t="shared" si="189"/>
        <v>15731</v>
      </c>
      <c r="AC242" s="38">
        <f t="shared" si="189"/>
        <v>0</v>
      </c>
      <c r="AD242" s="92">
        <f t="shared" si="190"/>
        <v>-1</v>
      </c>
      <c r="AE242" s="22"/>
      <c r="AF242" s="22"/>
      <c r="AG242" s="92" t="e">
        <f t="shared" si="191"/>
        <v>#DIV/0!</v>
      </c>
      <c r="AH242" s="22">
        <f t="shared" si="192"/>
        <v>15731</v>
      </c>
      <c r="AI242" s="22">
        <f t="shared" si="192"/>
        <v>0</v>
      </c>
      <c r="AJ242" s="92">
        <f t="shared" si="193"/>
        <v>-1</v>
      </c>
      <c r="AK242" s="22"/>
      <c r="AL242" s="22"/>
      <c r="AM242" s="92" t="e">
        <f t="shared" si="194"/>
        <v>#DIV/0!</v>
      </c>
      <c r="AN242" s="22">
        <f t="shared" si="195"/>
        <v>15731</v>
      </c>
      <c r="AO242" s="22">
        <f t="shared" si="195"/>
        <v>0</v>
      </c>
      <c r="AP242" s="92">
        <f t="shared" si="196"/>
        <v>-1</v>
      </c>
      <c r="AQ242" s="22"/>
      <c r="AR242" s="22"/>
      <c r="AS242" s="92" t="e">
        <f t="shared" si="197"/>
        <v>#DIV/0!</v>
      </c>
      <c r="AT242" s="22">
        <f t="shared" si="198"/>
        <v>15731</v>
      </c>
      <c r="AU242" s="22">
        <f t="shared" si="198"/>
        <v>0</v>
      </c>
      <c r="AV242" s="92">
        <f t="shared" si="199"/>
        <v>-1</v>
      </c>
      <c r="AW242" s="38"/>
      <c r="AX242" s="38"/>
      <c r="AY242" s="92" t="e">
        <f t="shared" si="200"/>
        <v>#DIV/0!</v>
      </c>
      <c r="AZ242" s="38">
        <f t="shared" si="201"/>
        <v>15731</v>
      </c>
      <c r="BA242" s="38">
        <f t="shared" si="201"/>
        <v>0</v>
      </c>
      <c r="BB242" s="92">
        <f t="shared" si="202"/>
        <v>-1</v>
      </c>
      <c r="BC242" s="38"/>
      <c r="BD242" s="38"/>
      <c r="BE242" s="92" t="e">
        <f t="shared" si="203"/>
        <v>#DIV/0!</v>
      </c>
      <c r="BF242" s="38">
        <f t="shared" si="204"/>
        <v>15731</v>
      </c>
      <c r="BG242" s="38">
        <f t="shared" si="204"/>
        <v>0</v>
      </c>
      <c r="BH242" s="92">
        <f t="shared" si="205"/>
        <v>-1</v>
      </c>
      <c r="BI242" s="22"/>
      <c r="BJ242" s="22"/>
      <c r="BK242" s="22"/>
      <c r="BL242" s="22">
        <v>15731</v>
      </c>
      <c r="BM242" s="96" t="e">
        <f t="shared" si="206"/>
        <v>#DIV/0!</v>
      </c>
      <c r="BN242" s="22"/>
    </row>
    <row r="243" spans="1:66">
      <c r="A243" s="80" t="s">
        <v>33</v>
      </c>
      <c r="B243" s="80" t="s">
        <v>33</v>
      </c>
      <c r="C243" s="83" t="s">
        <v>358</v>
      </c>
      <c r="D243" s="33" t="s">
        <v>79</v>
      </c>
      <c r="E243" s="33" t="s">
        <v>79</v>
      </c>
      <c r="F243" s="33" t="s">
        <v>359</v>
      </c>
      <c r="G243" s="176" t="s">
        <v>80</v>
      </c>
      <c r="H243" s="33" t="s">
        <v>360</v>
      </c>
      <c r="I243" s="33">
        <v>255</v>
      </c>
      <c r="J243" s="91"/>
      <c r="K243" s="91">
        <v>109783.7</v>
      </c>
      <c r="L243" s="92" t="e">
        <f t="shared" si="181"/>
        <v>#DIV/0!</v>
      </c>
      <c r="M243" s="91">
        <v>391306.3</v>
      </c>
      <c r="N243" s="41">
        <v>153270.94</v>
      </c>
      <c r="O243" s="92">
        <f t="shared" si="182"/>
        <v>-0.60830955187790225</v>
      </c>
      <c r="P243" s="91">
        <f t="shared" si="183"/>
        <v>391306.3</v>
      </c>
      <c r="Q243" s="91">
        <f t="shared" si="183"/>
        <v>263054.64</v>
      </c>
      <c r="R243" s="92">
        <f t="shared" si="184"/>
        <v>-0.32775260710088228</v>
      </c>
      <c r="S243" s="38">
        <v>351010.01</v>
      </c>
      <c r="T243" s="38">
        <v>236175.35</v>
      </c>
      <c r="U243" s="92">
        <f t="shared" si="185"/>
        <v>-0.327154943529958</v>
      </c>
      <c r="V243" s="38">
        <f t="shared" si="186"/>
        <v>742316.31</v>
      </c>
      <c r="W243" s="38">
        <f t="shared" si="186"/>
        <v>499229.99</v>
      </c>
      <c r="X243" s="92">
        <f t="shared" si="187"/>
        <v>-0.32746999725763815</v>
      </c>
      <c r="Y243" s="38">
        <v>88963.62</v>
      </c>
      <c r="Z243" s="38">
        <v>180910.35</v>
      </c>
      <c r="AA243" s="92">
        <f t="shared" si="188"/>
        <v>1.0335317964804043</v>
      </c>
      <c r="AB243" s="38">
        <f t="shared" si="189"/>
        <v>831279.93</v>
      </c>
      <c r="AC243" s="38">
        <f t="shared" si="189"/>
        <v>680140.34</v>
      </c>
      <c r="AD243" s="92">
        <f t="shared" si="190"/>
        <v>-0.1818155167056662</v>
      </c>
      <c r="AE243" s="22">
        <v>190850.41</v>
      </c>
      <c r="AF243" s="22">
        <v>470039.53</v>
      </c>
      <c r="AG243" s="92">
        <f t="shared" si="191"/>
        <v>1.4628688510546035</v>
      </c>
      <c r="AH243" s="22">
        <f t="shared" si="192"/>
        <v>1022130.3400000001</v>
      </c>
      <c r="AI243" s="22">
        <f t="shared" si="192"/>
        <v>1150179.8700000001</v>
      </c>
      <c r="AJ243" s="92">
        <f t="shared" si="193"/>
        <v>0.12527710507057255</v>
      </c>
      <c r="AK243" s="22">
        <v>98273.44</v>
      </c>
      <c r="AL243" s="22">
        <v>402723.13</v>
      </c>
      <c r="AM243" s="92">
        <f t="shared" si="194"/>
        <v>3.0979854780701679</v>
      </c>
      <c r="AN243" s="22">
        <f t="shared" si="195"/>
        <v>1120403.78</v>
      </c>
      <c r="AO243" s="22">
        <f t="shared" si="195"/>
        <v>1552903</v>
      </c>
      <c r="AP243" s="92">
        <f t="shared" si="196"/>
        <v>0.38602085044732704</v>
      </c>
      <c r="AQ243" s="22">
        <v>192151.31</v>
      </c>
      <c r="AR243" s="22">
        <v>187966.16</v>
      </c>
      <c r="AS243" s="92">
        <f t="shared" si="197"/>
        <v>-2.1780491634431187E-2</v>
      </c>
      <c r="AT243" s="22">
        <f t="shared" si="198"/>
        <v>1312555.0900000001</v>
      </c>
      <c r="AU243" s="22">
        <f t="shared" si="198"/>
        <v>1740869.16</v>
      </c>
      <c r="AV243" s="92">
        <f t="shared" si="199"/>
        <v>0.32632083275072277</v>
      </c>
      <c r="AW243" s="38">
        <v>5498</v>
      </c>
      <c r="AX243" s="38"/>
      <c r="AY243" s="92">
        <f t="shared" si="200"/>
        <v>-1</v>
      </c>
      <c r="AZ243" s="38">
        <f t="shared" si="201"/>
        <v>1318053.0900000001</v>
      </c>
      <c r="BA243" s="38">
        <f t="shared" si="201"/>
        <v>1740869.16</v>
      </c>
      <c r="BB243" s="92">
        <f t="shared" si="202"/>
        <v>0.32078834548310931</v>
      </c>
      <c r="BC243" s="38">
        <v>198631.31</v>
      </c>
      <c r="BD243" s="38">
        <v>14632.75</v>
      </c>
      <c r="BE243" s="92">
        <f t="shared" si="203"/>
        <v>-0.92633210746080263</v>
      </c>
      <c r="BF243" s="38">
        <f t="shared" si="204"/>
        <v>1516684.4000000001</v>
      </c>
      <c r="BG243" s="38">
        <f t="shared" si="204"/>
        <v>1755501.91</v>
      </c>
      <c r="BH243" s="92">
        <f t="shared" si="205"/>
        <v>0.15746025343176195</v>
      </c>
      <c r="BI243" s="22">
        <v>222946.83</v>
      </c>
      <c r="BJ243" s="22">
        <v>433820.52</v>
      </c>
      <c r="BK243" s="22">
        <v>396596.85</v>
      </c>
      <c r="BL243" s="22">
        <v>2570048.6</v>
      </c>
      <c r="BM243" s="96">
        <f t="shared" si="206"/>
        <v>0.68843212156862743</v>
      </c>
      <c r="BN243" s="22"/>
    </row>
    <row r="244" spans="1:66">
      <c r="A244" s="80" t="s">
        <v>33</v>
      </c>
      <c r="B244" s="80" t="s">
        <v>33</v>
      </c>
      <c r="C244" s="81" t="s">
        <v>361</v>
      </c>
      <c r="D244" s="33" t="s">
        <v>61</v>
      </c>
      <c r="E244" s="33" t="s">
        <v>56</v>
      </c>
      <c r="F244" s="176" t="s">
        <v>351</v>
      </c>
      <c r="G244" s="176" t="s">
        <v>351</v>
      </c>
      <c r="H244" s="33" t="s">
        <v>352</v>
      </c>
      <c r="I244" s="33">
        <v>80</v>
      </c>
      <c r="J244" s="91">
        <v>117626</v>
      </c>
      <c r="K244" s="91">
        <v>25380</v>
      </c>
      <c r="L244" s="92">
        <f t="shared" si="181"/>
        <v>-0.78423137741655757</v>
      </c>
      <c r="M244" s="91"/>
      <c r="N244" s="91"/>
      <c r="O244" s="92" t="e">
        <f t="shared" si="182"/>
        <v>#DIV/0!</v>
      </c>
      <c r="P244" s="91">
        <f t="shared" si="183"/>
        <v>117626</v>
      </c>
      <c r="Q244" s="91">
        <f t="shared" si="183"/>
        <v>25380</v>
      </c>
      <c r="R244" s="92">
        <f t="shared" si="184"/>
        <v>-0.78423137741655757</v>
      </c>
      <c r="S244" s="38">
        <v>67824</v>
      </c>
      <c r="T244" s="38">
        <v>96952</v>
      </c>
      <c r="U244" s="92">
        <f t="shared" si="185"/>
        <v>0.42946449634347728</v>
      </c>
      <c r="V244" s="38">
        <f t="shared" si="186"/>
        <v>185450</v>
      </c>
      <c r="W244" s="38">
        <f t="shared" si="186"/>
        <v>122332</v>
      </c>
      <c r="X244" s="92">
        <f t="shared" si="187"/>
        <v>-0.34035049878673496</v>
      </c>
      <c r="Y244" s="38">
        <v>64458</v>
      </c>
      <c r="Z244" s="38">
        <v>38300</v>
      </c>
      <c r="AA244" s="92">
        <f t="shared" si="188"/>
        <v>-0.40581463898972969</v>
      </c>
      <c r="AB244" s="38">
        <f t="shared" si="189"/>
        <v>249908</v>
      </c>
      <c r="AC244" s="38">
        <f t="shared" si="189"/>
        <v>160632</v>
      </c>
      <c r="AD244" s="92">
        <f t="shared" si="190"/>
        <v>-0.3572354626502553</v>
      </c>
      <c r="AE244" s="22">
        <v>34120</v>
      </c>
      <c r="AF244" s="22">
        <v>20125</v>
      </c>
      <c r="AG244" s="92">
        <f t="shared" si="191"/>
        <v>-0.41016998827667062</v>
      </c>
      <c r="AH244" s="22">
        <f t="shared" si="192"/>
        <v>284028</v>
      </c>
      <c r="AI244" s="22">
        <f t="shared" si="192"/>
        <v>180757</v>
      </c>
      <c r="AJ244" s="92">
        <f t="shared" si="193"/>
        <v>-0.36359443435154282</v>
      </c>
      <c r="AK244" s="22">
        <v>44233</v>
      </c>
      <c r="AL244" s="22">
        <v>23218</v>
      </c>
      <c r="AM244" s="92">
        <f t="shared" si="194"/>
        <v>-0.47509777767729977</v>
      </c>
      <c r="AN244" s="22">
        <f t="shared" si="195"/>
        <v>328261</v>
      </c>
      <c r="AO244" s="22">
        <f t="shared" si="195"/>
        <v>203975</v>
      </c>
      <c r="AP244" s="92">
        <f t="shared" si="196"/>
        <v>-0.37861945220419113</v>
      </c>
      <c r="AQ244" s="22">
        <v>83621</v>
      </c>
      <c r="AR244" s="22">
        <v>18904</v>
      </c>
      <c r="AS244" s="92">
        <f t="shared" si="197"/>
        <v>-0.77393238540557996</v>
      </c>
      <c r="AT244" s="22">
        <f t="shared" si="198"/>
        <v>411882</v>
      </c>
      <c r="AU244" s="22">
        <f t="shared" si="198"/>
        <v>222879</v>
      </c>
      <c r="AV244" s="92">
        <f t="shared" si="199"/>
        <v>-0.45887657144521976</v>
      </c>
      <c r="AW244" s="38">
        <v>73305</v>
      </c>
      <c r="AX244" s="38">
        <v>37956</v>
      </c>
      <c r="AY244" s="92">
        <f t="shared" si="200"/>
        <v>-0.48221812973194189</v>
      </c>
      <c r="AZ244" s="38">
        <f t="shared" si="201"/>
        <v>485187</v>
      </c>
      <c r="BA244" s="38">
        <f t="shared" si="201"/>
        <v>260835</v>
      </c>
      <c r="BB244" s="92">
        <f t="shared" si="202"/>
        <v>-0.46240315589659242</v>
      </c>
      <c r="BC244" s="38">
        <v>67023</v>
      </c>
      <c r="BD244" s="38">
        <v>72694</v>
      </c>
      <c r="BE244" s="92">
        <f t="shared" si="203"/>
        <v>8.4612744878623802E-2</v>
      </c>
      <c r="BF244" s="38">
        <f t="shared" si="204"/>
        <v>552210</v>
      </c>
      <c r="BG244" s="38">
        <f t="shared" si="204"/>
        <v>333529</v>
      </c>
      <c r="BH244" s="92">
        <f t="shared" si="205"/>
        <v>-0.39601057568678577</v>
      </c>
      <c r="BI244" s="22">
        <v>30612</v>
      </c>
      <c r="BJ244" s="22">
        <v>105827</v>
      </c>
      <c r="BK244" s="22">
        <v>114232</v>
      </c>
      <c r="BL244" s="22">
        <v>802881</v>
      </c>
      <c r="BM244" s="96">
        <f t="shared" si="206"/>
        <v>0.41691124999999996</v>
      </c>
      <c r="BN244" s="22"/>
    </row>
    <row r="245" spans="1:66">
      <c r="A245" s="80" t="s">
        <v>33</v>
      </c>
      <c r="B245" s="80" t="s">
        <v>33</v>
      </c>
      <c r="C245" s="81" t="s">
        <v>362</v>
      </c>
      <c r="D245" s="33" t="s">
        <v>61</v>
      </c>
      <c r="E245" s="33" t="s">
        <v>61</v>
      </c>
      <c r="F245" s="176" t="s">
        <v>351</v>
      </c>
      <c r="G245" s="176" t="s">
        <v>351</v>
      </c>
      <c r="H245" s="33" t="s">
        <v>352</v>
      </c>
      <c r="I245" s="33">
        <v>15</v>
      </c>
      <c r="J245" s="91"/>
      <c r="K245" s="91"/>
      <c r="L245" s="92" t="e">
        <f t="shared" si="181"/>
        <v>#DIV/0!</v>
      </c>
      <c r="M245" s="91"/>
      <c r="N245" s="91">
        <v>50000</v>
      </c>
      <c r="O245" s="92" t="e">
        <f t="shared" si="182"/>
        <v>#DIV/0!</v>
      </c>
      <c r="P245" s="91">
        <f t="shared" si="183"/>
        <v>0</v>
      </c>
      <c r="Q245" s="91">
        <f t="shared" si="183"/>
        <v>50000</v>
      </c>
      <c r="R245" s="92" t="e">
        <f t="shared" si="184"/>
        <v>#DIV/0!</v>
      </c>
      <c r="S245" s="38">
        <v>80000</v>
      </c>
      <c r="T245" s="38"/>
      <c r="U245" s="92">
        <f t="shared" si="185"/>
        <v>-1</v>
      </c>
      <c r="V245" s="38">
        <f t="shared" si="186"/>
        <v>80000</v>
      </c>
      <c r="W245" s="38">
        <f t="shared" si="186"/>
        <v>50000</v>
      </c>
      <c r="X245" s="92">
        <f t="shared" si="187"/>
        <v>-0.375</v>
      </c>
      <c r="Y245" s="38"/>
      <c r="Z245" s="38"/>
      <c r="AA245" s="92" t="e">
        <f t="shared" si="188"/>
        <v>#DIV/0!</v>
      </c>
      <c r="AB245" s="38">
        <f t="shared" si="189"/>
        <v>80000</v>
      </c>
      <c r="AC245" s="38">
        <f t="shared" si="189"/>
        <v>50000</v>
      </c>
      <c r="AD245" s="92">
        <f t="shared" si="190"/>
        <v>-0.375</v>
      </c>
      <c r="AE245" s="22"/>
      <c r="AF245" s="22">
        <v>50000</v>
      </c>
      <c r="AG245" s="92" t="e">
        <f t="shared" si="191"/>
        <v>#DIV/0!</v>
      </c>
      <c r="AH245" s="22">
        <f t="shared" si="192"/>
        <v>80000</v>
      </c>
      <c r="AI245" s="22">
        <f t="shared" si="192"/>
        <v>100000</v>
      </c>
      <c r="AJ245" s="92">
        <f t="shared" si="193"/>
        <v>0.25</v>
      </c>
      <c r="AK245" s="22"/>
      <c r="AL245" s="22"/>
      <c r="AM245" s="92" t="e">
        <f t="shared" si="194"/>
        <v>#DIV/0!</v>
      </c>
      <c r="AN245" s="22">
        <f t="shared" si="195"/>
        <v>80000</v>
      </c>
      <c r="AO245" s="22">
        <f t="shared" si="195"/>
        <v>100000</v>
      </c>
      <c r="AP245" s="92">
        <f t="shared" si="196"/>
        <v>0.25</v>
      </c>
      <c r="AQ245" s="22"/>
      <c r="AR245" s="22"/>
      <c r="AS245" s="92" t="e">
        <f t="shared" si="197"/>
        <v>#DIV/0!</v>
      </c>
      <c r="AT245" s="22">
        <f t="shared" si="198"/>
        <v>80000</v>
      </c>
      <c r="AU245" s="22">
        <f t="shared" si="198"/>
        <v>100000</v>
      </c>
      <c r="AV245" s="92">
        <f t="shared" si="199"/>
        <v>0.25</v>
      </c>
      <c r="AW245" s="38"/>
      <c r="AX245" s="38"/>
      <c r="AY245" s="92" t="e">
        <f t="shared" si="200"/>
        <v>#DIV/0!</v>
      </c>
      <c r="AZ245" s="38">
        <f t="shared" si="201"/>
        <v>80000</v>
      </c>
      <c r="BA245" s="38">
        <f t="shared" si="201"/>
        <v>100000</v>
      </c>
      <c r="BB245" s="92">
        <f t="shared" si="202"/>
        <v>0.25</v>
      </c>
      <c r="BC245" s="38">
        <v>70000</v>
      </c>
      <c r="BD245" s="38">
        <v>50000</v>
      </c>
      <c r="BE245" s="92">
        <f t="shared" si="203"/>
        <v>-0.2857142857142857</v>
      </c>
      <c r="BF245" s="38">
        <f t="shared" si="204"/>
        <v>150000</v>
      </c>
      <c r="BG245" s="38">
        <f t="shared" si="204"/>
        <v>150000</v>
      </c>
      <c r="BH245" s="92">
        <f t="shared" si="205"/>
        <v>0</v>
      </c>
      <c r="BI245" s="22"/>
      <c r="BJ245" s="22"/>
      <c r="BK245" s="22"/>
      <c r="BL245" s="22">
        <v>150000</v>
      </c>
      <c r="BM245" s="96">
        <f t="shared" si="206"/>
        <v>1</v>
      </c>
      <c r="BN245" s="22"/>
    </row>
    <row r="246" spans="1:66">
      <c r="A246" s="80" t="s">
        <v>33</v>
      </c>
      <c r="B246" s="80" t="s">
        <v>33</v>
      </c>
      <c r="C246" s="81" t="s">
        <v>363</v>
      </c>
      <c r="D246" s="33" t="s">
        <v>84</v>
      </c>
      <c r="E246" s="33" t="s">
        <v>84</v>
      </c>
      <c r="F246" s="33" t="s">
        <v>359</v>
      </c>
      <c r="G246" s="33" t="s">
        <v>364</v>
      </c>
      <c r="H246" s="33" t="s">
        <v>360</v>
      </c>
      <c r="I246" s="33">
        <v>300</v>
      </c>
      <c r="J246" s="91">
        <v>128759.4</v>
      </c>
      <c r="K246" s="91">
        <v>97114.8</v>
      </c>
      <c r="L246" s="92">
        <f t="shared" si="181"/>
        <v>-0.24576535771368924</v>
      </c>
      <c r="M246" s="91">
        <v>10674</v>
      </c>
      <c r="N246" s="91">
        <v>76505</v>
      </c>
      <c r="O246" s="92">
        <f t="shared" si="182"/>
        <v>6.1674161513959156</v>
      </c>
      <c r="P246" s="91">
        <f t="shared" si="183"/>
        <v>139433.4</v>
      </c>
      <c r="Q246" s="91">
        <f t="shared" si="183"/>
        <v>173619.8</v>
      </c>
      <c r="R246" s="92">
        <f t="shared" si="184"/>
        <v>0.24518085336798778</v>
      </c>
      <c r="S246" s="38">
        <v>147311</v>
      </c>
      <c r="T246" s="38">
        <v>115302.5</v>
      </c>
      <c r="U246" s="92">
        <f t="shared" si="185"/>
        <v>-0.21728519934017143</v>
      </c>
      <c r="V246" s="38">
        <f t="shared" si="186"/>
        <v>286744.40000000002</v>
      </c>
      <c r="W246" s="38">
        <f t="shared" si="186"/>
        <v>288922.3</v>
      </c>
      <c r="X246" s="92">
        <f t="shared" si="187"/>
        <v>7.5952660278630901E-3</v>
      </c>
      <c r="Y246" s="38">
        <v>67882</v>
      </c>
      <c r="Z246" s="38">
        <v>122170</v>
      </c>
      <c r="AA246" s="92">
        <f t="shared" si="188"/>
        <v>0.79974072655490414</v>
      </c>
      <c r="AB246" s="38">
        <f t="shared" si="189"/>
        <v>354626.4</v>
      </c>
      <c r="AC246" s="38">
        <f t="shared" si="189"/>
        <v>411092.3</v>
      </c>
      <c r="AD246" s="92">
        <f t="shared" si="190"/>
        <v>0.15922644225021032</v>
      </c>
      <c r="AE246" s="22">
        <v>79008</v>
      </c>
      <c r="AF246" s="22">
        <v>107147.96</v>
      </c>
      <c r="AG246" s="92">
        <f t="shared" si="191"/>
        <v>0.35616595787768346</v>
      </c>
      <c r="AH246" s="22">
        <f t="shared" si="192"/>
        <v>433634.4</v>
      </c>
      <c r="AI246" s="22">
        <f t="shared" si="192"/>
        <v>518240.26</v>
      </c>
      <c r="AJ246" s="92">
        <f t="shared" si="193"/>
        <v>0.1951087367607367</v>
      </c>
      <c r="AK246" s="22">
        <v>141634</v>
      </c>
      <c r="AL246" s="22">
        <f>164436.5-3750</f>
        <v>160686.5</v>
      </c>
      <c r="AM246" s="92">
        <f t="shared" si="194"/>
        <v>0.13451925385147634</v>
      </c>
      <c r="AN246" s="22">
        <f t="shared" si="195"/>
        <v>575268.4</v>
      </c>
      <c r="AO246" s="22">
        <f t="shared" si="195"/>
        <v>678926.76</v>
      </c>
      <c r="AP246" s="92">
        <f t="shared" si="196"/>
        <v>0.18019129853125948</v>
      </c>
      <c r="AQ246" s="22">
        <v>61947</v>
      </c>
      <c r="AR246" s="22">
        <v>141849</v>
      </c>
      <c r="AS246" s="92">
        <f t="shared" si="197"/>
        <v>1.2898445445300015</v>
      </c>
      <c r="AT246" s="22">
        <f t="shared" si="198"/>
        <v>637215.4</v>
      </c>
      <c r="AU246" s="22">
        <f t="shared" si="198"/>
        <v>820775.76</v>
      </c>
      <c r="AV246" s="92">
        <f t="shared" si="199"/>
        <v>0.28806642149577666</v>
      </c>
      <c r="AW246" s="38">
        <v>109869</v>
      </c>
      <c r="AX246" s="38">
        <v>101282.5</v>
      </c>
      <c r="AY246" s="92">
        <f t="shared" si="200"/>
        <v>-7.8152163030518196E-2</v>
      </c>
      <c r="AZ246" s="38">
        <f t="shared" si="201"/>
        <v>747084.4</v>
      </c>
      <c r="BA246" s="38">
        <f t="shared" si="201"/>
        <v>922058.26</v>
      </c>
      <c r="BB246" s="92">
        <f t="shared" si="202"/>
        <v>0.2342089595231811</v>
      </c>
      <c r="BC246" s="38">
        <v>222217.4</v>
      </c>
      <c r="BD246" s="38">
        <v>83522.2</v>
      </c>
      <c r="BE246" s="92">
        <f t="shared" si="203"/>
        <v>-0.62414194388018218</v>
      </c>
      <c r="BF246" s="38">
        <f t="shared" si="204"/>
        <v>969301.8</v>
      </c>
      <c r="BG246" s="38">
        <f t="shared" si="204"/>
        <v>1005580.46</v>
      </c>
      <c r="BH246" s="92">
        <f t="shared" si="205"/>
        <v>3.7427620582155097E-2</v>
      </c>
      <c r="BI246" s="22">
        <v>255911.44</v>
      </c>
      <c r="BJ246" s="22">
        <v>226147.87</v>
      </c>
      <c r="BK246" s="22">
        <v>234700</v>
      </c>
      <c r="BL246" s="22">
        <v>1686061.11</v>
      </c>
      <c r="BM246" s="96">
        <f t="shared" si="206"/>
        <v>0.33519348666666665</v>
      </c>
      <c r="BN246" s="22"/>
    </row>
    <row r="247" spans="1:66">
      <c r="A247" s="80" t="s">
        <v>33</v>
      </c>
      <c r="B247" s="80" t="s">
        <v>33</v>
      </c>
      <c r="C247" s="81" t="s">
        <v>365</v>
      </c>
      <c r="D247" s="33" t="s">
        <v>61</v>
      </c>
      <c r="E247" s="33" t="s">
        <v>61</v>
      </c>
      <c r="F247" s="33" t="s">
        <v>366</v>
      </c>
      <c r="G247" s="33" t="s">
        <v>366</v>
      </c>
      <c r="H247" s="33" t="s">
        <v>360</v>
      </c>
      <c r="I247" s="33">
        <v>10</v>
      </c>
      <c r="J247" s="91">
        <v>22414</v>
      </c>
      <c r="K247" s="91">
        <v>24348</v>
      </c>
      <c r="L247" s="92">
        <f t="shared" si="181"/>
        <v>8.6285357365931903E-2</v>
      </c>
      <c r="M247" s="91"/>
      <c r="N247" s="91"/>
      <c r="O247" s="92" t="e">
        <f t="shared" si="182"/>
        <v>#DIV/0!</v>
      </c>
      <c r="P247" s="91">
        <f t="shared" si="183"/>
        <v>22414</v>
      </c>
      <c r="Q247" s="91">
        <f t="shared" si="183"/>
        <v>24348</v>
      </c>
      <c r="R247" s="92">
        <f t="shared" si="184"/>
        <v>8.6285357365931903E-2</v>
      </c>
      <c r="S247" s="38">
        <v>8562</v>
      </c>
      <c r="T247" s="38"/>
      <c r="U247" s="92">
        <f t="shared" si="185"/>
        <v>-1</v>
      </c>
      <c r="V247" s="38">
        <f t="shared" si="186"/>
        <v>30976</v>
      </c>
      <c r="W247" s="38">
        <f t="shared" si="186"/>
        <v>24348</v>
      </c>
      <c r="X247" s="92">
        <f t="shared" si="187"/>
        <v>-0.21397210743801653</v>
      </c>
      <c r="Y247" s="38">
        <v>11897</v>
      </c>
      <c r="Z247" s="38"/>
      <c r="AA247" s="92">
        <f t="shared" si="188"/>
        <v>-1</v>
      </c>
      <c r="AB247" s="38">
        <f t="shared" si="189"/>
        <v>42873</v>
      </c>
      <c r="AC247" s="38">
        <f t="shared" si="189"/>
        <v>24348</v>
      </c>
      <c r="AD247" s="92">
        <f t="shared" si="190"/>
        <v>-0.43209012665313828</v>
      </c>
      <c r="AE247" s="22"/>
      <c r="AF247" s="22">
        <v>2243</v>
      </c>
      <c r="AG247" s="92" t="e">
        <f t="shared" si="191"/>
        <v>#DIV/0!</v>
      </c>
      <c r="AH247" s="22">
        <f t="shared" si="192"/>
        <v>42873</v>
      </c>
      <c r="AI247" s="22">
        <f t="shared" si="192"/>
        <v>26591</v>
      </c>
      <c r="AJ247" s="92">
        <f t="shared" si="193"/>
        <v>-0.37977281739089874</v>
      </c>
      <c r="AK247" s="22">
        <v>4395</v>
      </c>
      <c r="AL247" s="22">
        <v>4682</v>
      </c>
      <c r="AM247" s="92">
        <f t="shared" si="194"/>
        <v>6.530147895335614E-2</v>
      </c>
      <c r="AN247" s="22">
        <f t="shared" si="195"/>
        <v>47268</v>
      </c>
      <c r="AO247" s="22">
        <f t="shared" si="195"/>
        <v>31273</v>
      </c>
      <c r="AP247" s="92">
        <f t="shared" si="196"/>
        <v>-0.33838960819158836</v>
      </c>
      <c r="AQ247" s="22">
        <v>5164</v>
      </c>
      <c r="AR247" s="22"/>
      <c r="AS247" s="92">
        <f t="shared" si="197"/>
        <v>-1</v>
      </c>
      <c r="AT247" s="22">
        <f t="shared" si="198"/>
        <v>52432</v>
      </c>
      <c r="AU247" s="22">
        <f t="shared" si="198"/>
        <v>31273</v>
      </c>
      <c r="AV247" s="92">
        <f t="shared" si="199"/>
        <v>-0.40355126640219718</v>
      </c>
      <c r="AW247" s="38"/>
      <c r="AX247" s="38"/>
      <c r="AY247" s="92" t="e">
        <f t="shared" si="200"/>
        <v>#DIV/0!</v>
      </c>
      <c r="AZ247" s="38">
        <f t="shared" si="201"/>
        <v>52432</v>
      </c>
      <c r="BA247" s="38">
        <f t="shared" si="201"/>
        <v>31273</v>
      </c>
      <c r="BB247" s="92">
        <f t="shared" si="202"/>
        <v>-0.40355126640219718</v>
      </c>
      <c r="BC247" s="38"/>
      <c r="BD247" s="38"/>
      <c r="BE247" s="92" t="e">
        <f t="shared" si="203"/>
        <v>#DIV/0!</v>
      </c>
      <c r="BF247" s="38">
        <f t="shared" si="204"/>
        <v>52432</v>
      </c>
      <c r="BG247" s="38">
        <f t="shared" si="204"/>
        <v>31273</v>
      </c>
      <c r="BH247" s="92">
        <f t="shared" si="205"/>
        <v>-0.40355126640219718</v>
      </c>
      <c r="BI247" s="22">
        <v>7532</v>
      </c>
      <c r="BJ247" s="22">
        <v>8696</v>
      </c>
      <c r="BK247" s="22">
        <v>16170</v>
      </c>
      <c r="BL247" s="22">
        <v>84830</v>
      </c>
      <c r="BM247" s="96">
        <f t="shared" si="206"/>
        <v>0.31273000000000001</v>
      </c>
      <c r="BN247" s="22"/>
    </row>
    <row r="248" spans="1:66">
      <c r="A248" s="80" t="s">
        <v>33</v>
      </c>
      <c r="B248" s="80" t="s">
        <v>33</v>
      </c>
      <c r="C248" s="81" t="s">
        <v>367</v>
      </c>
      <c r="D248" s="33" t="s">
        <v>65</v>
      </c>
      <c r="E248" s="33" t="s">
        <v>65</v>
      </c>
      <c r="F248" s="176" t="s">
        <v>347</v>
      </c>
      <c r="G248" s="176" t="s">
        <v>347</v>
      </c>
      <c r="H248" s="33" t="s">
        <v>348</v>
      </c>
      <c r="I248" s="33">
        <v>450</v>
      </c>
      <c r="J248" s="91">
        <v>677727</v>
      </c>
      <c r="K248" s="91">
        <v>190515</v>
      </c>
      <c r="L248" s="92">
        <f t="shared" si="181"/>
        <v>-0.7188912349662917</v>
      </c>
      <c r="M248" s="91">
        <v>173900</v>
      </c>
      <c r="N248" s="91">
        <v>228000</v>
      </c>
      <c r="O248" s="92">
        <f t="shared" si="182"/>
        <v>0.31109833237492812</v>
      </c>
      <c r="P248" s="91">
        <f t="shared" si="183"/>
        <v>851627</v>
      </c>
      <c r="Q248" s="91">
        <f t="shared" si="183"/>
        <v>418515</v>
      </c>
      <c r="R248" s="92">
        <f t="shared" si="184"/>
        <v>-0.50857006647276326</v>
      </c>
      <c r="S248" s="38">
        <v>145771</v>
      </c>
      <c r="T248" s="38">
        <v>261049</v>
      </c>
      <c r="U248" s="92">
        <f t="shared" si="185"/>
        <v>0.79081573152410289</v>
      </c>
      <c r="V248" s="38">
        <f t="shared" si="186"/>
        <v>997398</v>
      </c>
      <c r="W248" s="38">
        <f t="shared" si="186"/>
        <v>679564</v>
      </c>
      <c r="X248" s="92">
        <f t="shared" si="187"/>
        <v>-0.31866316154634355</v>
      </c>
      <c r="Y248" s="38">
        <v>250795</v>
      </c>
      <c r="Z248" s="38">
        <v>329500</v>
      </c>
      <c r="AA248" s="92">
        <f t="shared" si="188"/>
        <v>0.31382204589405682</v>
      </c>
      <c r="AB248" s="38">
        <f t="shared" si="189"/>
        <v>1248193</v>
      </c>
      <c r="AC248" s="38">
        <f t="shared" si="189"/>
        <v>1009064</v>
      </c>
      <c r="AD248" s="92">
        <f t="shared" si="190"/>
        <v>-0.19158014826232805</v>
      </c>
      <c r="AE248" s="22">
        <v>200300</v>
      </c>
      <c r="AF248" s="22">
        <v>155000</v>
      </c>
      <c r="AG248" s="92">
        <f t="shared" si="191"/>
        <v>-0.22616075886170739</v>
      </c>
      <c r="AH248" s="22">
        <f t="shared" si="192"/>
        <v>1448493</v>
      </c>
      <c r="AI248" s="22">
        <f t="shared" si="192"/>
        <v>1164064</v>
      </c>
      <c r="AJ248" s="92">
        <f t="shared" si="193"/>
        <v>-0.1963620121049946</v>
      </c>
      <c r="AK248" s="22">
        <v>151000</v>
      </c>
      <c r="AL248" s="22">
        <v>445000</v>
      </c>
      <c r="AM248" s="92">
        <f t="shared" si="194"/>
        <v>1.947019867549669</v>
      </c>
      <c r="AN248" s="22">
        <f t="shared" si="195"/>
        <v>1599493</v>
      </c>
      <c r="AO248" s="22">
        <f t="shared" si="195"/>
        <v>1609064</v>
      </c>
      <c r="AP248" s="92">
        <f t="shared" si="196"/>
        <v>5.9837711074697264E-3</v>
      </c>
      <c r="AQ248" s="22">
        <v>472796</v>
      </c>
      <c r="AR248" s="22">
        <v>150000</v>
      </c>
      <c r="AS248" s="92">
        <f t="shared" si="197"/>
        <v>-0.68273843264325418</v>
      </c>
      <c r="AT248" s="22">
        <f t="shared" si="198"/>
        <v>2072289</v>
      </c>
      <c r="AU248" s="22">
        <f t="shared" si="198"/>
        <v>1759064</v>
      </c>
      <c r="AV248" s="92">
        <f t="shared" si="199"/>
        <v>-0.15114928467988775</v>
      </c>
      <c r="AW248" s="38">
        <v>134750</v>
      </c>
      <c r="AX248" s="38">
        <v>37000</v>
      </c>
      <c r="AY248" s="92">
        <f t="shared" si="200"/>
        <v>-0.72541743970315398</v>
      </c>
      <c r="AZ248" s="38">
        <f t="shared" si="201"/>
        <v>2207039</v>
      </c>
      <c r="BA248" s="38">
        <f t="shared" si="201"/>
        <v>1796064</v>
      </c>
      <c r="BB248" s="92">
        <f t="shared" si="202"/>
        <v>-0.18621102753508212</v>
      </c>
      <c r="BC248" s="38">
        <v>360300</v>
      </c>
      <c r="BD248" s="38">
        <v>258500</v>
      </c>
      <c r="BE248" s="92">
        <f t="shared" si="203"/>
        <v>-0.28254232583957817</v>
      </c>
      <c r="BF248" s="38">
        <f t="shared" si="204"/>
        <v>2567339</v>
      </c>
      <c r="BG248" s="38">
        <f t="shared" si="204"/>
        <v>2054564</v>
      </c>
      <c r="BH248" s="92">
        <f t="shared" si="205"/>
        <v>-0.19973014860912408</v>
      </c>
      <c r="BI248" s="22">
        <v>394866</v>
      </c>
      <c r="BJ248" s="22">
        <v>677000</v>
      </c>
      <c r="BK248" s="22">
        <v>600000</v>
      </c>
      <c r="BL248" s="22">
        <v>4239205</v>
      </c>
      <c r="BM248" s="96">
        <f t="shared" si="206"/>
        <v>0.4565697777777778</v>
      </c>
      <c r="BN248" s="22">
        <v>139715</v>
      </c>
    </row>
    <row r="249" spans="1:66">
      <c r="A249" s="80" t="s">
        <v>33</v>
      </c>
      <c r="B249" s="80" t="s">
        <v>33</v>
      </c>
      <c r="C249" s="81" t="s">
        <v>368</v>
      </c>
      <c r="D249" s="33" t="s">
        <v>88</v>
      </c>
      <c r="E249" s="33" t="s">
        <v>88</v>
      </c>
      <c r="F249" s="33" t="s">
        <v>359</v>
      </c>
      <c r="G249" s="176" t="s">
        <v>80</v>
      </c>
      <c r="H249" s="33" t="s">
        <v>88</v>
      </c>
      <c r="I249" s="33"/>
      <c r="J249" s="91">
        <v>359328.06</v>
      </c>
      <c r="K249" s="91">
        <v>209819.54</v>
      </c>
      <c r="L249" s="92">
        <f t="shared" si="181"/>
        <v>-0.41607805413248267</v>
      </c>
      <c r="M249" s="91">
        <v>31108.2</v>
      </c>
      <c r="N249" s="91">
        <v>98077.6</v>
      </c>
      <c r="O249" s="92">
        <f t="shared" si="182"/>
        <v>2.152789296712764</v>
      </c>
      <c r="P249" s="91">
        <f t="shared" si="183"/>
        <v>390436.26</v>
      </c>
      <c r="Q249" s="91">
        <f t="shared" si="183"/>
        <v>307897.14</v>
      </c>
      <c r="R249" s="92">
        <f t="shared" si="184"/>
        <v>-0.21140229137529387</v>
      </c>
      <c r="S249" s="38">
        <v>122373</v>
      </c>
      <c r="T249" s="38">
        <v>85959.56</v>
      </c>
      <c r="U249" s="92">
        <f t="shared" si="185"/>
        <v>-0.29756106330644838</v>
      </c>
      <c r="V249" s="38">
        <f t="shared" si="186"/>
        <v>512809.26</v>
      </c>
      <c r="W249" s="38">
        <f t="shared" si="186"/>
        <v>393856.7</v>
      </c>
      <c r="X249" s="92">
        <f t="shared" si="187"/>
        <v>-0.2319625819549358</v>
      </c>
      <c r="Y249" s="38">
        <v>193409.14</v>
      </c>
      <c r="Z249" s="38">
        <v>150343.9</v>
      </c>
      <c r="AA249" s="92">
        <f t="shared" si="188"/>
        <v>-0.22266393408294982</v>
      </c>
      <c r="AB249" s="38">
        <f t="shared" si="189"/>
        <v>706218.4</v>
      </c>
      <c r="AC249" s="38">
        <f t="shared" si="189"/>
        <v>544200.6</v>
      </c>
      <c r="AD249" s="92">
        <f t="shared" si="190"/>
        <v>-0.22941599935657309</v>
      </c>
      <c r="AE249" s="22">
        <v>273952.8</v>
      </c>
      <c r="AF249" s="22">
        <v>333981.7</v>
      </c>
      <c r="AG249" s="92">
        <f t="shared" si="191"/>
        <v>0.21912132308923304</v>
      </c>
      <c r="AH249" s="22">
        <f t="shared" si="192"/>
        <v>980171.2</v>
      </c>
      <c r="AI249" s="22">
        <f t="shared" si="192"/>
        <v>878182.3</v>
      </c>
      <c r="AJ249" s="92">
        <f t="shared" si="193"/>
        <v>-0.10405212885259219</v>
      </c>
      <c r="AK249" s="22">
        <v>194775.4</v>
      </c>
      <c r="AL249" s="22">
        <v>148782.46</v>
      </c>
      <c r="AM249" s="92">
        <f t="shared" si="194"/>
        <v>-0.2361332077870204</v>
      </c>
      <c r="AN249" s="22">
        <f t="shared" si="195"/>
        <v>1174946.5999999999</v>
      </c>
      <c r="AO249" s="22">
        <f t="shared" si="195"/>
        <v>1026964.76</v>
      </c>
      <c r="AP249" s="92">
        <f t="shared" si="196"/>
        <v>-0.1259477154110662</v>
      </c>
      <c r="AQ249" s="22">
        <v>100347.56</v>
      </c>
      <c r="AR249" s="22">
        <v>29372.560000000001</v>
      </c>
      <c r="AS249" s="92">
        <f t="shared" si="197"/>
        <v>-0.7072917368394408</v>
      </c>
      <c r="AT249" s="22">
        <f t="shared" si="198"/>
        <v>1275294.1599999999</v>
      </c>
      <c r="AU249" s="22">
        <f t="shared" si="198"/>
        <v>1056337.32</v>
      </c>
      <c r="AV249" s="92">
        <f t="shared" si="199"/>
        <v>-0.1716912433755674</v>
      </c>
      <c r="AW249" s="38">
        <v>163598.6</v>
      </c>
      <c r="AX249" s="38">
        <v>21814.36</v>
      </c>
      <c r="AY249" s="92">
        <f t="shared" si="200"/>
        <v>-0.86665925014028233</v>
      </c>
      <c r="AZ249" s="38">
        <f t="shared" si="201"/>
        <v>1438892.76</v>
      </c>
      <c r="BA249" s="38">
        <f t="shared" si="201"/>
        <v>1078151.6800000002</v>
      </c>
      <c r="BB249" s="92">
        <f t="shared" si="202"/>
        <v>-0.25070741199642965</v>
      </c>
      <c r="BC249" s="38">
        <v>171985.3</v>
      </c>
      <c r="BD249" s="38">
        <v>6070.76</v>
      </c>
      <c r="BE249" s="92">
        <f t="shared" si="203"/>
        <v>-0.96470186696188565</v>
      </c>
      <c r="BF249" s="38">
        <f t="shared" si="204"/>
        <v>1610878.06</v>
      </c>
      <c r="BG249" s="38">
        <f t="shared" si="204"/>
        <v>1084222.4400000002</v>
      </c>
      <c r="BH249" s="92">
        <f t="shared" si="205"/>
        <v>-0.32693698739679888</v>
      </c>
      <c r="BI249" s="22">
        <v>189329.4</v>
      </c>
      <c r="BJ249" s="22">
        <v>510376.7</v>
      </c>
      <c r="BK249" s="22">
        <v>787432.02</v>
      </c>
      <c r="BL249" s="22">
        <v>3098016.18</v>
      </c>
      <c r="BM249" s="96" t="e">
        <f t="shared" si="206"/>
        <v>#DIV/0!</v>
      </c>
      <c r="BN249" s="22"/>
    </row>
    <row r="250" spans="1:66">
      <c r="A250" s="80" t="s">
        <v>33</v>
      </c>
      <c r="B250" s="80" t="s">
        <v>33</v>
      </c>
      <c r="C250" s="84" t="s">
        <v>369</v>
      </c>
      <c r="D250" s="33" t="s">
        <v>65</v>
      </c>
      <c r="E250" s="33" t="s">
        <v>65</v>
      </c>
      <c r="F250" s="33" t="s">
        <v>366</v>
      </c>
      <c r="G250" s="33" t="s">
        <v>366</v>
      </c>
      <c r="H250" s="33" t="s">
        <v>360</v>
      </c>
      <c r="I250" s="33">
        <v>180</v>
      </c>
      <c r="J250" s="91">
        <v>190877</v>
      </c>
      <c r="K250" s="91">
        <v>124553</v>
      </c>
      <c r="L250" s="92">
        <f t="shared" si="181"/>
        <v>-0.34746983659634212</v>
      </c>
      <c r="M250" s="91">
        <v>115237</v>
      </c>
      <c r="N250" s="91">
        <v>24048</v>
      </c>
      <c r="O250" s="92">
        <f t="shared" si="182"/>
        <v>-0.79131702491387312</v>
      </c>
      <c r="P250" s="91">
        <f t="shared" si="183"/>
        <v>306114</v>
      </c>
      <c r="Q250" s="91">
        <f t="shared" si="183"/>
        <v>148601</v>
      </c>
      <c r="R250" s="92">
        <f t="shared" si="184"/>
        <v>-0.51455666843071535</v>
      </c>
      <c r="S250" s="38">
        <v>170001</v>
      </c>
      <c r="T250" s="38">
        <v>80216</v>
      </c>
      <c r="U250" s="92">
        <f t="shared" si="185"/>
        <v>-0.52814395209439946</v>
      </c>
      <c r="V250" s="38">
        <f t="shared" si="186"/>
        <v>476115</v>
      </c>
      <c r="W250" s="38">
        <f t="shared" si="186"/>
        <v>228817</v>
      </c>
      <c r="X250" s="92">
        <f t="shared" si="187"/>
        <v>-0.51940812618800081</v>
      </c>
      <c r="Y250" s="38">
        <v>133545.01</v>
      </c>
      <c r="Z250" s="38">
        <v>116884</v>
      </c>
      <c r="AA250" s="92">
        <f t="shared" si="188"/>
        <v>-0.12475950992103713</v>
      </c>
      <c r="AB250" s="38">
        <f t="shared" si="189"/>
        <v>609660.01</v>
      </c>
      <c r="AC250" s="38">
        <f t="shared" si="189"/>
        <v>345701</v>
      </c>
      <c r="AD250" s="92">
        <f t="shared" si="190"/>
        <v>-0.43296100395366266</v>
      </c>
      <c r="AE250" s="22">
        <v>137247</v>
      </c>
      <c r="AF250" s="22">
        <v>83303</v>
      </c>
      <c r="AG250" s="92">
        <f t="shared" si="191"/>
        <v>-0.39304319948705624</v>
      </c>
      <c r="AH250" s="22">
        <f t="shared" si="192"/>
        <v>746907.01</v>
      </c>
      <c r="AI250" s="22">
        <f t="shared" si="192"/>
        <v>429004</v>
      </c>
      <c r="AJ250" s="92">
        <f t="shared" si="193"/>
        <v>-0.42562595576656859</v>
      </c>
      <c r="AK250" s="22">
        <v>73110</v>
      </c>
      <c r="AL250" s="22">
        <v>130252</v>
      </c>
      <c r="AM250" s="92">
        <f t="shared" si="194"/>
        <v>0.78158938585692783</v>
      </c>
      <c r="AN250" s="22">
        <f t="shared" si="195"/>
        <v>820017.01</v>
      </c>
      <c r="AO250" s="22">
        <f t="shared" si="195"/>
        <v>559256</v>
      </c>
      <c r="AP250" s="92">
        <f t="shared" si="196"/>
        <v>-0.31799463525762717</v>
      </c>
      <c r="AQ250" s="22">
        <v>237026</v>
      </c>
      <c r="AR250" s="22">
        <v>141469</v>
      </c>
      <c r="AS250" s="92">
        <f t="shared" si="197"/>
        <v>-0.40314986541560838</v>
      </c>
      <c r="AT250" s="22">
        <f t="shared" si="198"/>
        <v>1057043.01</v>
      </c>
      <c r="AU250" s="22">
        <f t="shared" si="198"/>
        <v>700725</v>
      </c>
      <c r="AV250" s="92">
        <f t="shared" si="199"/>
        <v>-0.3370894151222853</v>
      </c>
      <c r="AW250" s="38">
        <v>128884</v>
      </c>
      <c r="AX250" s="38">
        <v>51966</v>
      </c>
      <c r="AY250" s="92">
        <f t="shared" si="200"/>
        <v>-0.59680022345675177</v>
      </c>
      <c r="AZ250" s="38">
        <f t="shared" si="201"/>
        <v>1185927.01</v>
      </c>
      <c r="BA250" s="38">
        <f t="shared" si="201"/>
        <v>752691</v>
      </c>
      <c r="BB250" s="92">
        <f t="shared" si="202"/>
        <v>-0.36531422789670676</v>
      </c>
      <c r="BC250" s="38">
        <v>187530</v>
      </c>
      <c r="BD250" s="38">
        <v>135236</v>
      </c>
      <c r="BE250" s="92">
        <f t="shared" si="203"/>
        <v>-0.27885671625873198</v>
      </c>
      <c r="BF250" s="38">
        <f t="shared" si="204"/>
        <v>1373457.01</v>
      </c>
      <c r="BG250" s="38">
        <f t="shared" si="204"/>
        <v>887927</v>
      </c>
      <c r="BH250" s="92">
        <f t="shared" si="205"/>
        <v>-0.35350943383368072</v>
      </c>
      <c r="BI250" s="22">
        <v>134763</v>
      </c>
      <c r="BJ250" s="22">
        <v>339902</v>
      </c>
      <c r="BK250" s="22">
        <v>248400</v>
      </c>
      <c r="BL250" s="22">
        <v>2096522.01</v>
      </c>
      <c r="BM250" s="96">
        <f t="shared" si="206"/>
        <v>0.49329277777777775</v>
      </c>
      <c r="BN250" s="22">
        <v>46222</v>
      </c>
    </row>
    <row r="251" spans="1:66">
      <c r="A251" s="80" t="s">
        <v>33</v>
      </c>
      <c r="B251" s="80" t="s">
        <v>33</v>
      </c>
      <c r="C251" s="84" t="s">
        <v>370</v>
      </c>
      <c r="D251" s="33" t="s">
        <v>61</v>
      </c>
      <c r="E251" s="33" t="s">
        <v>61</v>
      </c>
      <c r="F251" s="33" t="s">
        <v>351</v>
      </c>
      <c r="G251" s="33" t="s">
        <v>351</v>
      </c>
      <c r="H251" s="33" t="s">
        <v>352</v>
      </c>
      <c r="I251" s="33">
        <v>6</v>
      </c>
      <c r="J251" s="91">
        <v>6016</v>
      </c>
      <c r="K251" s="91"/>
      <c r="L251" s="92">
        <f t="shared" si="181"/>
        <v>-1</v>
      </c>
      <c r="M251" s="91"/>
      <c r="N251" s="91"/>
      <c r="O251" s="92" t="e">
        <f t="shared" si="182"/>
        <v>#DIV/0!</v>
      </c>
      <c r="P251" s="91">
        <f t="shared" si="183"/>
        <v>6016</v>
      </c>
      <c r="Q251" s="91">
        <f t="shared" si="183"/>
        <v>0</v>
      </c>
      <c r="R251" s="92">
        <f t="shared" si="184"/>
        <v>-1</v>
      </c>
      <c r="S251" s="38">
        <v>4163</v>
      </c>
      <c r="T251" s="38">
        <v>4482</v>
      </c>
      <c r="U251" s="92">
        <f t="shared" si="185"/>
        <v>7.6627432140283558E-2</v>
      </c>
      <c r="V251" s="38">
        <f t="shared" si="186"/>
        <v>10179</v>
      </c>
      <c r="W251" s="38">
        <f t="shared" si="186"/>
        <v>4482</v>
      </c>
      <c r="X251" s="92">
        <f t="shared" si="187"/>
        <v>-0.55968169761273212</v>
      </c>
      <c r="Y251" s="38">
        <v>2182</v>
      </c>
      <c r="Z251" s="38"/>
      <c r="AA251" s="92">
        <f t="shared" si="188"/>
        <v>-1</v>
      </c>
      <c r="AB251" s="38">
        <f t="shared" si="189"/>
        <v>12361</v>
      </c>
      <c r="AC251" s="38">
        <f t="shared" si="189"/>
        <v>4482</v>
      </c>
      <c r="AD251" s="92">
        <f t="shared" si="190"/>
        <v>-0.6374079767009142</v>
      </c>
      <c r="AE251" s="22">
        <v>9620</v>
      </c>
      <c r="AF251" s="22">
        <v>2290</v>
      </c>
      <c r="AG251" s="92">
        <f t="shared" si="191"/>
        <v>-0.76195426195426197</v>
      </c>
      <c r="AH251" s="22">
        <f t="shared" si="192"/>
        <v>21981</v>
      </c>
      <c r="AI251" s="22">
        <f t="shared" si="192"/>
        <v>6772</v>
      </c>
      <c r="AJ251" s="92">
        <f t="shared" si="193"/>
        <v>-0.69191574541649614</v>
      </c>
      <c r="AK251" s="22">
        <v>12120</v>
      </c>
      <c r="AL251" s="22">
        <v>10188</v>
      </c>
      <c r="AM251" s="92">
        <f t="shared" si="194"/>
        <v>-0.15940594059405944</v>
      </c>
      <c r="AN251" s="22">
        <f t="shared" si="195"/>
        <v>34101</v>
      </c>
      <c r="AO251" s="22">
        <f t="shared" si="195"/>
        <v>16960</v>
      </c>
      <c r="AP251" s="92">
        <f t="shared" si="196"/>
        <v>-0.50265388111785581</v>
      </c>
      <c r="AQ251" s="22">
        <v>2764</v>
      </c>
      <c r="AR251" s="22"/>
      <c r="AS251" s="92">
        <f t="shared" si="197"/>
        <v>-1</v>
      </c>
      <c r="AT251" s="22">
        <f t="shared" si="198"/>
        <v>36865</v>
      </c>
      <c r="AU251" s="22">
        <f t="shared" si="198"/>
        <v>16960</v>
      </c>
      <c r="AV251" s="92">
        <f t="shared" si="199"/>
        <v>-0.53994303539943034</v>
      </c>
      <c r="AW251" s="38"/>
      <c r="AX251" s="38"/>
      <c r="AY251" s="92" t="e">
        <f t="shared" si="200"/>
        <v>#DIV/0!</v>
      </c>
      <c r="AZ251" s="38">
        <f t="shared" si="201"/>
        <v>36865</v>
      </c>
      <c r="BA251" s="38">
        <f t="shared" si="201"/>
        <v>16960</v>
      </c>
      <c r="BB251" s="92">
        <f t="shared" si="202"/>
        <v>-0.53994303539943034</v>
      </c>
      <c r="BC251" s="38">
        <v>3730</v>
      </c>
      <c r="BD251" s="38"/>
      <c r="BE251" s="92">
        <f t="shared" si="203"/>
        <v>-1</v>
      </c>
      <c r="BF251" s="38">
        <f t="shared" si="204"/>
        <v>40595</v>
      </c>
      <c r="BG251" s="38">
        <f t="shared" si="204"/>
        <v>16960</v>
      </c>
      <c r="BH251" s="92">
        <f t="shared" si="205"/>
        <v>-0.58221455844315795</v>
      </c>
      <c r="BI251" s="22">
        <v>14176</v>
      </c>
      <c r="BJ251" s="22"/>
      <c r="BK251" s="22">
        <v>5086</v>
      </c>
      <c r="BL251" s="22">
        <v>59857</v>
      </c>
      <c r="BM251" s="96">
        <f t="shared" si="206"/>
        <v>0.28266666666666668</v>
      </c>
      <c r="BN251" s="22"/>
    </row>
    <row r="252" spans="1:66">
      <c r="A252" s="80" t="s">
        <v>33</v>
      </c>
      <c r="B252" s="80" t="s">
        <v>33</v>
      </c>
      <c r="C252" s="84" t="s">
        <v>371</v>
      </c>
      <c r="D252" s="33" t="s">
        <v>61</v>
      </c>
      <c r="E252" s="33" t="s">
        <v>61</v>
      </c>
      <c r="F252" s="33" t="s">
        <v>366</v>
      </c>
      <c r="G252" s="33" t="s">
        <v>366</v>
      </c>
      <c r="H252" s="33" t="s">
        <v>360</v>
      </c>
      <c r="I252" s="33">
        <v>10</v>
      </c>
      <c r="J252" s="91">
        <v>790</v>
      </c>
      <c r="K252" s="91">
        <v>2087</v>
      </c>
      <c r="L252" s="92">
        <f t="shared" si="181"/>
        <v>1.641772151898734</v>
      </c>
      <c r="M252" s="91"/>
      <c r="N252" s="91"/>
      <c r="O252" s="92" t="e">
        <f t="shared" si="182"/>
        <v>#DIV/0!</v>
      </c>
      <c r="P252" s="91">
        <f t="shared" si="183"/>
        <v>790</v>
      </c>
      <c r="Q252" s="91">
        <f t="shared" si="183"/>
        <v>2087</v>
      </c>
      <c r="R252" s="92">
        <f t="shared" si="184"/>
        <v>1.641772151898734</v>
      </c>
      <c r="S252" s="38">
        <v>12209</v>
      </c>
      <c r="T252" s="38">
        <v>13450</v>
      </c>
      <c r="U252" s="92">
        <f t="shared" si="185"/>
        <v>0.10164632648046523</v>
      </c>
      <c r="V252" s="38">
        <f t="shared" si="186"/>
        <v>12999</v>
      </c>
      <c r="W252" s="38">
        <f t="shared" si="186"/>
        <v>15537</v>
      </c>
      <c r="X252" s="92">
        <f t="shared" si="187"/>
        <v>0.19524578813754911</v>
      </c>
      <c r="Y252" s="38"/>
      <c r="Z252" s="38"/>
      <c r="AA252" s="92" t="e">
        <f t="shared" si="188"/>
        <v>#DIV/0!</v>
      </c>
      <c r="AB252" s="38">
        <f t="shared" si="189"/>
        <v>12999</v>
      </c>
      <c r="AC252" s="38">
        <f t="shared" si="189"/>
        <v>15537</v>
      </c>
      <c r="AD252" s="92">
        <f t="shared" si="190"/>
        <v>0.19524578813754911</v>
      </c>
      <c r="AE252" s="22"/>
      <c r="AF252" s="22">
        <v>7030</v>
      </c>
      <c r="AG252" s="92" t="e">
        <f t="shared" si="191"/>
        <v>#DIV/0!</v>
      </c>
      <c r="AH252" s="22">
        <f t="shared" si="192"/>
        <v>12999</v>
      </c>
      <c r="AI252" s="22">
        <f t="shared" si="192"/>
        <v>22567</v>
      </c>
      <c r="AJ252" s="92">
        <f t="shared" si="193"/>
        <v>0.73605661973998004</v>
      </c>
      <c r="AK252" s="22"/>
      <c r="AL252" s="22"/>
      <c r="AM252" s="92" t="e">
        <f t="shared" si="194"/>
        <v>#DIV/0!</v>
      </c>
      <c r="AN252" s="22">
        <f t="shared" si="195"/>
        <v>12999</v>
      </c>
      <c r="AO252" s="22">
        <f t="shared" si="195"/>
        <v>22567</v>
      </c>
      <c r="AP252" s="92">
        <f t="shared" si="196"/>
        <v>0.73605661973998004</v>
      </c>
      <c r="AQ252" s="22"/>
      <c r="AR252" s="22">
        <v>4580</v>
      </c>
      <c r="AS252" s="92" t="e">
        <f t="shared" si="197"/>
        <v>#DIV/0!</v>
      </c>
      <c r="AT252" s="22">
        <f t="shared" si="198"/>
        <v>12999</v>
      </c>
      <c r="AU252" s="22">
        <f t="shared" si="198"/>
        <v>27147</v>
      </c>
      <c r="AV252" s="92">
        <f t="shared" si="199"/>
        <v>1.0883914147242097</v>
      </c>
      <c r="AW252" s="38">
        <v>3273</v>
      </c>
      <c r="AX252" s="38"/>
      <c r="AY252" s="92">
        <f t="shared" si="200"/>
        <v>-1</v>
      </c>
      <c r="AZ252" s="38">
        <f t="shared" si="201"/>
        <v>16272</v>
      </c>
      <c r="BA252" s="38">
        <f t="shared" si="201"/>
        <v>27147</v>
      </c>
      <c r="BB252" s="92">
        <f t="shared" si="202"/>
        <v>0.6683259587020649</v>
      </c>
      <c r="BC252" s="38"/>
      <c r="BD252" s="38"/>
      <c r="BE252" s="92" t="e">
        <f t="shared" si="203"/>
        <v>#DIV/0!</v>
      </c>
      <c r="BF252" s="38">
        <f t="shared" si="204"/>
        <v>16272</v>
      </c>
      <c r="BG252" s="38">
        <f t="shared" si="204"/>
        <v>27147</v>
      </c>
      <c r="BH252" s="92">
        <f t="shared" si="205"/>
        <v>0.6683259587020649</v>
      </c>
      <c r="BI252" s="22"/>
      <c r="BJ252" s="22">
        <v>11527</v>
      </c>
      <c r="BK252" s="22"/>
      <c r="BL252" s="22">
        <v>27799</v>
      </c>
      <c r="BM252" s="96">
        <f t="shared" si="206"/>
        <v>0.27146999999999999</v>
      </c>
      <c r="BN252" s="22"/>
    </row>
    <row r="253" spans="1:66">
      <c r="A253" s="80" t="s">
        <v>33</v>
      </c>
      <c r="B253" s="80" t="s">
        <v>33</v>
      </c>
      <c r="C253" s="84" t="s">
        <v>372</v>
      </c>
      <c r="D253" s="33" t="s">
        <v>61</v>
      </c>
      <c r="E253" s="33" t="s">
        <v>61</v>
      </c>
      <c r="F253" s="33" t="s">
        <v>366</v>
      </c>
      <c r="G253" s="33" t="s">
        <v>366</v>
      </c>
      <c r="H253" s="33" t="s">
        <v>360</v>
      </c>
      <c r="I253" s="33">
        <v>20</v>
      </c>
      <c r="J253" s="91">
        <v>12124</v>
      </c>
      <c r="K253" s="91">
        <v>4502</v>
      </c>
      <c r="L253" s="92">
        <f t="shared" si="181"/>
        <v>-0.62867040580666445</v>
      </c>
      <c r="M253" s="91"/>
      <c r="N253" s="91"/>
      <c r="O253" s="92" t="e">
        <f t="shared" si="182"/>
        <v>#DIV/0!</v>
      </c>
      <c r="P253" s="91">
        <f t="shared" si="183"/>
        <v>12124</v>
      </c>
      <c r="Q253" s="91">
        <f t="shared" si="183"/>
        <v>4502</v>
      </c>
      <c r="R253" s="92">
        <f t="shared" si="184"/>
        <v>-0.62867040580666445</v>
      </c>
      <c r="S253" s="38">
        <v>8622</v>
      </c>
      <c r="T253" s="38">
        <v>3150</v>
      </c>
      <c r="U253" s="92">
        <f t="shared" si="185"/>
        <v>-0.63465553235908145</v>
      </c>
      <c r="V253" s="38">
        <f t="shared" si="186"/>
        <v>20746</v>
      </c>
      <c r="W253" s="38">
        <f t="shared" si="186"/>
        <v>7652</v>
      </c>
      <c r="X253" s="92">
        <f t="shared" si="187"/>
        <v>-0.63115781355442013</v>
      </c>
      <c r="Y253" s="38">
        <v>6511</v>
      </c>
      <c r="Z253" s="38">
        <v>4074</v>
      </c>
      <c r="AA253" s="92">
        <f t="shared" si="188"/>
        <v>-0.37428966364613736</v>
      </c>
      <c r="AB253" s="38">
        <f t="shared" si="189"/>
        <v>27257</v>
      </c>
      <c r="AC253" s="38">
        <f t="shared" si="189"/>
        <v>11726</v>
      </c>
      <c r="AD253" s="92">
        <f t="shared" si="190"/>
        <v>-0.56979858385002013</v>
      </c>
      <c r="AE253" s="22"/>
      <c r="AF253" s="22">
        <v>5828</v>
      </c>
      <c r="AG253" s="92" t="e">
        <f t="shared" si="191"/>
        <v>#DIV/0!</v>
      </c>
      <c r="AH253" s="22">
        <f t="shared" si="192"/>
        <v>27257</v>
      </c>
      <c r="AI253" s="22">
        <f t="shared" si="192"/>
        <v>17554</v>
      </c>
      <c r="AJ253" s="92">
        <f t="shared" si="193"/>
        <v>-0.35598194959093077</v>
      </c>
      <c r="AK253" s="22">
        <v>3647</v>
      </c>
      <c r="AL253" s="22"/>
      <c r="AM253" s="92">
        <f t="shared" si="194"/>
        <v>-1</v>
      </c>
      <c r="AN253" s="22">
        <f t="shared" si="195"/>
        <v>30904</v>
      </c>
      <c r="AO253" s="22">
        <f t="shared" si="195"/>
        <v>17554</v>
      </c>
      <c r="AP253" s="92">
        <f t="shared" si="196"/>
        <v>-0.43198291483303131</v>
      </c>
      <c r="AQ253" s="22">
        <v>11076</v>
      </c>
      <c r="AR253" s="22">
        <v>16590</v>
      </c>
      <c r="AS253" s="92">
        <f t="shared" si="197"/>
        <v>0.49783315276273021</v>
      </c>
      <c r="AT253" s="22">
        <f t="shared" si="198"/>
        <v>41980</v>
      </c>
      <c r="AU253" s="22">
        <f t="shared" si="198"/>
        <v>34144</v>
      </c>
      <c r="AV253" s="92">
        <f t="shared" si="199"/>
        <v>-0.1866603144354454</v>
      </c>
      <c r="AW253" s="38"/>
      <c r="AX253" s="38"/>
      <c r="AY253" s="92" t="e">
        <f t="shared" si="200"/>
        <v>#DIV/0!</v>
      </c>
      <c r="AZ253" s="38">
        <f t="shared" si="201"/>
        <v>41980</v>
      </c>
      <c r="BA253" s="38">
        <f t="shared" si="201"/>
        <v>34144</v>
      </c>
      <c r="BB253" s="92">
        <f t="shared" si="202"/>
        <v>-0.1866603144354454</v>
      </c>
      <c r="BC253" s="38"/>
      <c r="BD253" s="38">
        <v>11694</v>
      </c>
      <c r="BE253" s="92" t="e">
        <f t="shared" si="203"/>
        <v>#DIV/0!</v>
      </c>
      <c r="BF253" s="38">
        <f t="shared" si="204"/>
        <v>41980</v>
      </c>
      <c r="BG253" s="38">
        <f t="shared" si="204"/>
        <v>45838</v>
      </c>
      <c r="BH253" s="92">
        <f t="shared" si="205"/>
        <v>9.1900905192949134E-2</v>
      </c>
      <c r="BI253" s="22"/>
      <c r="BJ253" s="22"/>
      <c r="BK253" s="22">
        <v>18931</v>
      </c>
      <c r="BL253" s="22">
        <v>60911</v>
      </c>
      <c r="BM253" s="96">
        <f t="shared" si="206"/>
        <v>0.22919</v>
      </c>
      <c r="BN253" s="22"/>
    </row>
    <row r="254" spans="1:66">
      <c r="A254" s="80" t="s">
        <v>33</v>
      </c>
      <c r="B254" s="80" t="s">
        <v>33</v>
      </c>
      <c r="C254" s="84" t="s">
        <v>373</v>
      </c>
      <c r="D254" s="33" t="s">
        <v>61</v>
      </c>
      <c r="E254" s="33" t="s">
        <v>61</v>
      </c>
      <c r="F254" s="33" t="s">
        <v>366</v>
      </c>
      <c r="G254" s="33" t="s">
        <v>366</v>
      </c>
      <c r="H254" s="33" t="s">
        <v>360</v>
      </c>
      <c r="I254" s="33"/>
      <c r="J254" s="91"/>
      <c r="K254" s="91"/>
      <c r="L254" s="92" t="e">
        <f t="shared" si="181"/>
        <v>#DIV/0!</v>
      </c>
      <c r="M254" s="91"/>
      <c r="N254" s="91"/>
      <c r="O254" s="92" t="e">
        <f t="shared" si="182"/>
        <v>#DIV/0!</v>
      </c>
      <c r="P254" s="91">
        <f t="shared" si="183"/>
        <v>0</v>
      </c>
      <c r="Q254" s="91">
        <f t="shared" si="183"/>
        <v>0</v>
      </c>
      <c r="R254" s="92" t="e">
        <f t="shared" si="184"/>
        <v>#DIV/0!</v>
      </c>
      <c r="S254" s="38"/>
      <c r="T254" s="38"/>
      <c r="U254" s="92" t="e">
        <f t="shared" si="185"/>
        <v>#DIV/0!</v>
      </c>
      <c r="V254" s="38">
        <f t="shared" si="186"/>
        <v>0</v>
      </c>
      <c r="W254" s="38">
        <f t="shared" si="186"/>
        <v>0</v>
      </c>
      <c r="X254" s="92" t="e">
        <f t="shared" si="187"/>
        <v>#DIV/0!</v>
      </c>
      <c r="Y254" s="38"/>
      <c r="Z254" s="38"/>
      <c r="AA254" s="92" t="e">
        <f t="shared" si="188"/>
        <v>#DIV/0!</v>
      </c>
      <c r="AB254" s="38">
        <f t="shared" si="189"/>
        <v>0</v>
      </c>
      <c r="AC254" s="38">
        <f t="shared" si="189"/>
        <v>0</v>
      </c>
      <c r="AD254" s="92" t="e">
        <f t="shared" si="190"/>
        <v>#DIV/0!</v>
      </c>
      <c r="AE254" s="22"/>
      <c r="AF254" s="22"/>
      <c r="AG254" s="92" t="e">
        <f t="shared" si="191"/>
        <v>#DIV/0!</v>
      </c>
      <c r="AH254" s="22">
        <f t="shared" si="192"/>
        <v>0</v>
      </c>
      <c r="AI254" s="22">
        <f t="shared" si="192"/>
        <v>0</v>
      </c>
      <c r="AJ254" s="92" t="e">
        <f t="shared" si="193"/>
        <v>#DIV/0!</v>
      </c>
      <c r="AK254" s="22"/>
      <c r="AL254" s="22"/>
      <c r="AM254" s="92" t="e">
        <f t="shared" si="194"/>
        <v>#DIV/0!</v>
      </c>
      <c r="AN254" s="22">
        <f t="shared" si="195"/>
        <v>0</v>
      </c>
      <c r="AO254" s="22">
        <f t="shared" si="195"/>
        <v>0</v>
      </c>
      <c r="AP254" s="92" t="e">
        <f t="shared" si="196"/>
        <v>#DIV/0!</v>
      </c>
      <c r="AQ254" s="22">
        <v>9300</v>
      </c>
      <c r="AR254" s="22"/>
      <c r="AS254" s="92">
        <f t="shared" si="197"/>
        <v>-1</v>
      </c>
      <c r="AT254" s="22">
        <f t="shared" si="198"/>
        <v>9300</v>
      </c>
      <c r="AU254" s="22">
        <f t="shared" si="198"/>
        <v>0</v>
      </c>
      <c r="AV254" s="92">
        <f t="shared" si="199"/>
        <v>-1</v>
      </c>
      <c r="AW254" s="38"/>
      <c r="AX254" s="38"/>
      <c r="AY254" s="92" t="e">
        <f t="shared" si="200"/>
        <v>#DIV/0!</v>
      </c>
      <c r="AZ254" s="38">
        <f t="shared" si="201"/>
        <v>9300</v>
      </c>
      <c r="BA254" s="38">
        <f t="shared" si="201"/>
        <v>0</v>
      </c>
      <c r="BB254" s="92">
        <f t="shared" si="202"/>
        <v>-1</v>
      </c>
      <c r="BC254" s="38"/>
      <c r="BD254" s="38"/>
      <c r="BE254" s="92" t="e">
        <f t="shared" si="203"/>
        <v>#DIV/0!</v>
      </c>
      <c r="BF254" s="38">
        <f t="shared" si="204"/>
        <v>9300</v>
      </c>
      <c r="BG254" s="38">
        <f t="shared" si="204"/>
        <v>0</v>
      </c>
      <c r="BH254" s="92">
        <f t="shared" si="205"/>
        <v>-1</v>
      </c>
      <c r="BI254" s="22"/>
      <c r="BJ254" s="22"/>
      <c r="BK254" s="22"/>
      <c r="BL254" s="22">
        <v>9300</v>
      </c>
      <c r="BM254" s="96" t="e">
        <f t="shared" si="206"/>
        <v>#DIV/0!</v>
      </c>
      <c r="BN254" s="22"/>
    </row>
    <row r="255" spans="1:66">
      <c r="A255" s="80" t="s">
        <v>33</v>
      </c>
      <c r="B255" s="80" t="s">
        <v>33</v>
      </c>
      <c r="C255" s="84" t="s">
        <v>374</v>
      </c>
      <c r="D255" s="33" t="s">
        <v>61</v>
      </c>
      <c r="E255" s="33" t="s">
        <v>61</v>
      </c>
      <c r="F255" s="33" t="s">
        <v>366</v>
      </c>
      <c r="G255" s="33" t="s">
        <v>366</v>
      </c>
      <c r="H255" s="33" t="s">
        <v>360</v>
      </c>
      <c r="I255" s="33">
        <v>10</v>
      </c>
      <c r="J255" s="91">
        <v>11621</v>
      </c>
      <c r="K255" s="91">
        <v>3730</v>
      </c>
      <c r="L255" s="92">
        <f t="shared" si="181"/>
        <v>-0.67902934342999743</v>
      </c>
      <c r="M255" s="91">
        <v>36823</v>
      </c>
      <c r="N255" s="91"/>
      <c r="O255" s="92">
        <f t="shared" si="182"/>
        <v>-1</v>
      </c>
      <c r="P255" s="91">
        <f t="shared" si="183"/>
        <v>48444</v>
      </c>
      <c r="Q255" s="91">
        <f t="shared" si="183"/>
        <v>3730</v>
      </c>
      <c r="R255" s="92">
        <f t="shared" si="184"/>
        <v>-0.92300388076954831</v>
      </c>
      <c r="S255" s="38">
        <v>4256</v>
      </c>
      <c r="T255" s="38">
        <v>22606</v>
      </c>
      <c r="U255" s="92">
        <f t="shared" si="185"/>
        <v>4.3115601503759402</v>
      </c>
      <c r="V255" s="38">
        <f t="shared" si="186"/>
        <v>52700</v>
      </c>
      <c r="W255" s="38">
        <f t="shared" si="186"/>
        <v>26336</v>
      </c>
      <c r="X255" s="92">
        <f t="shared" si="187"/>
        <v>-0.50026565464895634</v>
      </c>
      <c r="Y255" s="38"/>
      <c r="Z255" s="38">
        <v>11573</v>
      </c>
      <c r="AA255" s="92" t="e">
        <f t="shared" si="188"/>
        <v>#DIV/0!</v>
      </c>
      <c r="AB255" s="38">
        <f t="shared" si="189"/>
        <v>52700</v>
      </c>
      <c r="AC255" s="38">
        <f t="shared" si="189"/>
        <v>37909</v>
      </c>
      <c r="AD255" s="92">
        <f t="shared" si="190"/>
        <v>-0.28066413662239087</v>
      </c>
      <c r="AE255" s="22">
        <v>35183</v>
      </c>
      <c r="AF255" s="22"/>
      <c r="AG255" s="92">
        <f t="shared" si="191"/>
        <v>-1</v>
      </c>
      <c r="AH255" s="22">
        <f t="shared" si="192"/>
        <v>87883</v>
      </c>
      <c r="AI255" s="22">
        <f t="shared" si="192"/>
        <v>37909</v>
      </c>
      <c r="AJ255" s="92">
        <f t="shared" si="193"/>
        <v>-0.56864239955395246</v>
      </c>
      <c r="AK255" s="22"/>
      <c r="AL255" s="22"/>
      <c r="AM255" s="92" t="e">
        <f t="shared" si="194"/>
        <v>#DIV/0!</v>
      </c>
      <c r="AN255" s="22">
        <f t="shared" si="195"/>
        <v>87883</v>
      </c>
      <c r="AO255" s="22">
        <f t="shared" si="195"/>
        <v>37909</v>
      </c>
      <c r="AP255" s="92">
        <f t="shared" si="196"/>
        <v>-0.56864239955395246</v>
      </c>
      <c r="AQ255" s="22">
        <v>35458</v>
      </c>
      <c r="AR255" s="22">
        <v>6025</v>
      </c>
      <c r="AS255" s="92">
        <f t="shared" si="197"/>
        <v>-0.8300806588076034</v>
      </c>
      <c r="AT255" s="22">
        <f t="shared" si="198"/>
        <v>123341</v>
      </c>
      <c r="AU255" s="22">
        <f t="shared" si="198"/>
        <v>43934</v>
      </c>
      <c r="AV255" s="92">
        <f t="shared" si="199"/>
        <v>-0.6438005205081847</v>
      </c>
      <c r="AW255" s="38">
        <v>18517</v>
      </c>
      <c r="AX255" s="38"/>
      <c r="AY255" s="92">
        <f t="shared" si="200"/>
        <v>-1</v>
      </c>
      <c r="AZ255" s="38">
        <f t="shared" si="201"/>
        <v>141858</v>
      </c>
      <c r="BA255" s="38">
        <f t="shared" si="201"/>
        <v>43934</v>
      </c>
      <c r="BB255" s="92">
        <f t="shared" si="202"/>
        <v>-0.6902959297325495</v>
      </c>
      <c r="BC255" s="38">
        <v>29469</v>
      </c>
      <c r="BD255" s="38"/>
      <c r="BE255" s="92">
        <f t="shared" si="203"/>
        <v>-1</v>
      </c>
      <c r="BF255" s="38">
        <f t="shared" si="204"/>
        <v>171327</v>
      </c>
      <c r="BG255" s="38">
        <f t="shared" si="204"/>
        <v>43934</v>
      </c>
      <c r="BH255" s="92">
        <f t="shared" si="205"/>
        <v>-0.74356639642321409</v>
      </c>
      <c r="BI255" s="22">
        <v>20687</v>
      </c>
      <c r="BJ255" s="22"/>
      <c r="BK255" s="22">
        <v>18822</v>
      </c>
      <c r="BL255" s="22">
        <v>210836</v>
      </c>
      <c r="BM255" s="96">
        <f t="shared" si="206"/>
        <v>0.43933999999999995</v>
      </c>
      <c r="BN255" s="22"/>
    </row>
    <row r="256" spans="1:66">
      <c r="A256" s="80" t="s">
        <v>33</v>
      </c>
      <c r="B256" s="80" t="s">
        <v>33</v>
      </c>
      <c r="C256" s="84" t="s">
        <v>375</v>
      </c>
      <c r="D256" s="33" t="s">
        <v>61</v>
      </c>
      <c r="E256" s="33" t="s">
        <v>61</v>
      </c>
      <c r="F256" s="33" t="s">
        <v>376</v>
      </c>
      <c r="G256" s="33" t="s">
        <v>376</v>
      </c>
      <c r="H256" s="33" t="s">
        <v>360</v>
      </c>
      <c r="I256" s="33">
        <v>10</v>
      </c>
      <c r="J256" s="91">
        <v>5096</v>
      </c>
      <c r="K256" s="91"/>
      <c r="L256" s="92">
        <f t="shared" si="181"/>
        <v>-1</v>
      </c>
      <c r="M256" s="91">
        <v>15039</v>
      </c>
      <c r="N256" s="91"/>
      <c r="O256" s="92">
        <f t="shared" si="182"/>
        <v>-1</v>
      </c>
      <c r="P256" s="91">
        <f t="shared" si="183"/>
        <v>20135</v>
      </c>
      <c r="Q256" s="91">
        <f t="shared" si="183"/>
        <v>0</v>
      </c>
      <c r="R256" s="92">
        <f t="shared" si="184"/>
        <v>-1</v>
      </c>
      <c r="S256" s="38"/>
      <c r="T256" s="38"/>
      <c r="U256" s="92" t="e">
        <f t="shared" si="185"/>
        <v>#DIV/0!</v>
      </c>
      <c r="V256" s="38">
        <f t="shared" si="186"/>
        <v>20135</v>
      </c>
      <c r="W256" s="38">
        <f t="shared" si="186"/>
        <v>0</v>
      </c>
      <c r="X256" s="92">
        <f t="shared" si="187"/>
        <v>-1</v>
      </c>
      <c r="Y256" s="38"/>
      <c r="Z256" s="38"/>
      <c r="AA256" s="92" t="e">
        <f t="shared" si="188"/>
        <v>#DIV/0!</v>
      </c>
      <c r="AB256" s="38">
        <f t="shared" si="189"/>
        <v>20135</v>
      </c>
      <c r="AC256" s="38">
        <f t="shared" si="189"/>
        <v>0</v>
      </c>
      <c r="AD256" s="92">
        <f t="shared" si="190"/>
        <v>-1</v>
      </c>
      <c r="AE256" s="22">
        <v>5156</v>
      </c>
      <c r="AF256" s="22"/>
      <c r="AG256" s="92">
        <f t="shared" si="191"/>
        <v>-1</v>
      </c>
      <c r="AH256" s="22">
        <f t="shared" si="192"/>
        <v>25291</v>
      </c>
      <c r="AI256" s="22">
        <f t="shared" si="192"/>
        <v>0</v>
      </c>
      <c r="AJ256" s="92">
        <f t="shared" si="193"/>
        <v>-1</v>
      </c>
      <c r="AK256" s="22"/>
      <c r="AL256" s="22"/>
      <c r="AM256" s="92" t="e">
        <f t="shared" si="194"/>
        <v>#DIV/0!</v>
      </c>
      <c r="AN256" s="22">
        <f t="shared" si="195"/>
        <v>25291</v>
      </c>
      <c r="AO256" s="22">
        <f t="shared" si="195"/>
        <v>0</v>
      </c>
      <c r="AP256" s="92">
        <f t="shared" si="196"/>
        <v>-1</v>
      </c>
      <c r="AQ256" s="22"/>
      <c r="AR256" s="22"/>
      <c r="AS256" s="92" t="e">
        <f t="shared" si="197"/>
        <v>#DIV/0!</v>
      </c>
      <c r="AT256" s="22">
        <f t="shared" si="198"/>
        <v>25291</v>
      </c>
      <c r="AU256" s="22">
        <f t="shared" si="198"/>
        <v>0</v>
      </c>
      <c r="AV256" s="92">
        <f t="shared" si="199"/>
        <v>-1</v>
      </c>
      <c r="AW256" s="38"/>
      <c r="AX256" s="38"/>
      <c r="AY256" s="92" t="e">
        <f t="shared" si="200"/>
        <v>#DIV/0!</v>
      </c>
      <c r="AZ256" s="38">
        <f t="shared" si="201"/>
        <v>25291</v>
      </c>
      <c r="BA256" s="38">
        <f t="shared" si="201"/>
        <v>0</v>
      </c>
      <c r="BB256" s="92">
        <f t="shared" si="202"/>
        <v>-1</v>
      </c>
      <c r="BC256" s="38">
        <v>2890</v>
      </c>
      <c r="BD256" s="38"/>
      <c r="BE256" s="92">
        <f t="shared" si="203"/>
        <v>-1</v>
      </c>
      <c r="BF256" s="38">
        <f t="shared" si="204"/>
        <v>28181</v>
      </c>
      <c r="BG256" s="38">
        <f t="shared" si="204"/>
        <v>0</v>
      </c>
      <c r="BH256" s="92">
        <f t="shared" si="205"/>
        <v>-1</v>
      </c>
      <c r="BI256" s="22"/>
      <c r="BJ256" s="22">
        <v>11211</v>
      </c>
      <c r="BK256" s="22">
        <v>2243</v>
      </c>
      <c r="BL256" s="22">
        <v>41635</v>
      </c>
      <c r="BM256" s="96">
        <f t="shared" si="206"/>
        <v>0</v>
      </c>
      <c r="BN256" s="22"/>
    </row>
    <row r="257" spans="1:66">
      <c r="A257" s="80" t="s">
        <v>33</v>
      </c>
      <c r="B257" s="80" t="s">
        <v>33</v>
      </c>
      <c r="C257" s="84" t="s">
        <v>377</v>
      </c>
      <c r="D257" s="33" t="s">
        <v>61</v>
      </c>
      <c r="E257" s="33" t="s">
        <v>61</v>
      </c>
      <c r="F257" s="33" t="s">
        <v>359</v>
      </c>
      <c r="G257" s="33" t="s">
        <v>364</v>
      </c>
      <c r="H257" s="33" t="s">
        <v>360</v>
      </c>
      <c r="I257" s="33">
        <v>10</v>
      </c>
      <c r="J257" s="91"/>
      <c r="K257" s="91">
        <v>5412</v>
      </c>
      <c r="L257" s="92" t="e">
        <f t="shared" si="181"/>
        <v>#DIV/0!</v>
      </c>
      <c r="M257" s="91">
        <v>10342</v>
      </c>
      <c r="N257" s="91">
        <v>2472</v>
      </c>
      <c r="O257" s="92">
        <f t="shared" si="182"/>
        <v>-0.76097466640881839</v>
      </c>
      <c r="P257" s="91">
        <f t="shared" si="183"/>
        <v>10342</v>
      </c>
      <c r="Q257" s="91">
        <f t="shared" si="183"/>
        <v>7884</v>
      </c>
      <c r="R257" s="92">
        <f t="shared" si="184"/>
        <v>-0.23767163024560045</v>
      </c>
      <c r="S257" s="38"/>
      <c r="T257" s="38"/>
      <c r="U257" s="92" t="e">
        <f t="shared" si="185"/>
        <v>#DIV/0!</v>
      </c>
      <c r="V257" s="38">
        <f t="shared" si="186"/>
        <v>10342</v>
      </c>
      <c r="W257" s="38">
        <f t="shared" si="186"/>
        <v>7884</v>
      </c>
      <c r="X257" s="92">
        <f t="shared" si="187"/>
        <v>-0.23767163024560045</v>
      </c>
      <c r="Y257" s="38">
        <v>2866</v>
      </c>
      <c r="Z257" s="38"/>
      <c r="AA257" s="92">
        <f t="shared" si="188"/>
        <v>-1</v>
      </c>
      <c r="AB257" s="38">
        <f t="shared" si="189"/>
        <v>13208</v>
      </c>
      <c r="AC257" s="38">
        <f t="shared" si="189"/>
        <v>7884</v>
      </c>
      <c r="AD257" s="92">
        <f t="shared" si="190"/>
        <v>-0.40308903694730469</v>
      </c>
      <c r="AE257" s="22">
        <v>13931</v>
      </c>
      <c r="AF257" s="22">
        <v>2290</v>
      </c>
      <c r="AG257" s="92">
        <f t="shared" si="191"/>
        <v>-0.835618404996052</v>
      </c>
      <c r="AH257" s="22">
        <f t="shared" si="192"/>
        <v>27139</v>
      </c>
      <c r="AI257" s="22">
        <f t="shared" si="192"/>
        <v>10174</v>
      </c>
      <c r="AJ257" s="92">
        <f t="shared" si="193"/>
        <v>-0.62511514794207601</v>
      </c>
      <c r="AK257" s="22">
        <v>7143</v>
      </c>
      <c r="AL257" s="22">
        <v>3236</v>
      </c>
      <c r="AM257" s="92">
        <f t="shared" si="194"/>
        <v>-0.54696906061878758</v>
      </c>
      <c r="AN257" s="22">
        <f t="shared" si="195"/>
        <v>34282</v>
      </c>
      <c r="AO257" s="22">
        <f t="shared" si="195"/>
        <v>13410</v>
      </c>
      <c r="AP257" s="92">
        <f t="shared" si="196"/>
        <v>-0.60883262353421619</v>
      </c>
      <c r="AQ257" s="22">
        <v>4821</v>
      </c>
      <c r="AR257" s="22">
        <v>10</v>
      </c>
      <c r="AS257" s="92">
        <f t="shared" si="197"/>
        <v>-0.99792574154739677</v>
      </c>
      <c r="AT257" s="22">
        <f t="shared" si="198"/>
        <v>39103</v>
      </c>
      <c r="AU257" s="22">
        <f t="shared" si="198"/>
        <v>13420</v>
      </c>
      <c r="AV257" s="92">
        <f t="shared" si="199"/>
        <v>-0.65680382579341745</v>
      </c>
      <c r="AW257" s="38">
        <v>2751</v>
      </c>
      <c r="AX257" s="38"/>
      <c r="AY257" s="92">
        <f t="shared" si="200"/>
        <v>-1</v>
      </c>
      <c r="AZ257" s="38">
        <f t="shared" si="201"/>
        <v>41854</v>
      </c>
      <c r="BA257" s="38">
        <f t="shared" si="201"/>
        <v>13420</v>
      </c>
      <c r="BB257" s="92">
        <f t="shared" si="202"/>
        <v>-0.67936159029005583</v>
      </c>
      <c r="BC257" s="38">
        <v>5110</v>
      </c>
      <c r="BD257" s="38"/>
      <c r="BE257" s="92">
        <f t="shared" si="203"/>
        <v>-1</v>
      </c>
      <c r="BF257" s="38">
        <f t="shared" si="204"/>
        <v>46964</v>
      </c>
      <c r="BG257" s="38">
        <f t="shared" si="204"/>
        <v>13420</v>
      </c>
      <c r="BH257" s="92">
        <f t="shared" si="205"/>
        <v>-0.71424921216250747</v>
      </c>
      <c r="BI257" s="22">
        <v>6507</v>
      </c>
      <c r="BJ257" s="22">
        <v>3551</v>
      </c>
      <c r="BK257" s="22">
        <v>4944</v>
      </c>
      <c r="BL257" s="22">
        <v>61966</v>
      </c>
      <c r="BM257" s="96">
        <f t="shared" si="206"/>
        <v>0.13420000000000001</v>
      </c>
      <c r="BN257" s="22"/>
    </row>
    <row r="258" spans="1:66">
      <c r="A258" s="80" t="s">
        <v>33</v>
      </c>
      <c r="B258" s="80" t="s">
        <v>33</v>
      </c>
      <c r="C258" s="84" t="s">
        <v>378</v>
      </c>
      <c r="D258" s="33" t="s">
        <v>61</v>
      </c>
      <c r="E258" s="33" t="s">
        <v>61</v>
      </c>
      <c r="F258" s="33" t="s">
        <v>351</v>
      </c>
      <c r="G258" s="33" t="s">
        <v>351</v>
      </c>
      <c r="H258" s="33" t="s">
        <v>352</v>
      </c>
      <c r="I258" s="33">
        <v>5</v>
      </c>
      <c r="J258" s="91"/>
      <c r="K258" s="91"/>
      <c r="L258" s="92" t="e">
        <f t="shared" si="181"/>
        <v>#DIV/0!</v>
      </c>
      <c r="M258" s="91"/>
      <c r="N258" s="91"/>
      <c r="O258" s="92" t="e">
        <f t="shared" si="182"/>
        <v>#DIV/0!</v>
      </c>
      <c r="P258" s="91">
        <f t="shared" si="183"/>
        <v>0</v>
      </c>
      <c r="Q258" s="91">
        <f t="shared" si="183"/>
        <v>0</v>
      </c>
      <c r="R258" s="92" t="e">
        <f t="shared" si="184"/>
        <v>#DIV/0!</v>
      </c>
      <c r="S258" s="38"/>
      <c r="T258" s="38"/>
      <c r="U258" s="92" t="e">
        <f t="shared" si="185"/>
        <v>#DIV/0!</v>
      </c>
      <c r="V258" s="38">
        <f t="shared" si="186"/>
        <v>0</v>
      </c>
      <c r="W258" s="38">
        <f t="shared" si="186"/>
        <v>0</v>
      </c>
      <c r="X258" s="92" t="e">
        <f t="shared" si="187"/>
        <v>#DIV/0!</v>
      </c>
      <c r="Y258" s="38"/>
      <c r="Z258" s="38"/>
      <c r="AA258" s="92" t="e">
        <f t="shared" si="188"/>
        <v>#DIV/0!</v>
      </c>
      <c r="AB258" s="38">
        <f t="shared" si="189"/>
        <v>0</v>
      </c>
      <c r="AC258" s="38">
        <f t="shared" si="189"/>
        <v>0</v>
      </c>
      <c r="AD258" s="92" t="e">
        <f t="shared" si="190"/>
        <v>#DIV/0!</v>
      </c>
      <c r="AE258" s="22">
        <v>6885</v>
      </c>
      <c r="AF258" s="22"/>
      <c r="AG258" s="92">
        <f t="shared" si="191"/>
        <v>-1</v>
      </c>
      <c r="AH258" s="22">
        <f t="shared" si="192"/>
        <v>6885</v>
      </c>
      <c r="AI258" s="22">
        <f t="shared" si="192"/>
        <v>0</v>
      </c>
      <c r="AJ258" s="92">
        <f t="shared" si="193"/>
        <v>-1</v>
      </c>
      <c r="AK258" s="22"/>
      <c r="AL258" s="22"/>
      <c r="AM258" s="92" t="e">
        <f t="shared" si="194"/>
        <v>#DIV/0!</v>
      </c>
      <c r="AN258" s="22">
        <f t="shared" si="195"/>
        <v>6885</v>
      </c>
      <c r="AO258" s="22">
        <f t="shared" si="195"/>
        <v>0</v>
      </c>
      <c r="AP258" s="92">
        <f t="shared" si="196"/>
        <v>-1</v>
      </c>
      <c r="AQ258" s="22"/>
      <c r="AR258" s="22"/>
      <c r="AS258" s="92" t="e">
        <f t="shared" si="197"/>
        <v>#DIV/0!</v>
      </c>
      <c r="AT258" s="22">
        <f t="shared" si="198"/>
        <v>6885</v>
      </c>
      <c r="AU258" s="22">
        <f t="shared" si="198"/>
        <v>0</v>
      </c>
      <c r="AV258" s="92">
        <f t="shared" si="199"/>
        <v>-1</v>
      </c>
      <c r="AW258" s="38">
        <v>2399</v>
      </c>
      <c r="AX258" s="38"/>
      <c r="AY258" s="92">
        <f t="shared" si="200"/>
        <v>-1</v>
      </c>
      <c r="AZ258" s="38">
        <f t="shared" si="201"/>
        <v>9284</v>
      </c>
      <c r="BA258" s="38">
        <f t="shared" si="201"/>
        <v>0</v>
      </c>
      <c r="BB258" s="92">
        <f t="shared" si="202"/>
        <v>-1</v>
      </c>
      <c r="BC258" s="38">
        <v>790</v>
      </c>
      <c r="BD258" s="38"/>
      <c r="BE258" s="92">
        <f t="shared" si="203"/>
        <v>-1</v>
      </c>
      <c r="BF258" s="38">
        <f t="shared" si="204"/>
        <v>10074</v>
      </c>
      <c r="BG258" s="38">
        <f t="shared" si="204"/>
        <v>0</v>
      </c>
      <c r="BH258" s="92">
        <f t="shared" si="205"/>
        <v>-1</v>
      </c>
      <c r="BI258" s="22">
        <v>11215</v>
      </c>
      <c r="BJ258" s="22"/>
      <c r="BK258" s="22"/>
      <c r="BL258" s="22">
        <v>21289</v>
      </c>
      <c r="BM258" s="96">
        <f t="shared" si="206"/>
        <v>0</v>
      </c>
      <c r="BN258" s="22"/>
    </row>
    <row r="259" spans="1:66">
      <c r="A259" s="80" t="s">
        <v>33</v>
      </c>
      <c r="B259" s="80" t="s">
        <v>33</v>
      </c>
      <c r="C259" s="84" t="s">
        <v>379</v>
      </c>
      <c r="D259" s="33" t="s">
        <v>61</v>
      </c>
      <c r="E259" s="33" t="s">
        <v>61</v>
      </c>
      <c r="F259" s="33" t="s">
        <v>351</v>
      </c>
      <c r="G259" s="33" t="s">
        <v>351</v>
      </c>
      <c r="H259" s="33" t="s">
        <v>352</v>
      </c>
      <c r="I259" s="33">
        <v>6</v>
      </c>
      <c r="J259" s="91">
        <v>6631</v>
      </c>
      <c r="K259" s="91"/>
      <c r="L259" s="92">
        <f t="shared" si="181"/>
        <v>-1</v>
      </c>
      <c r="M259" s="91"/>
      <c r="N259" s="91"/>
      <c r="O259" s="92" t="e">
        <f t="shared" si="182"/>
        <v>#DIV/0!</v>
      </c>
      <c r="P259" s="91">
        <f t="shared" si="183"/>
        <v>6631</v>
      </c>
      <c r="Q259" s="91">
        <f t="shared" si="183"/>
        <v>0</v>
      </c>
      <c r="R259" s="92">
        <f t="shared" si="184"/>
        <v>-1</v>
      </c>
      <c r="S259" s="38"/>
      <c r="T259" s="38"/>
      <c r="U259" s="92" t="e">
        <f t="shared" si="185"/>
        <v>#DIV/0!</v>
      </c>
      <c r="V259" s="38">
        <f t="shared" si="186"/>
        <v>6631</v>
      </c>
      <c r="W259" s="38">
        <f t="shared" si="186"/>
        <v>0</v>
      </c>
      <c r="X259" s="92">
        <f t="shared" si="187"/>
        <v>-1</v>
      </c>
      <c r="Y259" s="38"/>
      <c r="Z259" s="38"/>
      <c r="AA259" s="92" t="e">
        <f t="shared" si="188"/>
        <v>#DIV/0!</v>
      </c>
      <c r="AB259" s="38">
        <f t="shared" si="189"/>
        <v>6631</v>
      </c>
      <c r="AC259" s="38">
        <f t="shared" si="189"/>
        <v>0</v>
      </c>
      <c r="AD259" s="92">
        <f t="shared" si="190"/>
        <v>-1</v>
      </c>
      <c r="AE259" s="22"/>
      <c r="AF259" s="22"/>
      <c r="AG259" s="92" t="e">
        <f t="shared" si="191"/>
        <v>#DIV/0!</v>
      </c>
      <c r="AH259" s="22">
        <f t="shared" si="192"/>
        <v>6631</v>
      </c>
      <c r="AI259" s="22">
        <f t="shared" si="192"/>
        <v>0</v>
      </c>
      <c r="AJ259" s="92">
        <f t="shared" si="193"/>
        <v>-1</v>
      </c>
      <c r="AK259" s="22"/>
      <c r="AL259" s="22"/>
      <c r="AM259" s="92" t="e">
        <f t="shared" si="194"/>
        <v>#DIV/0!</v>
      </c>
      <c r="AN259" s="22">
        <f t="shared" si="195"/>
        <v>6631</v>
      </c>
      <c r="AO259" s="22">
        <f t="shared" si="195"/>
        <v>0</v>
      </c>
      <c r="AP259" s="92">
        <f t="shared" si="196"/>
        <v>-1</v>
      </c>
      <c r="AQ259" s="22"/>
      <c r="AR259" s="22"/>
      <c r="AS259" s="92" t="e">
        <f t="shared" si="197"/>
        <v>#DIV/0!</v>
      </c>
      <c r="AT259" s="22">
        <f t="shared" si="198"/>
        <v>6631</v>
      </c>
      <c r="AU259" s="22">
        <f t="shared" si="198"/>
        <v>0</v>
      </c>
      <c r="AV259" s="92">
        <f t="shared" si="199"/>
        <v>-1</v>
      </c>
      <c r="AW259" s="38"/>
      <c r="AX259" s="38"/>
      <c r="AY259" s="92" t="e">
        <f t="shared" si="200"/>
        <v>#DIV/0!</v>
      </c>
      <c r="AZ259" s="38">
        <f t="shared" si="201"/>
        <v>6631</v>
      </c>
      <c r="BA259" s="38">
        <f t="shared" si="201"/>
        <v>0</v>
      </c>
      <c r="BB259" s="92">
        <f t="shared" si="202"/>
        <v>-1</v>
      </c>
      <c r="BC259" s="38"/>
      <c r="BD259" s="38"/>
      <c r="BE259" s="92" t="e">
        <f t="shared" si="203"/>
        <v>#DIV/0!</v>
      </c>
      <c r="BF259" s="38">
        <f t="shared" si="204"/>
        <v>6631</v>
      </c>
      <c r="BG259" s="38">
        <f t="shared" si="204"/>
        <v>0</v>
      </c>
      <c r="BH259" s="92">
        <f t="shared" si="205"/>
        <v>-1</v>
      </c>
      <c r="BI259" s="22"/>
      <c r="BJ259" s="22"/>
      <c r="BK259" s="22"/>
      <c r="BL259" s="22">
        <v>6631</v>
      </c>
      <c r="BM259" s="96">
        <f t="shared" si="206"/>
        <v>0</v>
      </c>
      <c r="BN259" s="22"/>
    </row>
    <row r="260" spans="1:66">
      <c r="A260" s="80" t="s">
        <v>33</v>
      </c>
      <c r="B260" s="80" t="s">
        <v>33</v>
      </c>
      <c r="C260" s="84" t="s">
        <v>380</v>
      </c>
      <c r="D260" s="33" t="s">
        <v>61</v>
      </c>
      <c r="E260" s="33" t="s">
        <v>61</v>
      </c>
      <c r="F260" s="33" t="s">
        <v>351</v>
      </c>
      <c r="G260" s="33" t="s">
        <v>351</v>
      </c>
      <c r="H260" s="33" t="s">
        <v>352</v>
      </c>
      <c r="I260" s="33"/>
      <c r="J260" s="91">
        <v>5230</v>
      </c>
      <c r="K260" s="91"/>
      <c r="L260" s="92">
        <f t="shared" si="181"/>
        <v>-1</v>
      </c>
      <c r="M260" s="91"/>
      <c r="N260" s="91"/>
      <c r="O260" s="92" t="e">
        <f t="shared" si="182"/>
        <v>#DIV/0!</v>
      </c>
      <c r="P260" s="91">
        <f t="shared" si="183"/>
        <v>5230</v>
      </c>
      <c r="Q260" s="91">
        <f t="shared" si="183"/>
        <v>0</v>
      </c>
      <c r="R260" s="92">
        <f t="shared" si="184"/>
        <v>-1</v>
      </c>
      <c r="S260" s="38">
        <v>2243</v>
      </c>
      <c r="T260" s="38"/>
      <c r="U260" s="92">
        <f t="shared" si="185"/>
        <v>-1</v>
      </c>
      <c r="V260" s="38">
        <f t="shared" si="186"/>
        <v>7473</v>
      </c>
      <c r="W260" s="38">
        <f t="shared" si="186"/>
        <v>0</v>
      </c>
      <c r="X260" s="92">
        <f t="shared" si="187"/>
        <v>-1</v>
      </c>
      <c r="Y260" s="38"/>
      <c r="Z260" s="38"/>
      <c r="AA260" s="92" t="e">
        <f t="shared" si="188"/>
        <v>#DIV/0!</v>
      </c>
      <c r="AB260" s="38">
        <f t="shared" si="189"/>
        <v>7473</v>
      </c>
      <c r="AC260" s="38">
        <f t="shared" si="189"/>
        <v>0</v>
      </c>
      <c r="AD260" s="92">
        <f t="shared" si="190"/>
        <v>-1</v>
      </c>
      <c r="AE260" s="22"/>
      <c r="AF260" s="22"/>
      <c r="AG260" s="92" t="e">
        <f t="shared" si="191"/>
        <v>#DIV/0!</v>
      </c>
      <c r="AH260" s="22">
        <f t="shared" si="192"/>
        <v>7473</v>
      </c>
      <c r="AI260" s="22">
        <f t="shared" si="192"/>
        <v>0</v>
      </c>
      <c r="AJ260" s="92">
        <f t="shared" si="193"/>
        <v>-1</v>
      </c>
      <c r="AK260" s="22"/>
      <c r="AL260" s="22"/>
      <c r="AM260" s="92" t="e">
        <f t="shared" si="194"/>
        <v>#DIV/0!</v>
      </c>
      <c r="AN260" s="22">
        <f t="shared" si="195"/>
        <v>7473</v>
      </c>
      <c r="AO260" s="22">
        <f t="shared" si="195"/>
        <v>0</v>
      </c>
      <c r="AP260" s="92">
        <f t="shared" si="196"/>
        <v>-1</v>
      </c>
      <c r="AQ260" s="22"/>
      <c r="AR260" s="22"/>
      <c r="AS260" s="92" t="e">
        <f t="shared" si="197"/>
        <v>#DIV/0!</v>
      </c>
      <c r="AT260" s="22">
        <f t="shared" si="198"/>
        <v>7473</v>
      </c>
      <c r="AU260" s="22">
        <f t="shared" si="198"/>
        <v>0</v>
      </c>
      <c r="AV260" s="92">
        <f t="shared" si="199"/>
        <v>-1</v>
      </c>
      <c r="AW260" s="38"/>
      <c r="AX260" s="38"/>
      <c r="AY260" s="92" t="e">
        <f t="shared" si="200"/>
        <v>#DIV/0!</v>
      </c>
      <c r="AZ260" s="38">
        <f t="shared" si="201"/>
        <v>7473</v>
      </c>
      <c r="BA260" s="38">
        <f t="shared" si="201"/>
        <v>0</v>
      </c>
      <c r="BB260" s="92">
        <f t="shared" si="202"/>
        <v>-1</v>
      </c>
      <c r="BC260" s="38"/>
      <c r="BD260" s="38"/>
      <c r="BE260" s="92" t="e">
        <f t="shared" si="203"/>
        <v>#DIV/0!</v>
      </c>
      <c r="BF260" s="38">
        <f t="shared" si="204"/>
        <v>7473</v>
      </c>
      <c r="BG260" s="38">
        <f t="shared" si="204"/>
        <v>0</v>
      </c>
      <c r="BH260" s="92">
        <f t="shared" si="205"/>
        <v>-1</v>
      </c>
      <c r="BI260" s="22"/>
      <c r="BJ260" s="22"/>
      <c r="BK260" s="22"/>
      <c r="BL260" s="22">
        <v>7473</v>
      </c>
      <c r="BM260" s="96" t="e">
        <f t="shared" si="206"/>
        <v>#DIV/0!</v>
      </c>
      <c r="BN260" s="22"/>
    </row>
    <row r="261" spans="1:66">
      <c r="A261" s="80" t="s">
        <v>33</v>
      </c>
      <c r="B261" s="80" t="s">
        <v>33</v>
      </c>
      <c r="C261" s="84" t="s">
        <v>381</v>
      </c>
      <c r="D261" s="33" t="s">
        <v>61</v>
      </c>
      <c r="E261" s="33" t="s">
        <v>61</v>
      </c>
      <c r="F261" s="33" t="s">
        <v>359</v>
      </c>
      <c r="G261" s="33" t="s">
        <v>364</v>
      </c>
      <c r="H261" s="33" t="s">
        <v>360</v>
      </c>
      <c r="I261" s="33">
        <v>10</v>
      </c>
      <c r="J261" s="91"/>
      <c r="K261" s="91"/>
      <c r="L261" s="92" t="e">
        <f t="shared" si="181"/>
        <v>#DIV/0!</v>
      </c>
      <c r="M261" s="91">
        <v>2005</v>
      </c>
      <c r="N261" s="91">
        <v>9511</v>
      </c>
      <c r="O261" s="92">
        <f t="shared" si="182"/>
        <v>3.7436408977556113</v>
      </c>
      <c r="P261" s="91">
        <f t="shared" si="183"/>
        <v>2005</v>
      </c>
      <c r="Q261" s="91">
        <f t="shared" si="183"/>
        <v>9511</v>
      </c>
      <c r="R261" s="92">
        <f t="shared" si="184"/>
        <v>3.7436408977556113</v>
      </c>
      <c r="S261" s="38"/>
      <c r="T261" s="38">
        <v>16569</v>
      </c>
      <c r="U261" s="92" t="e">
        <f t="shared" si="185"/>
        <v>#DIV/0!</v>
      </c>
      <c r="V261" s="38">
        <f t="shared" si="186"/>
        <v>2005</v>
      </c>
      <c r="W261" s="38">
        <f t="shared" si="186"/>
        <v>26080</v>
      </c>
      <c r="X261" s="92">
        <f t="shared" si="187"/>
        <v>12.007481296758105</v>
      </c>
      <c r="Y261" s="38"/>
      <c r="Z261" s="38">
        <v>7898</v>
      </c>
      <c r="AA261" s="92" t="e">
        <f t="shared" si="188"/>
        <v>#DIV/0!</v>
      </c>
      <c r="AB261" s="38">
        <f t="shared" si="189"/>
        <v>2005</v>
      </c>
      <c r="AC261" s="38">
        <f t="shared" si="189"/>
        <v>33978</v>
      </c>
      <c r="AD261" s="92">
        <f t="shared" si="190"/>
        <v>15.946633416458852</v>
      </c>
      <c r="AE261" s="22">
        <v>1920</v>
      </c>
      <c r="AF261" s="22"/>
      <c r="AG261" s="92">
        <f t="shared" si="191"/>
        <v>-1</v>
      </c>
      <c r="AH261" s="22">
        <f t="shared" si="192"/>
        <v>3925</v>
      </c>
      <c r="AI261" s="22">
        <f t="shared" si="192"/>
        <v>33978</v>
      </c>
      <c r="AJ261" s="92">
        <f t="shared" si="193"/>
        <v>7.6568152866242034</v>
      </c>
      <c r="AK261" s="22"/>
      <c r="AL261" s="22">
        <v>2100</v>
      </c>
      <c r="AM261" s="92" t="e">
        <f t="shared" si="194"/>
        <v>#DIV/0!</v>
      </c>
      <c r="AN261" s="22">
        <f t="shared" si="195"/>
        <v>3925</v>
      </c>
      <c r="AO261" s="22">
        <f t="shared" si="195"/>
        <v>36078</v>
      </c>
      <c r="AP261" s="92">
        <f t="shared" si="196"/>
        <v>8.1918471337579621</v>
      </c>
      <c r="AQ261" s="22"/>
      <c r="AR261" s="22"/>
      <c r="AS261" s="92" t="e">
        <f t="shared" si="197"/>
        <v>#DIV/0!</v>
      </c>
      <c r="AT261" s="22">
        <f t="shared" si="198"/>
        <v>3925</v>
      </c>
      <c r="AU261" s="22">
        <f t="shared" si="198"/>
        <v>36078</v>
      </c>
      <c r="AV261" s="92">
        <f t="shared" si="199"/>
        <v>8.1918471337579621</v>
      </c>
      <c r="AW261" s="38">
        <v>2243</v>
      </c>
      <c r="AX261" s="38"/>
      <c r="AY261" s="92">
        <f t="shared" si="200"/>
        <v>-1</v>
      </c>
      <c r="AZ261" s="38">
        <f t="shared" si="201"/>
        <v>6168</v>
      </c>
      <c r="BA261" s="38">
        <f t="shared" si="201"/>
        <v>36078</v>
      </c>
      <c r="BB261" s="92">
        <f t="shared" si="202"/>
        <v>4.8492217898832681</v>
      </c>
      <c r="BC261" s="38">
        <v>12484</v>
      </c>
      <c r="BD261" s="38"/>
      <c r="BE261" s="92">
        <f t="shared" si="203"/>
        <v>-1</v>
      </c>
      <c r="BF261" s="38">
        <f t="shared" si="204"/>
        <v>18652</v>
      </c>
      <c r="BG261" s="38">
        <f t="shared" si="204"/>
        <v>36078</v>
      </c>
      <c r="BH261" s="92">
        <f t="shared" si="205"/>
        <v>0.93426978340124389</v>
      </c>
      <c r="BI261" s="22">
        <v>17258</v>
      </c>
      <c r="BJ261" s="22">
        <v>5873</v>
      </c>
      <c r="BK261" s="22">
        <v>13571</v>
      </c>
      <c r="BL261" s="22">
        <v>55354</v>
      </c>
      <c r="BM261" s="96">
        <f t="shared" si="206"/>
        <v>0.36077999999999999</v>
      </c>
      <c r="BN261" s="22"/>
    </row>
    <row r="262" spans="1:66">
      <c r="A262" s="80" t="s">
        <v>33</v>
      </c>
      <c r="B262" s="80" t="s">
        <v>33</v>
      </c>
      <c r="C262" s="84" t="s">
        <v>382</v>
      </c>
      <c r="D262" s="33" t="s">
        <v>61</v>
      </c>
      <c r="E262" s="33" t="s">
        <v>61</v>
      </c>
      <c r="F262" s="33" t="s">
        <v>351</v>
      </c>
      <c r="G262" s="33" t="s">
        <v>351</v>
      </c>
      <c r="H262" s="33" t="s">
        <v>352</v>
      </c>
      <c r="I262" s="33">
        <v>10</v>
      </c>
      <c r="J262" s="91"/>
      <c r="K262" s="91"/>
      <c r="L262" s="92" t="e">
        <f t="shared" si="181"/>
        <v>#DIV/0!</v>
      </c>
      <c r="M262" s="91"/>
      <c r="N262" s="91"/>
      <c r="O262" s="92" t="e">
        <f t="shared" si="182"/>
        <v>#DIV/0!</v>
      </c>
      <c r="P262" s="91">
        <f t="shared" si="183"/>
        <v>0</v>
      </c>
      <c r="Q262" s="91">
        <f t="shared" si="183"/>
        <v>0</v>
      </c>
      <c r="R262" s="92" t="e">
        <f t="shared" si="184"/>
        <v>#DIV/0!</v>
      </c>
      <c r="S262" s="38">
        <v>3823</v>
      </c>
      <c r="T262" s="38"/>
      <c r="U262" s="92">
        <f t="shared" si="185"/>
        <v>-1</v>
      </c>
      <c r="V262" s="38">
        <f t="shared" si="186"/>
        <v>3823</v>
      </c>
      <c r="W262" s="38">
        <f t="shared" si="186"/>
        <v>0</v>
      </c>
      <c r="X262" s="92">
        <f t="shared" si="187"/>
        <v>-1</v>
      </c>
      <c r="Y262" s="38"/>
      <c r="Z262" s="38">
        <v>21250</v>
      </c>
      <c r="AA262" s="92" t="e">
        <f t="shared" si="188"/>
        <v>#DIV/0!</v>
      </c>
      <c r="AB262" s="38">
        <f t="shared" si="189"/>
        <v>3823</v>
      </c>
      <c r="AC262" s="38">
        <f t="shared" si="189"/>
        <v>21250</v>
      </c>
      <c r="AD262" s="92">
        <f t="shared" si="190"/>
        <v>4.558461940884122</v>
      </c>
      <c r="AE262" s="22">
        <v>2182</v>
      </c>
      <c r="AF262" s="22">
        <v>2182</v>
      </c>
      <c r="AG262" s="92">
        <f t="shared" si="191"/>
        <v>0</v>
      </c>
      <c r="AH262" s="22">
        <f t="shared" si="192"/>
        <v>6005</v>
      </c>
      <c r="AI262" s="22">
        <f t="shared" si="192"/>
        <v>23432</v>
      </c>
      <c r="AJ262" s="92">
        <f t="shared" si="193"/>
        <v>2.902081598667777</v>
      </c>
      <c r="AK262" s="22"/>
      <c r="AL262" s="22"/>
      <c r="AM262" s="92" t="e">
        <f t="shared" si="194"/>
        <v>#DIV/0!</v>
      </c>
      <c r="AN262" s="22">
        <f t="shared" si="195"/>
        <v>6005</v>
      </c>
      <c r="AO262" s="22">
        <f t="shared" si="195"/>
        <v>23432</v>
      </c>
      <c r="AP262" s="92">
        <f t="shared" si="196"/>
        <v>2.902081598667777</v>
      </c>
      <c r="AQ262" s="22"/>
      <c r="AR262" s="22"/>
      <c r="AS262" s="92" t="e">
        <f t="shared" si="197"/>
        <v>#DIV/0!</v>
      </c>
      <c r="AT262" s="22">
        <f t="shared" si="198"/>
        <v>6005</v>
      </c>
      <c r="AU262" s="22">
        <f t="shared" si="198"/>
        <v>23432</v>
      </c>
      <c r="AV262" s="92">
        <f t="shared" si="199"/>
        <v>2.902081598667777</v>
      </c>
      <c r="AW262" s="38">
        <v>2182</v>
      </c>
      <c r="AX262" s="38"/>
      <c r="AY262" s="92">
        <f t="shared" si="200"/>
        <v>-1</v>
      </c>
      <c r="AZ262" s="38">
        <f t="shared" si="201"/>
        <v>8187</v>
      </c>
      <c r="BA262" s="38">
        <f t="shared" si="201"/>
        <v>23432</v>
      </c>
      <c r="BB262" s="92">
        <f t="shared" si="202"/>
        <v>1.8620984487602295</v>
      </c>
      <c r="BC262" s="38"/>
      <c r="BD262" s="38"/>
      <c r="BE262" s="92" t="e">
        <f t="shared" si="203"/>
        <v>#DIV/0!</v>
      </c>
      <c r="BF262" s="38">
        <f t="shared" si="204"/>
        <v>8187</v>
      </c>
      <c r="BG262" s="38">
        <f t="shared" si="204"/>
        <v>23432</v>
      </c>
      <c r="BH262" s="92">
        <f t="shared" si="205"/>
        <v>1.8620984487602295</v>
      </c>
      <c r="BI262" s="22">
        <v>4281</v>
      </c>
      <c r="BJ262" s="22">
        <v>6366</v>
      </c>
      <c r="BK262" s="22">
        <v>19278</v>
      </c>
      <c r="BL262" s="22">
        <v>38112</v>
      </c>
      <c r="BM262" s="96">
        <f t="shared" si="206"/>
        <v>0.23432</v>
      </c>
      <c r="BN262" s="22"/>
    </row>
    <row r="263" spans="1:66">
      <c r="A263" s="80" t="s">
        <v>33</v>
      </c>
      <c r="B263" s="80" t="s">
        <v>33</v>
      </c>
      <c r="C263" s="84" t="s">
        <v>383</v>
      </c>
      <c r="D263" s="33" t="s">
        <v>61</v>
      </c>
      <c r="E263" s="33" t="s">
        <v>61</v>
      </c>
      <c r="F263" s="33" t="s">
        <v>351</v>
      </c>
      <c r="G263" s="33" t="s">
        <v>351</v>
      </c>
      <c r="H263" s="33" t="s">
        <v>352</v>
      </c>
      <c r="I263" s="33"/>
      <c r="J263" s="91">
        <v>2339</v>
      </c>
      <c r="K263" s="91"/>
      <c r="L263" s="92">
        <f t="shared" si="181"/>
        <v>-1</v>
      </c>
      <c r="M263" s="91"/>
      <c r="N263" s="91"/>
      <c r="O263" s="92" t="e">
        <f t="shared" si="182"/>
        <v>#DIV/0!</v>
      </c>
      <c r="P263" s="91">
        <f t="shared" si="183"/>
        <v>2339</v>
      </c>
      <c r="Q263" s="91">
        <f t="shared" si="183"/>
        <v>0</v>
      </c>
      <c r="R263" s="92">
        <f t="shared" si="184"/>
        <v>-1</v>
      </c>
      <c r="S263" s="38"/>
      <c r="T263" s="38"/>
      <c r="U263" s="92" t="e">
        <f t="shared" si="185"/>
        <v>#DIV/0!</v>
      </c>
      <c r="V263" s="38">
        <f t="shared" si="186"/>
        <v>2339</v>
      </c>
      <c r="W263" s="38">
        <f t="shared" si="186"/>
        <v>0</v>
      </c>
      <c r="X263" s="92">
        <f t="shared" si="187"/>
        <v>-1</v>
      </c>
      <c r="Y263" s="38"/>
      <c r="Z263" s="38"/>
      <c r="AA263" s="92" t="e">
        <f t="shared" si="188"/>
        <v>#DIV/0!</v>
      </c>
      <c r="AB263" s="38">
        <f t="shared" si="189"/>
        <v>2339</v>
      </c>
      <c r="AC263" s="38">
        <f t="shared" si="189"/>
        <v>0</v>
      </c>
      <c r="AD263" s="92">
        <f t="shared" si="190"/>
        <v>-1</v>
      </c>
      <c r="AE263" s="22"/>
      <c r="AF263" s="22"/>
      <c r="AG263" s="92" t="e">
        <f t="shared" si="191"/>
        <v>#DIV/0!</v>
      </c>
      <c r="AH263" s="22">
        <f t="shared" si="192"/>
        <v>2339</v>
      </c>
      <c r="AI263" s="22">
        <f t="shared" si="192"/>
        <v>0</v>
      </c>
      <c r="AJ263" s="92">
        <f t="shared" si="193"/>
        <v>-1</v>
      </c>
      <c r="AK263" s="22"/>
      <c r="AL263" s="22"/>
      <c r="AM263" s="92" t="e">
        <f t="shared" si="194"/>
        <v>#DIV/0!</v>
      </c>
      <c r="AN263" s="22">
        <f t="shared" si="195"/>
        <v>2339</v>
      </c>
      <c r="AO263" s="22">
        <f t="shared" si="195"/>
        <v>0</v>
      </c>
      <c r="AP263" s="92">
        <f t="shared" si="196"/>
        <v>-1</v>
      </c>
      <c r="AQ263" s="22"/>
      <c r="AR263" s="22"/>
      <c r="AS263" s="92" t="e">
        <f t="shared" si="197"/>
        <v>#DIV/0!</v>
      </c>
      <c r="AT263" s="22">
        <f t="shared" si="198"/>
        <v>2339</v>
      </c>
      <c r="AU263" s="22">
        <f t="shared" si="198"/>
        <v>0</v>
      </c>
      <c r="AV263" s="92">
        <f t="shared" si="199"/>
        <v>-1</v>
      </c>
      <c r="AW263" s="38"/>
      <c r="AX263" s="38"/>
      <c r="AY263" s="92" t="e">
        <f t="shared" si="200"/>
        <v>#DIV/0!</v>
      </c>
      <c r="AZ263" s="38">
        <f t="shared" si="201"/>
        <v>2339</v>
      </c>
      <c r="BA263" s="38">
        <f t="shared" si="201"/>
        <v>0</v>
      </c>
      <c r="BB263" s="92">
        <f t="shared" si="202"/>
        <v>-1</v>
      </c>
      <c r="BC263" s="38"/>
      <c r="BD263" s="38"/>
      <c r="BE263" s="92" t="e">
        <f t="shared" si="203"/>
        <v>#DIV/0!</v>
      </c>
      <c r="BF263" s="38">
        <f t="shared" si="204"/>
        <v>2339</v>
      </c>
      <c r="BG263" s="38">
        <f t="shared" si="204"/>
        <v>0</v>
      </c>
      <c r="BH263" s="92">
        <f t="shared" si="205"/>
        <v>-1</v>
      </c>
      <c r="BI263" s="22"/>
      <c r="BJ263" s="22"/>
      <c r="BK263" s="22"/>
      <c r="BL263" s="22">
        <v>2339</v>
      </c>
      <c r="BM263" s="96" t="e">
        <f t="shared" si="206"/>
        <v>#DIV/0!</v>
      </c>
      <c r="BN263" s="22"/>
    </row>
    <row r="264" spans="1:66">
      <c r="A264" s="80" t="s">
        <v>33</v>
      </c>
      <c r="B264" s="80" t="s">
        <v>33</v>
      </c>
      <c r="C264" s="84" t="s">
        <v>384</v>
      </c>
      <c r="D264" s="33" t="s">
        <v>61</v>
      </c>
      <c r="E264" s="33" t="s">
        <v>61</v>
      </c>
      <c r="F264" s="33" t="s">
        <v>351</v>
      </c>
      <c r="G264" s="33" t="s">
        <v>351</v>
      </c>
      <c r="H264" s="33" t="s">
        <v>352</v>
      </c>
      <c r="I264" s="33">
        <v>10</v>
      </c>
      <c r="J264" s="91">
        <v>31268</v>
      </c>
      <c r="K264" s="91">
        <v>2138</v>
      </c>
      <c r="L264" s="92">
        <f t="shared" si="181"/>
        <v>-0.93162338493028019</v>
      </c>
      <c r="M264" s="91">
        <v>6215</v>
      </c>
      <c r="N264" s="91"/>
      <c r="O264" s="92">
        <f t="shared" si="182"/>
        <v>-1</v>
      </c>
      <c r="P264" s="91">
        <f t="shared" si="183"/>
        <v>37483</v>
      </c>
      <c r="Q264" s="91">
        <f t="shared" si="183"/>
        <v>2138</v>
      </c>
      <c r="R264" s="92">
        <f t="shared" si="184"/>
        <v>-0.94296080890003464</v>
      </c>
      <c r="S264" s="38">
        <v>5572</v>
      </c>
      <c r="T264" s="38">
        <v>4512</v>
      </c>
      <c r="U264" s="92">
        <f t="shared" si="185"/>
        <v>-0.19023689877961236</v>
      </c>
      <c r="V264" s="38">
        <f t="shared" si="186"/>
        <v>43055</v>
      </c>
      <c r="W264" s="38">
        <f t="shared" si="186"/>
        <v>6650</v>
      </c>
      <c r="X264" s="92">
        <f t="shared" si="187"/>
        <v>-0.84554639414702126</v>
      </c>
      <c r="Y264" s="38">
        <v>11237</v>
      </c>
      <c r="Z264" s="38">
        <v>2065</v>
      </c>
      <c r="AA264" s="92">
        <f t="shared" si="188"/>
        <v>-0.8162320904155913</v>
      </c>
      <c r="AB264" s="38">
        <f t="shared" si="189"/>
        <v>54292</v>
      </c>
      <c r="AC264" s="38">
        <f t="shared" si="189"/>
        <v>8715</v>
      </c>
      <c r="AD264" s="92">
        <f t="shared" si="190"/>
        <v>-0.83947911294481692</v>
      </c>
      <c r="AE264" s="22">
        <v>40792</v>
      </c>
      <c r="AF264" s="22"/>
      <c r="AG264" s="92">
        <f t="shared" si="191"/>
        <v>-1</v>
      </c>
      <c r="AH264" s="22">
        <f t="shared" si="192"/>
        <v>95084</v>
      </c>
      <c r="AI264" s="22">
        <f t="shared" si="192"/>
        <v>8715</v>
      </c>
      <c r="AJ264" s="92">
        <f t="shared" si="193"/>
        <v>-0.9083442009170839</v>
      </c>
      <c r="AK264" s="22">
        <v>6542</v>
      </c>
      <c r="AL264" s="22">
        <v>6546</v>
      </c>
      <c r="AM264" s="92">
        <f t="shared" si="194"/>
        <v>6.1143381228978555E-4</v>
      </c>
      <c r="AN264" s="22">
        <f t="shared" si="195"/>
        <v>101626</v>
      </c>
      <c r="AO264" s="22">
        <f t="shared" si="195"/>
        <v>15261</v>
      </c>
      <c r="AP264" s="92">
        <f t="shared" si="196"/>
        <v>-0.84983173597307782</v>
      </c>
      <c r="AQ264" s="22">
        <v>8521</v>
      </c>
      <c r="AR264" s="22">
        <v>6500</v>
      </c>
      <c r="AS264" s="92">
        <f t="shared" si="197"/>
        <v>-0.23717873489027108</v>
      </c>
      <c r="AT264" s="22">
        <f t="shared" si="198"/>
        <v>110147</v>
      </c>
      <c r="AU264" s="22">
        <f t="shared" si="198"/>
        <v>21761</v>
      </c>
      <c r="AV264" s="92">
        <f t="shared" si="199"/>
        <v>-0.80243674362442918</v>
      </c>
      <c r="AW264" s="38">
        <v>15667</v>
      </c>
      <c r="AX264" s="38"/>
      <c r="AY264" s="92">
        <f t="shared" si="200"/>
        <v>-1</v>
      </c>
      <c r="AZ264" s="38">
        <f t="shared" si="201"/>
        <v>125814</v>
      </c>
      <c r="BA264" s="38">
        <f t="shared" si="201"/>
        <v>21761</v>
      </c>
      <c r="BB264" s="92">
        <f t="shared" si="202"/>
        <v>-0.82703832641836361</v>
      </c>
      <c r="BC264" s="38">
        <v>11486</v>
      </c>
      <c r="BD264" s="38"/>
      <c r="BE264" s="92">
        <f t="shared" si="203"/>
        <v>-1</v>
      </c>
      <c r="BF264" s="38">
        <f t="shared" si="204"/>
        <v>137300</v>
      </c>
      <c r="BG264" s="38">
        <f t="shared" si="204"/>
        <v>21761</v>
      </c>
      <c r="BH264" s="92">
        <f t="shared" si="205"/>
        <v>-0.84150764748725415</v>
      </c>
      <c r="BI264" s="22">
        <v>2138</v>
      </c>
      <c r="BJ264" s="22">
        <v>17886</v>
      </c>
      <c r="BK264" s="22">
        <v>2182</v>
      </c>
      <c r="BL264" s="22">
        <v>159506</v>
      </c>
      <c r="BM264" s="96">
        <f t="shared" si="206"/>
        <v>0.21761</v>
      </c>
      <c r="BN264" s="22"/>
    </row>
    <row r="265" spans="1:66">
      <c r="A265" s="80" t="s">
        <v>33</v>
      </c>
      <c r="B265" s="80" t="s">
        <v>33</v>
      </c>
      <c r="C265" s="84" t="s">
        <v>385</v>
      </c>
      <c r="D265" s="33" t="s">
        <v>61</v>
      </c>
      <c r="E265" s="33" t="s">
        <v>61</v>
      </c>
      <c r="F265" s="33" t="s">
        <v>359</v>
      </c>
      <c r="G265" s="33" t="s">
        <v>364</v>
      </c>
      <c r="H265" s="33" t="s">
        <v>360</v>
      </c>
      <c r="I265" s="33"/>
      <c r="J265" s="91">
        <v>18500</v>
      </c>
      <c r="K265" s="91"/>
      <c r="L265" s="92">
        <f t="shared" si="181"/>
        <v>-1</v>
      </c>
      <c r="M265" s="91"/>
      <c r="N265" s="91"/>
      <c r="O265" s="92" t="e">
        <f t="shared" si="182"/>
        <v>#DIV/0!</v>
      </c>
      <c r="P265" s="91">
        <f t="shared" si="183"/>
        <v>18500</v>
      </c>
      <c r="Q265" s="91">
        <f t="shared" si="183"/>
        <v>0</v>
      </c>
      <c r="R265" s="92">
        <f t="shared" si="184"/>
        <v>-1</v>
      </c>
      <c r="S265" s="38"/>
      <c r="T265" s="38"/>
      <c r="U265" s="92" t="e">
        <f t="shared" si="185"/>
        <v>#DIV/0!</v>
      </c>
      <c r="V265" s="38">
        <f t="shared" si="186"/>
        <v>18500</v>
      </c>
      <c r="W265" s="38">
        <f t="shared" si="186"/>
        <v>0</v>
      </c>
      <c r="X265" s="92">
        <f t="shared" si="187"/>
        <v>-1</v>
      </c>
      <c r="Y265" s="38"/>
      <c r="Z265" s="38"/>
      <c r="AA265" s="92" t="e">
        <f t="shared" si="188"/>
        <v>#DIV/0!</v>
      </c>
      <c r="AB265" s="38">
        <f t="shared" si="189"/>
        <v>18500</v>
      </c>
      <c r="AC265" s="38">
        <f t="shared" si="189"/>
        <v>0</v>
      </c>
      <c r="AD265" s="92">
        <f t="shared" si="190"/>
        <v>-1</v>
      </c>
      <c r="AE265" s="22"/>
      <c r="AF265" s="22"/>
      <c r="AG265" s="92" t="e">
        <f t="shared" si="191"/>
        <v>#DIV/0!</v>
      </c>
      <c r="AH265" s="22">
        <f t="shared" si="192"/>
        <v>18500</v>
      </c>
      <c r="AI265" s="22">
        <f t="shared" si="192"/>
        <v>0</v>
      </c>
      <c r="AJ265" s="92">
        <f t="shared" si="193"/>
        <v>-1</v>
      </c>
      <c r="AK265" s="22"/>
      <c r="AL265" s="22"/>
      <c r="AM265" s="92" t="e">
        <f t="shared" si="194"/>
        <v>#DIV/0!</v>
      </c>
      <c r="AN265" s="22">
        <f t="shared" si="195"/>
        <v>18500</v>
      </c>
      <c r="AO265" s="22">
        <f t="shared" si="195"/>
        <v>0</v>
      </c>
      <c r="AP265" s="92">
        <f t="shared" si="196"/>
        <v>-1</v>
      </c>
      <c r="AQ265" s="22"/>
      <c r="AR265" s="22"/>
      <c r="AS265" s="92" t="e">
        <f t="shared" si="197"/>
        <v>#DIV/0!</v>
      </c>
      <c r="AT265" s="22">
        <f t="shared" si="198"/>
        <v>18500</v>
      </c>
      <c r="AU265" s="22">
        <f t="shared" si="198"/>
        <v>0</v>
      </c>
      <c r="AV265" s="92">
        <f t="shared" si="199"/>
        <v>-1</v>
      </c>
      <c r="AW265" s="38"/>
      <c r="AX265" s="38"/>
      <c r="AY265" s="92" t="e">
        <f t="shared" si="200"/>
        <v>#DIV/0!</v>
      </c>
      <c r="AZ265" s="38">
        <f t="shared" si="201"/>
        <v>18500</v>
      </c>
      <c r="BA265" s="38">
        <f t="shared" si="201"/>
        <v>0</v>
      </c>
      <c r="BB265" s="92">
        <f t="shared" si="202"/>
        <v>-1</v>
      </c>
      <c r="BC265" s="38"/>
      <c r="BD265" s="38"/>
      <c r="BE265" s="92" t="e">
        <f t="shared" si="203"/>
        <v>#DIV/0!</v>
      </c>
      <c r="BF265" s="38">
        <f t="shared" si="204"/>
        <v>18500</v>
      </c>
      <c r="BG265" s="38">
        <f t="shared" si="204"/>
        <v>0</v>
      </c>
      <c r="BH265" s="92">
        <f t="shared" si="205"/>
        <v>-1</v>
      </c>
      <c r="BI265" s="22"/>
      <c r="BJ265" s="22"/>
      <c r="BK265" s="22"/>
      <c r="BL265" s="22">
        <v>18500</v>
      </c>
      <c r="BM265" s="96" t="e">
        <f t="shared" si="206"/>
        <v>#DIV/0!</v>
      </c>
      <c r="BN265" s="22"/>
    </row>
    <row r="266" spans="1:66">
      <c r="A266" s="80" t="s">
        <v>33</v>
      </c>
      <c r="B266" s="80" t="s">
        <v>33</v>
      </c>
      <c r="C266" s="84" t="s">
        <v>386</v>
      </c>
      <c r="D266" s="33" t="s">
        <v>61</v>
      </c>
      <c r="E266" s="33" t="s">
        <v>61</v>
      </c>
      <c r="F266" s="33" t="s">
        <v>356</v>
      </c>
      <c r="G266" s="33" t="s">
        <v>356</v>
      </c>
      <c r="H266" s="33" t="s">
        <v>352</v>
      </c>
      <c r="I266" s="33"/>
      <c r="J266" s="91">
        <v>11800</v>
      </c>
      <c r="K266" s="91"/>
      <c r="L266" s="92">
        <f t="shared" si="181"/>
        <v>-1</v>
      </c>
      <c r="M266" s="91"/>
      <c r="N266" s="91"/>
      <c r="O266" s="92" t="e">
        <f t="shared" si="182"/>
        <v>#DIV/0!</v>
      </c>
      <c r="P266" s="91">
        <f t="shared" si="183"/>
        <v>11800</v>
      </c>
      <c r="Q266" s="91">
        <f t="shared" si="183"/>
        <v>0</v>
      </c>
      <c r="R266" s="92">
        <f t="shared" si="184"/>
        <v>-1</v>
      </c>
      <c r="S266" s="38"/>
      <c r="T266" s="38"/>
      <c r="U266" s="92" t="e">
        <f t="shared" si="185"/>
        <v>#DIV/0!</v>
      </c>
      <c r="V266" s="38">
        <f t="shared" si="186"/>
        <v>11800</v>
      </c>
      <c r="W266" s="38">
        <f t="shared" si="186"/>
        <v>0</v>
      </c>
      <c r="X266" s="92">
        <f t="shared" si="187"/>
        <v>-1</v>
      </c>
      <c r="Y266" s="38">
        <v>23000</v>
      </c>
      <c r="Z266" s="38"/>
      <c r="AA266" s="92">
        <f t="shared" si="188"/>
        <v>-1</v>
      </c>
      <c r="AB266" s="38">
        <f t="shared" si="189"/>
        <v>34800</v>
      </c>
      <c r="AC266" s="38">
        <f t="shared" si="189"/>
        <v>0</v>
      </c>
      <c r="AD266" s="92">
        <f t="shared" si="190"/>
        <v>-1</v>
      </c>
      <c r="AE266" s="22"/>
      <c r="AF266" s="22"/>
      <c r="AG266" s="92" t="e">
        <f t="shared" si="191"/>
        <v>#DIV/0!</v>
      </c>
      <c r="AH266" s="22">
        <f t="shared" si="192"/>
        <v>34800</v>
      </c>
      <c r="AI266" s="22">
        <f t="shared" si="192"/>
        <v>0</v>
      </c>
      <c r="AJ266" s="92">
        <f t="shared" si="193"/>
        <v>-1</v>
      </c>
      <c r="AK266" s="22"/>
      <c r="AL266" s="22"/>
      <c r="AM266" s="92" t="e">
        <f t="shared" si="194"/>
        <v>#DIV/0!</v>
      </c>
      <c r="AN266" s="22">
        <f t="shared" si="195"/>
        <v>34800</v>
      </c>
      <c r="AO266" s="22">
        <f t="shared" si="195"/>
        <v>0</v>
      </c>
      <c r="AP266" s="92">
        <f t="shared" si="196"/>
        <v>-1</v>
      </c>
      <c r="AQ266" s="22"/>
      <c r="AR266" s="22"/>
      <c r="AS266" s="92" t="e">
        <f t="shared" si="197"/>
        <v>#DIV/0!</v>
      </c>
      <c r="AT266" s="22">
        <f t="shared" si="198"/>
        <v>34800</v>
      </c>
      <c r="AU266" s="22">
        <f t="shared" si="198"/>
        <v>0</v>
      </c>
      <c r="AV266" s="92">
        <f t="shared" si="199"/>
        <v>-1</v>
      </c>
      <c r="AW266" s="38"/>
      <c r="AX266" s="38"/>
      <c r="AY266" s="92" t="e">
        <f t="shared" si="200"/>
        <v>#DIV/0!</v>
      </c>
      <c r="AZ266" s="38">
        <f t="shared" si="201"/>
        <v>34800</v>
      </c>
      <c r="BA266" s="38">
        <f t="shared" si="201"/>
        <v>0</v>
      </c>
      <c r="BB266" s="92">
        <f t="shared" si="202"/>
        <v>-1</v>
      </c>
      <c r="BC266" s="38"/>
      <c r="BD266" s="38"/>
      <c r="BE266" s="92" t="e">
        <f t="shared" si="203"/>
        <v>#DIV/0!</v>
      </c>
      <c r="BF266" s="38">
        <f t="shared" si="204"/>
        <v>34800</v>
      </c>
      <c r="BG266" s="38">
        <f t="shared" si="204"/>
        <v>0</v>
      </c>
      <c r="BH266" s="92">
        <f t="shared" si="205"/>
        <v>-1</v>
      </c>
      <c r="BI266" s="22"/>
      <c r="BJ266" s="22"/>
      <c r="BK266" s="22"/>
      <c r="BL266" s="22">
        <v>34800</v>
      </c>
      <c r="BM266" s="96" t="e">
        <f t="shared" si="206"/>
        <v>#DIV/0!</v>
      </c>
      <c r="BN266" s="22"/>
    </row>
    <row r="267" spans="1:66">
      <c r="A267" s="80" t="s">
        <v>33</v>
      </c>
      <c r="B267" s="80" t="s">
        <v>33</v>
      </c>
      <c r="C267" s="84" t="s">
        <v>387</v>
      </c>
      <c r="D267" s="33" t="s">
        <v>61</v>
      </c>
      <c r="E267" s="33" t="s">
        <v>61</v>
      </c>
      <c r="F267" s="33" t="s">
        <v>366</v>
      </c>
      <c r="G267" s="33" t="s">
        <v>366</v>
      </c>
      <c r="H267" s="33" t="s">
        <v>360</v>
      </c>
      <c r="I267" s="33">
        <v>15</v>
      </c>
      <c r="J267" s="91"/>
      <c r="K267" s="91">
        <v>12466</v>
      </c>
      <c r="L267" s="92" t="e">
        <f t="shared" si="181"/>
        <v>#DIV/0!</v>
      </c>
      <c r="M267" s="91">
        <v>1222.6199999999999</v>
      </c>
      <c r="N267" s="91">
        <v>6725</v>
      </c>
      <c r="O267" s="92">
        <f t="shared" si="182"/>
        <v>4.5004825702180566</v>
      </c>
      <c r="P267" s="91">
        <f t="shared" si="183"/>
        <v>1222.6199999999999</v>
      </c>
      <c r="Q267" s="91">
        <f t="shared" si="183"/>
        <v>19191</v>
      </c>
      <c r="R267" s="92">
        <f t="shared" si="184"/>
        <v>14.696618736811113</v>
      </c>
      <c r="S267" s="38"/>
      <c r="T267" s="38">
        <v>11207</v>
      </c>
      <c r="U267" s="92" t="e">
        <f t="shared" si="185"/>
        <v>#DIV/0!</v>
      </c>
      <c r="V267" s="38">
        <f t="shared" si="186"/>
        <v>1222.6199999999999</v>
      </c>
      <c r="W267" s="38">
        <f t="shared" si="186"/>
        <v>30398</v>
      </c>
      <c r="X267" s="92">
        <f t="shared" si="187"/>
        <v>23.862999133009442</v>
      </c>
      <c r="Y267" s="38">
        <v>2399</v>
      </c>
      <c r="Z267" s="38"/>
      <c r="AA267" s="92">
        <f t="shared" si="188"/>
        <v>-1</v>
      </c>
      <c r="AB267" s="38">
        <f t="shared" si="189"/>
        <v>3621.62</v>
      </c>
      <c r="AC267" s="38">
        <f t="shared" si="189"/>
        <v>30398</v>
      </c>
      <c r="AD267" s="92">
        <f t="shared" si="190"/>
        <v>7.3934813702155395</v>
      </c>
      <c r="AE267" s="22">
        <v>28449</v>
      </c>
      <c r="AF267" s="22">
        <v>34843</v>
      </c>
      <c r="AG267" s="92">
        <f t="shared" si="191"/>
        <v>0.22475306689163066</v>
      </c>
      <c r="AH267" s="22">
        <f t="shared" si="192"/>
        <v>32070.62</v>
      </c>
      <c r="AI267" s="22">
        <f t="shared" si="192"/>
        <v>65241</v>
      </c>
      <c r="AJ267" s="92">
        <f t="shared" si="193"/>
        <v>1.0342918222348056</v>
      </c>
      <c r="AK267" s="22">
        <v>16290</v>
      </c>
      <c r="AL267" s="22"/>
      <c r="AM267" s="92">
        <f t="shared" si="194"/>
        <v>-1</v>
      </c>
      <c r="AN267" s="22">
        <f t="shared" si="195"/>
        <v>48360.619999999995</v>
      </c>
      <c r="AO267" s="22">
        <f t="shared" si="195"/>
        <v>65241</v>
      </c>
      <c r="AP267" s="92">
        <f t="shared" si="196"/>
        <v>0.34905218336737631</v>
      </c>
      <c r="AQ267" s="22">
        <v>1482</v>
      </c>
      <c r="AR267" s="22"/>
      <c r="AS267" s="92">
        <f t="shared" si="197"/>
        <v>-1</v>
      </c>
      <c r="AT267" s="22">
        <f t="shared" si="198"/>
        <v>49842.619999999995</v>
      </c>
      <c r="AU267" s="22">
        <f t="shared" si="198"/>
        <v>65241</v>
      </c>
      <c r="AV267" s="92">
        <f t="shared" si="199"/>
        <v>0.30894001960571105</v>
      </c>
      <c r="AW267" s="38">
        <v>5220</v>
      </c>
      <c r="AX267" s="38"/>
      <c r="AY267" s="92">
        <f t="shared" si="200"/>
        <v>-1</v>
      </c>
      <c r="AZ267" s="38">
        <f t="shared" si="201"/>
        <v>55062.619999999995</v>
      </c>
      <c r="BA267" s="38">
        <f t="shared" si="201"/>
        <v>65241</v>
      </c>
      <c r="BB267" s="92">
        <f t="shared" si="202"/>
        <v>0.18485099328727927</v>
      </c>
      <c r="BC267" s="38">
        <v>31778</v>
      </c>
      <c r="BD267" s="38"/>
      <c r="BE267" s="92">
        <f t="shared" si="203"/>
        <v>-1</v>
      </c>
      <c r="BF267" s="38">
        <f t="shared" si="204"/>
        <v>86840.62</v>
      </c>
      <c r="BG267" s="38">
        <f t="shared" si="204"/>
        <v>65241</v>
      </c>
      <c r="BH267" s="92">
        <f t="shared" si="205"/>
        <v>-0.24872715095769693</v>
      </c>
      <c r="BI267" s="22"/>
      <c r="BJ267" s="22"/>
      <c r="BK267" s="22"/>
      <c r="BL267" s="22">
        <v>86840.62</v>
      </c>
      <c r="BM267" s="96">
        <f t="shared" si="206"/>
        <v>0.43493999999999999</v>
      </c>
      <c r="BN267" s="22"/>
    </row>
    <row r="268" spans="1:66">
      <c r="A268" s="80" t="s">
        <v>33</v>
      </c>
      <c r="B268" s="80" t="s">
        <v>33</v>
      </c>
      <c r="C268" s="84" t="s">
        <v>388</v>
      </c>
      <c r="D268" s="33" t="s">
        <v>61</v>
      </c>
      <c r="E268" s="33" t="s">
        <v>61</v>
      </c>
      <c r="F268" s="33" t="s">
        <v>376</v>
      </c>
      <c r="G268" s="33" t="s">
        <v>376</v>
      </c>
      <c r="H268" s="33" t="s">
        <v>352</v>
      </c>
      <c r="I268" s="33">
        <v>0</v>
      </c>
      <c r="J268" s="91">
        <v>7491</v>
      </c>
      <c r="K268" s="91"/>
      <c r="L268" s="92">
        <f t="shared" si="181"/>
        <v>-1</v>
      </c>
      <c r="M268" s="91"/>
      <c r="N268" s="91"/>
      <c r="O268" s="92" t="e">
        <f t="shared" si="182"/>
        <v>#DIV/0!</v>
      </c>
      <c r="P268" s="91">
        <f t="shared" si="183"/>
        <v>7491</v>
      </c>
      <c r="Q268" s="91">
        <f t="shared" si="183"/>
        <v>0</v>
      </c>
      <c r="R268" s="92">
        <f t="shared" si="184"/>
        <v>-1</v>
      </c>
      <c r="S268" s="38"/>
      <c r="T268" s="38"/>
      <c r="U268" s="92" t="e">
        <f t="shared" si="185"/>
        <v>#DIV/0!</v>
      </c>
      <c r="V268" s="38">
        <f t="shared" si="186"/>
        <v>7491</v>
      </c>
      <c r="W268" s="38">
        <f t="shared" si="186"/>
        <v>0</v>
      </c>
      <c r="X268" s="92">
        <f t="shared" si="187"/>
        <v>-1</v>
      </c>
      <c r="Y268" s="38"/>
      <c r="Z268" s="38"/>
      <c r="AA268" s="92" t="e">
        <f t="shared" si="188"/>
        <v>#DIV/0!</v>
      </c>
      <c r="AB268" s="38">
        <f t="shared" si="189"/>
        <v>7491</v>
      </c>
      <c r="AC268" s="38">
        <f t="shared" si="189"/>
        <v>0</v>
      </c>
      <c r="AD268" s="92">
        <f t="shared" si="190"/>
        <v>-1</v>
      </c>
      <c r="AE268" s="22"/>
      <c r="AF268" s="22"/>
      <c r="AG268" s="92" t="e">
        <f t="shared" si="191"/>
        <v>#DIV/0!</v>
      </c>
      <c r="AH268" s="22">
        <f t="shared" si="192"/>
        <v>7491</v>
      </c>
      <c r="AI268" s="22">
        <f t="shared" si="192"/>
        <v>0</v>
      </c>
      <c r="AJ268" s="92">
        <f t="shared" si="193"/>
        <v>-1</v>
      </c>
      <c r="AK268" s="22"/>
      <c r="AL268" s="22"/>
      <c r="AM268" s="92" t="e">
        <f t="shared" si="194"/>
        <v>#DIV/0!</v>
      </c>
      <c r="AN268" s="22">
        <f t="shared" si="195"/>
        <v>7491</v>
      </c>
      <c r="AO268" s="22">
        <f t="shared" si="195"/>
        <v>0</v>
      </c>
      <c r="AP268" s="92">
        <f t="shared" si="196"/>
        <v>-1</v>
      </c>
      <c r="AQ268" s="22"/>
      <c r="AR268" s="22"/>
      <c r="AS268" s="92" t="e">
        <f t="shared" si="197"/>
        <v>#DIV/0!</v>
      </c>
      <c r="AT268" s="22">
        <f t="shared" si="198"/>
        <v>7491</v>
      </c>
      <c r="AU268" s="22">
        <f t="shared" si="198"/>
        <v>0</v>
      </c>
      <c r="AV268" s="92">
        <f t="shared" si="199"/>
        <v>-1</v>
      </c>
      <c r="AW268" s="38"/>
      <c r="AX268" s="38"/>
      <c r="AY268" s="92" t="e">
        <f t="shared" si="200"/>
        <v>#DIV/0!</v>
      </c>
      <c r="AZ268" s="38">
        <f t="shared" si="201"/>
        <v>7491</v>
      </c>
      <c r="BA268" s="38">
        <f t="shared" si="201"/>
        <v>0</v>
      </c>
      <c r="BB268" s="92">
        <f t="shared" si="202"/>
        <v>-1</v>
      </c>
      <c r="BC268" s="38"/>
      <c r="BD268" s="38"/>
      <c r="BE268" s="92" t="e">
        <f t="shared" si="203"/>
        <v>#DIV/0!</v>
      </c>
      <c r="BF268" s="38">
        <f t="shared" si="204"/>
        <v>7491</v>
      </c>
      <c r="BG268" s="38">
        <f t="shared" si="204"/>
        <v>0</v>
      </c>
      <c r="BH268" s="92">
        <f t="shared" si="205"/>
        <v>-1</v>
      </c>
      <c r="BI268" s="22"/>
      <c r="BJ268" s="22"/>
      <c r="BK268" s="22"/>
      <c r="BL268" s="22">
        <v>7491</v>
      </c>
      <c r="BM268" s="96" t="e">
        <f t="shared" si="206"/>
        <v>#DIV/0!</v>
      </c>
      <c r="BN268" s="22"/>
    </row>
    <row r="269" spans="1:66">
      <c r="A269" s="80" t="s">
        <v>33</v>
      </c>
      <c r="B269" s="80" t="s">
        <v>33</v>
      </c>
      <c r="C269" s="84" t="s">
        <v>389</v>
      </c>
      <c r="D269" s="85" t="s">
        <v>61</v>
      </c>
      <c r="E269" s="33" t="s">
        <v>61</v>
      </c>
      <c r="F269" s="33" t="s">
        <v>366</v>
      </c>
      <c r="G269" s="33" t="s">
        <v>366</v>
      </c>
      <c r="H269" s="33" t="s">
        <v>360</v>
      </c>
      <c r="I269" s="33"/>
      <c r="J269" s="91"/>
      <c r="K269" s="91"/>
      <c r="L269" s="92" t="e">
        <f t="shared" si="181"/>
        <v>#DIV/0!</v>
      </c>
      <c r="M269" s="91"/>
      <c r="N269" s="91"/>
      <c r="O269" s="92" t="e">
        <f t="shared" si="182"/>
        <v>#DIV/0!</v>
      </c>
      <c r="P269" s="91">
        <f t="shared" si="183"/>
        <v>0</v>
      </c>
      <c r="Q269" s="91">
        <f t="shared" si="183"/>
        <v>0</v>
      </c>
      <c r="R269" s="92" t="e">
        <f t="shared" si="184"/>
        <v>#DIV/0!</v>
      </c>
      <c r="S269" s="38"/>
      <c r="T269" s="38"/>
      <c r="U269" s="92" t="e">
        <f t="shared" si="185"/>
        <v>#DIV/0!</v>
      </c>
      <c r="V269" s="38">
        <f t="shared" si="186"/>
        <v>0</v>
      </c>
      <c r="W269" s="38">
        <f t="shared" si="186"/>
        <v>0</v>
      </c>
      <c r="X269" s="92" t="e">
        <f t="shared" si="187"/>
        <v>#DIV/0!</v>
      </c>
      <c r="Y269" s="38">
        <v>5280</v>
      </c>
      <c r="Z269" s="38"/>
      <c r="AA269" s="92">
        <f t="shared" si="188"/>
        <v>-1</v>
      </c>
      <c r="AB269" s="38">
        <f t="shared" si="189"/>
        <v>5280</v>
      </c>
      <c r="AC269" s="38">
        <f t="shared" si="189"/>
        <v>0</v>
      </c>
      <c r="AD269" s="92">
        <f t="shared" si="190"/>
        <v>-1</v>
      </c>
      <c r="AE269" s="22"/>
      <c r="AF269" s="22"/>
      <c r="AG269" s="92" t="e">
        <f t="shared" si="191"/>
        <v>#DIV/0!</v>
      </c>
      <c r="AH269" s="22">
        <f t="shared" si="192"/>
        <v>5280</v>
      </c>
      <c r="AI269" s="22">
        <f t="shared" si="192"/>
        <v>0</v>
      </c>
      <c r="AJ269" s="92">
        <f t="shared" si="193"/>
        <v>-1</v>
      </c>
      <c r="AK269" s="22"/>
      <c r="AL269" s="22"/>
      <c r="AM269" s="92" t="e">
        <f t="shared" si="194"/>
        <v>#DIV/0!</v>
      </c>
      <c r="AN269" s="22">
        <f t="shared" si="195"/>
        <v>5280</v>
      </c>
      <c r="AO269" s="22">
        <f t="shared" si="195"/>
        <v>0</v>
      </c>
      <c r="AP269" s="92">
        <f t="shared" si="196"/>
        <v>-1</v>
      </c>
      <c r="AQ269" s="22"/>
      <c r="AR269" s="22"/>
      <c r="AS269" s="92" t="e">
        <f t="shared" si="197"/>
        <v>#DIV/0!</v>
      </c>
      <c r="AT269" s="22">
        <f t="shared" si="198"/>
        <v>5280</v>
      </c>
      <c r="AU269" s="22">
        <f t="shared" si="198"/>
        <v>0</v>
      </c>
      <c r="AV269" s="92">
        <f t="shared" si="199"/>
        <v>-1</v>
      </c>
      <c r="AW269" s="38"/>
      <c r="AX269" s="38"/>
      <c r="AY269" s="92" t="e">
        <f t="shared" si="200"/>
        <v>#DIV/0!</v>
      </c>
      <c r="AZ269" s="38">
        <f t="shared" si="201"/>
        <v>5280</v>
      </c>
      <c r="BA269" s="38">
        <f t="shared" si="201"/>
        <v>0</v>
      </c>
      <c r="BB269" s="92">
        <f t="shared" si="202"/>
        <v>-1</v>
      </c>
      <c r="BC269" s="38"/>
      <c r="BD269" s="38"/>
      <c r="BE269" s="92" t="e">
        <f t="shared" si="203"/>
        <v>#DIV/0!</v>
      </c>
      <c r="BF269" s="38">
        <f t="shared" si="204"/>
        <v>5280</v>
      </c>
      <c r="BG269" s="38">
        <f t="shared" si="204"/>
        <v>0</v>
      </c>
      <c r="BH269" s="92">
        <f t="shared" si="205"/>
        <v>-1</v>
      </c>
      <c r="BI269" s="22"/>
      <c r="BJ269" s="22"/>
      <c r="BK269" s="22"/>
      <c r="BL269" s="22">
        <v>5280</v>
      </c>
      <c r="BM269" s="96" t="e">
        <f t="shared" si="206"/>
        <v>#DIV/0!</v>
      </c>
      <c r="BN269" s="22"/>
    </row>
    <row r="270" spans="1:66">
      <c r="A270" s="80" t="s">
        <v>33</v>
      </c>
      <c r="B270" s="80" t="s">
        <v>33</v>
      </c>
      <c r="C270" s="84" t="s">
        <v>390</v>
      </c>
      <c r="D270" s="85" t="s">
        <v>61</v>
      </c>
      <c r="E270" s="33" t="s">
        <v>61</v>
      </c>
      <c r="F270" s="33" t="s">
        <v>376</v>
      </c>
      <c r="G270" s="33" t="s">
        <v>376</v>
      </c>
      <c r="H270" s="33" t="s">
        <v>352</v>
      </c>
      <c r="I270" s="33"/>
      <c r="J270" s="91"/>
      <c r="K270" s="91"/>
      <c r="L270" s="92" t="e">
        <f t="shared" si="181"/>
        <v>#DIV/0!</v>
      </c>
      <c r="M270" s="91"/>
      <c r="N270" s="91"/>
      <c r="O270" s="92" t="e">
        <f t="shared" si="182"/>
        <v>#DIV/0!</v>
      </c>
      <c r="P270" s="91">
        <f t="shared" si="183"/>
        <v>0</v>
      </c>
      <c r="Q270" s="91">
        <f t="shared" si="183"/>
        <v>0</v>
      </c>
      <c r="R270" s="92" t="e">
        <f t="shared" si="184"/>
        <v>#DIV/0!</v>
      </c>
      <c r="S270" s="38">
        <v>6699</v>
      </c>
      <c r="T270" s="38"/>
      <c r="U270" s="92">
        <f t="shared" si="185"/>
        <v>-1</v>
      </c>
      <c r="V270" s="38">
        <f t="shared" si="186"/>
        <v>6699</v>
      </c>
      <c r="W270" s="38">
        <f t="shared" si="186"/>
        <v>0</v>
      </c>
      <c r="X270" s="92">
        <f t="shared" si="187"/>
        <v>-1</v>
      </c>
      <c r="Y270" s="38"/>
      <c r="Z270" s="38"/>
      <c r="AA270" s="92" t="e">
        <f t="shared" si="188"/>
        <v>#DIV/0!</v>
      </c>
      <c r="AB270" s="38">
        <f t="shared" si="189"/>
        <v>6699</v>
      </c>
      <c r="AC270" s="38">
        <f t="shared" si="189"/>
        <v>0</v>
      </c>
      <c r="AD270" s="92">
        <f t="shared" si="190"/>
        <v>-1</v>
      </c>
      <c r="AE270" s="22"/>
      <c r="AF270" s="22"/>
      <c r="AG270" s="92" t="e">
        <f t="shared" si="191"/>
        <v>#DIV/0!</v>
      </c>
      <c r="AH270" s="22">
        <f t="shared" si="192"/>
        <v>6699</v>
      </c>
      <c r="AI270" s="22">
        <f t="shared" si="192"/>
        <v>0</v>
      </c>
      <c r="AJ270" s="92">
        <f t="shared" si="193"/>
        <v>-1</v>
      </c>
      <c r="AK270" s="22"/>
      <c r="AL270" s="22"/>
      <c r="AM270" s="92" t="e">
        <f t="shared" si="194"/>
        <v>#DIV/0!</v>
      </c>
      <c r="AN270" s="22">
        <f t="shared" si="195"/>
        <v>6699</v>
      </c>
      <c r="AO270" s="22">
        <f t="shared" si="195"/>
        <v>0</v>
      </c>
      <c r="AP270" s="92">
        <f t="shared" si="196"/>
        <v>-1</v>
      </c>
      <c r="AQ270" s="22"/>
      <c r="AR270" s="22"/>
      <c r="AS270" s="92" t="e">
        <f t="shared" si="197"/>
        <v>#DIV/0!</v>
      </c>
      <c r="AT270" s="22">
        <f t="shared" si="198"/>
        <v>6699</v>
      </c>
      <c r="AU270" s="22">
        <f t="shared" si="198"/>
        <v>0</v>
      </c>
      <c r="AV270" s="92">
        <f t="shared" si="199"/>
        <v>-1</v>
      </c>
      <c r="AW270" s="38"/>
      <c r="AX270" s="38"/>
      <c r="AY270" s="92" t="e">
        <f t="shared" si="200"/>
        <v>#DIV/0!</v>
      </c>
      <c r="AZ270" s="38">
        <f t="shared" si="201"/>
        <v>6699</v>
      </c>
      <c r="BA270" s="38">
        <f t="shared" si="201"/>
        <v>0</v>
      </c>
      <c r="BB270" s="92">
        <f t="shared" si="202"/>
        <v>-1</v>
      </c>
      <c r="BC270" s="38">
        <v>3692</v>
      </c>
      <c r="BD270" s="38"/>
      <c r="BE270" s="92">
        <f t="shared" si="203"/>
        <v>-1</v>
      </c>
      <c r="BF270" s="38">
        <f t="shared" si="204"/>
        <v>10391</v>
      </c>
      <c r="BG270" s="38">
        <f t="shared" si="204"/>
        <v>0</v>
      </c>
      <c r="BH270" s="92">
        <f t="shared" si="205"/>
        <v>-1</v>
      </c>
      <c r="BI270" s="22"/>
      <c r="BJ270" s="22"/>
      <c r="BK270" s="22"/>
      <c r="BL270" s="22">
        <v>10391</v>
      </c>
      <c r="BM270" s="96" t="e">
        <f t="shared" si="206"/>
        <v>#DIV/0!</v>
      </c>
      <c r="BN270" s="22"/>
    </row>
    <row r="271" spans="1:66">
      <c r="A271" s="80" t="s">
        <v>33</v>
      </c>
      <c r="B271" s="80" t="s">
        <v>33</v>
      </c>
      <c r="C271" s="84" t="s">
        <v>391</v>
      </c>
      <c r="D271" s="85" t="s">
        <v>61</v>
      </c>
      <c r="E271" s="33" t="s">
        <v>61</v>
      </c>
      <c r="F271" s="33" t="s">
        <v>376</v>
      </c>
      <c r="G271" s="33" t="s">
        <v>376</v>
      </c>
      <c r="H271" s="33" t="s">
        <v>352</v>
      </c>
      <c r="I271" s="33">
        <v>20</v>
      </c>
      <c r="J271" s="91"/>
      <c r="K271" s="91">
        <v>20000</v>
      </c>
      <c r="L271" s="92" t="e">
        <f t="shared" si="181"/>
        <v>#DIV/0!</v>
      </c>
      <c r="M271" s="91"/>
      <c r="N271" s="91"/>
      <c r="O271" s="92" t="e">
        <f t="shared" si="182"/>
        <v>#DIV/0!</v>
      </c>
      <c r="P271" s="91">
        <f t="shared" si="183"/>
        <v>0</v>
      </c>
      <c r="Q271" s="91">
        <f t="shared" si="183"/>
        <v>20000</v>
      </c>
      <c r="R271" s="92" t="e">
        <f t="shared" si="184"/>
        <v>#DIV/0!</v>
      </c>
      <c r="S271" s="38"/>
      <c r="T271" s="38"/>
      <c r="U271" s="92" t="e">
        <f t="shared" si="185"/>
        <v>#DIV/0!</v>
      </c>
      <c r="V271" s="38">
        <f t="shared" si="186"/>
        <v>0</v>
      </c>
      <c r="W271" s="38">
        <f t="shared" si="186"/>
        <v>20000</v>
      </c>
      <c r="X271" s="92" t="e">
        <f t="shared" si="187"/>
        <v>#DIV/0!</v>
      </c>
      <c r="Y271" s="38"/>
      <c r="Z271" s="38">
        <v>20000</v>
      </c>
      <c r="AA271" s="92" t="e">
        <f t="shared" si="188"/>
        <v>#DIV/0!</v>
      </c>
      <c r="AB271" s="38">
        <f t="shared" si="189"/>
        <v>0</v>
      </c>
      <c r="AC271" s="38">
        <f t="shared" si="189"/>
        <v>40000</v>
      </c>
      <c r="AD271" s="92" t="e">
        <f t="shared" si="190"/>
        <v>#DIV/0!</v>
      </c>
      <c r="AE271" s="22">
        <v>20000</v>
      </c>
      <c r="AF271" s="22"/>
      <c r="AG271" s="92">
        <f t="shared" si="191"/>
        <v>-1</v>
      </c>
      <c r="AH271" s="22">
        <f t="shared" si="192"/>
        <v>20000</v>
      </c>
      <c r="AI271" s="22">
        <f t="shared" si="192"/>
        <v>40000</v>
      </c>
      <c r="AJ271" s="92">
        <f t="shared" si="193"/>
        <v>1</v>
      </c>
      <c r="AK271" s="22"/>
      <c r="AL271" s="22"/>
      <c r="AM271" s="92" t="e">
        <f t="shared" si="194"/>
        <v>#DIV/0!</v>
      </c>
      <c r="AN271" s="22">
        <f t="shared" si="195"/>
        <v>20000</v>
      </c>
      <c r="AO271" s="22">
        <f t="shared" si="195"/>
        <v>40000</v>
      </c>
      <c r="AP271" s="92">
        <f t="shared" si="196"/>
        <v>1</v>
      </c>
      <c r="AQ271" s="22"/>
      <c r="AR271" s="22">
        <v>20000</v>
      </c>
      <c r="AS271" s="92" t="e">
        <f t="shared" si="197"/>
        <v>#DIV/0!</v>
      </c>
      <c r="AT271" s="22">
        <f t="shared" si="198"/>
        <v>20000</v>
      </c>
      <c r="AU271" s="22">
        <f t="shared" si="198"/>
        <v>60000</v>
      </c>
      <c r="AV271" s="92">
        <f t="shared" si="199"/>
        <v>2</v>
      </c>
      <c r="AW271" s="38"/>
      <c r="AX271" s="38"/>
      <c r="AY271" s="92" t="e">
        <f t="shared" si="200"/>
        <v>#DIV/0!</v>
      </c>
      <c r="AZ271" s="38">
        <f t="shared" si="201"/>
        <v>20000</v>
      </c>
      <c r="BA271" s="38">
        <f t="shared" si="201"/>
        <v>60000</v>
      </c>
      <c r="BB271" s="92">
        <f t="shared" si="202"/>
        <v>2</v>
      </c>
      <c r="BC271" s="38"/>
      <c r="BD271" s="38"/>
      <c r="BE271" s="92" t="e">
        <f t="shared" si="203"/>
        <v>#DIV/0!</v>
      </c>
      <c r="BF271" s="38">
        <f t="shared" si="204"/>
        <v>20000</v>
      </c>
      <c r="BG271" s="38">
        <f t="shared" si="204"/>
        <v>60000</v>
      </c>
      <c r="BH271" s="92">
        <f t="shared" si="205"/>
        <v>2</v>
      </c>
      <c r="BI271" s="22">
        <v>30000</v>
      </c>
      <c r="BJ271" s="22"/>
      <c r="BK271" s="22"/>
      <c r="BL271" s="22">
        <v>50000</v>
      </c>
      <c r="BM271" s="96">
        <f t="shared" si="206"/>
        <v>0.3</v>
      </c>
      <c r="BN271" s="22"/>
    </row>
    <row r="272" spans="1:66">
      <c r="A272" s="80" t="s">
        <v>33</v>
      </c>
      <c r="B272" s="80" t="s">
        <v>33</v>
      </c>
      <c r="C272" s="84" t="s">
        <v>392</v>
      </c>
      <c r="D272" s="85" t="s">
        <v>102</v>
      </c>
      <c r="E272" s="33" t="s">
        <v>102</v>
      </c>
      <c r="F272" s="33" t="s">
        <v>376</v>
      </c>
      <c r="G272" s="33" t="s">
        <v>376</v>
      </c>
      <c r="H272" s="33" t="s">
        <v>352</v>
      </c>
      <c r="I272" s="33"/>
      <c r="J272" s="91">
        <v>18718</v>
      </c>
      <c r="K272" s="91"/>
      <c r="L272" s="92">
        <f t="shared" si="181"/>
        <v>-1</v>
      </c>
      <c r="M272" s="91"/>
      <c r="N272" s="91"/>
      <c r="O272" s="92" t="e">
        <f t="shared" si="182"/>
        <v>#DIV/0!</v>
      </c>
      <c r="P272" s="91">
        <f t="shared" si="183"/>
        <v>18718</v>
      </c>
      <c r="Q272" s="91">
        <f t="shared" si="183"/>
        <v>0</v>
      </c>
      <c r="R272" s="92">
        <f t="shared" si="184"/>
        <v>-1</v>
      </c>
      <c r="S272" s="38"/>
      <c r="T272" s="38"/>
      <c r="U272" s="92" t="e">
        <f t="shared" si="185"/>
        <v>#DIV/0!</v>
      </c>
      <c r="V272" s="38">
        <f t="shared" si="186"/>
        <v>18718</v>
      </c>
      <c r="W272" s="38">
        <f t="shared" si="186"/>
        <v>0</v>
      </c>
      <c r="X272" s="92">
        <f t="shared" si="187"/>
        <v>-1</v>
      </c>
      <c r="Y272" s="38">
        <v>2309</v>
      </c>
      <c r="Z272" s="38"/>
      <c r="AA272" s="92">
        <f t="shared" si="188"/>
        <v>-1</v>
      </c>
      <c r="AB272" s="38">
        <f t="shared" si="189"/>
        <v>21027</v>
      </c>
      <c r="AC272" s="38">
        <f t="shared" si="189"/>
        <v>0</v>
      </c>
      <c r="AD272" s="92">
        <f t="shared" si="190"/>
        <v>-1</v>
      </c>
      <c r="AE272" s="22"/>
      <c r="AF272" s="22"/>
      <c r="AG272" s="92" t="e">
        <f t="shared" si="191"/>
        <v>#DIV/0!</v>
      </c>
      <c r="AH272" s="22">
        <f t="shared" si="192"/>
        <v>21027</v>
      </c>
      <c r="AI272" s="22">
        <f t="shared" si="192"/>
        <v>0</v>
      </c>
      <c r="AJ272" s="92">
        <f t="shared" si="193"/>
        <v>-1</v>
      </c>
      <c r="AK272" s="22"/>
      <c r="AL272" s="22"/>
      <c r="AM272" s="92" t="e">
        <f t="shared" si="194"/>
        <v>#DIV/0!</v>
      </c>
      <c r="AN272" s="22">
        <f t="shared" si="195"/>
        <v>21027</v>
      </c>
      <c r="AO272" s="22">
        <f t="shared" si="195"/>
        <v>0</v>
      </c>
      <c r="AP272" s="92">
        <f t="shared" si="196"/>
        <v>-1</v>
      </c>
      <c r="AQ272" s="22"/>
      <c r="AR272" s="22"/>
      <c r="AS272" s="92" t="e">
        <f t="shared" si="197"/>
        <v>#DIV/0!</v>
      </c>
      <c r="AT272" s="22">
        <f t="shared" si="198"/>
        <v>21027</v>
      </c>
      <c r="AU272" s="22">
        <f t="shared" si="198"/>
        <v>0</v>
      </c>
      <c r="AV272" s="92">
        <f t="shared" si="199"/>
        <v>-1</v>
      </c>
      <c r="AW272" s="38"/>
      <c r="AX272" s="38"/>
      <c r="AY272" s="92" t="e">
        <f t="shared" si="200"/>
        <v>#DIV/0!</v>
      </c>
      <c r="AZ272" s="38">
        <f t="shared" si="201"/>
        <v>21027</v>
      </c>
      <c r="BA272" s="38">
        <f t="shared" si="201"/>
        <v>0</v>
      </c>
      <c r="BB272" s="92">
        <f t="shared" si="202"/>
        <v>-1</v>
      </c>
      <c r="BC272" s="38"/>
      <c r="BD272" s="38"/>
      <c r="BE272" s="92" t="e">
        <f t="shared" si="203"/>
        <v>#DIV/0!</v>
      </c>
      <c r="BF272" s="38">
        <f t="shared" si="204"/>
        <v>21027</v>
      </c>
      <c r="BG272" s="38">
        <f t="shared" si="204"/>
        <v>0</v>
      </c>
      <c r="BH272" s="92">
        <f t="shared" si="205"/>
        <v>-1</v>
      </c>
      <c r="BI272" s="22"/>
      <c r="BJ272" s="22"/>
      <c r="BK272" s="22"/>
      <c r="BL272" s="22">
        <v>21027</v>
      </c>
      <c r="BM272" s="96" t="e">
        <f t="shared" si="206"/>
        <v>#DIV/0!</v>
      </c>
      <c r="BN272" s="22"/>
    </row>
    <row r="273" spans="1:66">
      <c r="A273" s="80" t="s">
        <v>33</v>
      </c>
      <c r="B273" s="80" t="s">
        <v>33</v>
      </c>
      <c r="C273" s="86" t="s">
        <v>393</v>
      </c>
      <c r="D273" s="85" t="s">
        <v>61</v>
      </c>
      <c r="E273" s="33" t="s">
        <v>61</v>
      </c>
      <c r="F273" s="33" t="s">
        <v>376</v>
      </c>
      <c r="G273" s="33" t="s">
        <v>376</v>
      </c>
      <c r="H273" s="33" t="s">
        <v>352</v>
      </c>
      <c r="I273" s="33"/>
      <c r="J273" s="91">
        <v>25000</v>
      </c>
      <c r="K273" s="91"/>
      <c r="L273" s="92">
        <f t="shared" si="181"/>
        <v>-1</v>
      </c>
      <c r="M273" s="91"/>
      <c r="N273" s="91"/>
      <c r="O273" s="92" t="e">
        <f t="shared" si="182"/>
        <v>#DIV/0!</v>
      </c>
      <c r="P273" s="91">
        <f t="shared" si="183"/>
        <v>25000</v>
      </c>
      <c r="Q273" s="91">
        <f t="shared" si="183"/>
        <v>0</v>
      </c>
      <c r="R273" s="92">
        <f t="shared" si="184"/>
        <v>-1</v>
      </c>
      <c r="S273" s="38"/>
      <c r="T273" s="38"/>
      <c r="U273" s="92" t="e">
        <f t="shared" si="185"/>
        <v>#DIV/0!</v>
      </c>
      <c r="V273" s="38">
        <f t="shared" si="186"/>
        <v>25000</v>
      </c>
      <c r="W273" s="38">
        <f t="shared" si="186"/>
        <v>0</v>
      </c>
      <c r="X273" s="92">
        <f t="shared" si="187"/>
        <v>-1</v>
      </c>
      <c r="Y273" s="38"/>
      <c r="Z273" s="38"/>
      <c r="AA273" s="92" t="e">
        <f t="shared" si="188"/>
        <v>#DIV/0!</v>
      </c>
      <c r="AB273" s="38">
        <f t="shared" si="189"/>
        <v>25000</v>
      </c>
      <c r="AC273" s="38">
        <f t="shared" si="189"/>
        <v>0</v>
      </c>
      <c r="AD273" s="92">
        <f t="shared" si="190"/>
        <v>-1</v>
      </c>
      <c r="AE273" s="22"/>
      <c r="AF273" s="22"/>
      <c r="AG273" s="92" t="e">
        <f t="shared" si="191"/>
        <v>#DIV/0!</v>
      </c>
      <c r="AH273" s="22">
        <f t="shared" si="192"/>
        <v>25000</v>
      </c>
      <c r="AI273" s="22">
        <f t="shared" si="192"/>
        <v>0</v>
      </c>
      <c r="AJ273" s="92">
        <f t="shared" si="193"/>
        <v>-1</v>
      </c>
      <c r="AK273" s="22"/>
      <c r="AL273" s="22"/>
      <c r="AM273" s="92" t="e">
        <f t="shared" si="194"/>
        <v>#DIV/0!</v>
      </c>
      <c r="AN273" s="22">
        <f t="shared" si="195"/>
        <v>25000</v>
      </c>
      <c r="AO273" s="22">
        <f t="shared" si="195"/>
        <v>0</v>
      </c>
      <c r="AP273" s="92">
        <f t="shared" si="196"/>
        <v>-1</v>
      </c>
      <c r="AQ273" s="22"/>
      <c r="AR273" s="22"/>
      <c r="AS273" s="92" t="e">
        <f t="shared" si="197"/>
        <v>#DIV/0!</v>
      </c>
      <c r="AT273" s="22">
        <f t="shared" si="198"/>
        <v>25000</v>
      </c>
      <c r="AU273" s="22">
        <f t="shared" si="198"/>
        <v>0</v>
      </c>
      <c r="AV273" s="92">
        <f t="shared" si="199"/>
        <v>-1</v>
      </c>
      <c r="AW273" s="38"/>
      <c r="AX273" s="38"/>
      <c r="AY273" s="92" t="e">
        <f t="shared" si="200"/>
        <v>#DIV/0!</v>
      </c>
      <c r="AZ273" s="38">
        <f t="shared" si="201"/>
        <v>25000</v>
      </c>
      <c r="BA273" s="38">
        <f t="shared" si="201"/>
        <v>0</v>
      </c>
      <c r="BB273" s="92">
        <f t="shared" si="202"/>
        <v>-1</v>
      </c>
      <c r="BC273" s="38"/>
      <c r="BD273" s="38"/>
      <c r="BE273" s="92" t="e">
        <f t="shared" si="203"/>
        <v>#DIV/0!</v>
      </c>
      <c r="BF273" s="38">
        <f t="shared" si="204"/>
        <v>25000</v>
      </c>
      <c r="BG273" s="38">
        <f t="shared" si="204"/>
        <v>0</v>
      </c>
      <c r="BH273" s="92">
        <f t="shared" si="205"/>
        <v>-1</v>
      </c>
      <c r="BI273" s="22"/>
      <c r="BJ273" s="22"/>
      <c r="BK273" s="22">
        <v>1213</v>
      </c>
      <c r="BL273" s="22">
        <v>26213</v>
      </c>
      <c r="BM273" s="96" t="e">
        <f t="shared" si="206"/>
        <v>#DIV/0!</v>
      </c>
      <c r="BN273" s="22"/>
    </row>
    <row r="274" spans="1:66">
      <c r="A274" s="80" t="s">
        <v>33</v>
      </c>
      <c r="B274" s="80" t="s">
        <v>33</v>
      </c>
      <c r="C274" s="86" t="s">
        <v>394</v>
      </c>
      <c r="D274" s="85" t="s">
        <v>65</v>
      </c>
      <c r="E274" s="33" t="s">
        <v>65</v>
      </c>
      <c r="F274" s="33" t="s">
        <v>351</v>
      </c>
      <c r="G274" s="33" t="s">
        <v>351</v>
      </c>
      <c r="H274" s="33" t="s">
        <v>352</v>
      </c>
      <c r="I274" s="33">
        <v>90</v>
      </c>
      <c r="J274" s="91">
        <v>81672</v>
      </c>
      <c r="K274" s="91">
        <v>90219</v>
      </c>
      <c r="L274" s="92">
        <f t="shared" si="181"/>
        <v>0.10465030855127821</v>
      </c>
      <c r="M274" s="91">
        <v>8111</v>
      </c>
      <c r="N274" s="91">
        <v>17526</v>
      </c>
      <c r="O274" s="92">
        <f t="shared" si="182"/>
        <v>1.1607693256072</v>
      </c>
      <c r="P274" s="91">
        <f t="shared" si="183"/>
        <v>89783</v>
      </c>
      <c r="Q274" s="91">
        <f t="shared" si="183"/>
        <v>107745</v>
      </c>
      <c r="R274" s="92">
        <f t="shared" si="184"/>
        <v>0.20006014501631708</v>
      </c>
      <c r="S274" s="38">
        <v>54438</v>
      </c>
      <c r="T274" s="38">
        <v>86163</v>
      </c>
      <c r="U274" s="92">
        <f t="shared" si="185"/>
        <v>0.58277306293398001</v>
      </c>
      <c r="V274" s="38">
        <f t="shared" si="186"/>
        <v>144221</v>
      </c>
      <c r="W274" s="38">
        <f t="shared" si="186"/>
        <v>193908</v>
      </c>
      <c r="X274" s="92">
        <f t="shared" si="187"/>
        <v>0.34451986881244756</v>
      </c>
      <c r="Y274" s="38">
        <v>35540</v>
      </c>
      <c r="Z274" s="38">
        <v>43229</v>
      </c>
      <c r="AA274" s="92">
        <f t="shared" si="188"/>
        <v>0.21634777715250419</v>
      </c>
      <c r="AB274" s="38">
        <f t="shared" si="189"/>
        <v>179761</v>
      </c>
      <c r="AC274" s="38">
        <f t="shared" si="189"/>
        <v>237137</v>
      </c>
      <c r="AD274" s="92">
        <f t="shared" si="190"/>
        <v>0.31917935480999771</v>
      </c>
      <c r="AE274" s="22">
        <v>36714</v>
      </c>
      <c r="AF274" s="22">
        <v>97365</v>
      </c>
      <c r="AG274" s="92">
        <f t="shared" si="191"/>
        <v>1.6519856185651252</v>
      </c>
      <c r="AH274" s="22">
        <f t="shared" si="192"/>
        <v>216475</v>
      </c>
      <c r="AI274" s="22">
        <f t="shared" si="192"/>
        <v>334502</v>
      </c>
      <c r="AJ274" s="92">
        <f t="shared" si="193"/>
        <v>0.54522231204527083</v>
      </c>
      <c r="AK274" s="22">
        <v>43904</v>
      </c>
      <c r="AL274" s="22">
        <v>16592</v>
      </c>
      <c r="AM274" s="92">
        <f t="shared" si="194"/>
        <v>-0.62208454810495628</v>
      </c>
      <c r="AN274" s="22">
        <f t="shared" si="195"/>
        <v>260379</v>
      </c>
      <c r="AO274" s="22">
        <f t="shared" si="195"/>
        <v>351094</v>
      </c>
      <c r="AP274" s="92">
        <f t="shared" si="196"/>
        <v>0.34839599199628224</v>
      </c>
      <c r="AQ274" s="22">
        <v>98153</v>
      </c>
      <c r="AR274" s="22">
        <v>38561</v>
      </c>
      <c r="AS274" s="92">
        <f t="shared" si="197"/>
        <v>-0.6071337605574969</v>
      </c>
      <c r="AT274" s="22">
        <f t="shared" si="198"/>
        <v>358532</v>
      </c>
      <c r="AU274" s="22">
        <f t="shared" si="198"/>
        <v>389655</v>
      </c>
      <c r="AV274" s="92">
        <f t="shared" si="199"/>
        <v>8.6806756440150457E-2</v>
      </c>
      <c r="AW274" s="38">
        <v>31695</v>
      </c>
      <c r="AX274" s="38">
        <v>65798</v>
      </c>
      <c r="AY274" s="92">
        <f t="shared" si="200"/>
        <v>1.0759741284114215</v>
      </c>
      <c r="AZ274" s="38">
        <f t="shared" si="201"/>
        <v>390227</v>
      </c>
      <c r="BA274" s="38">
        <f t="shared" si="201"/>
        <v>455453</v>
      </c>
      <c r="BB274" s="92">
        <f t="shared" si="202"/>
        <v>0.16714886463519951</v>
      </c>
      <c r="BC274" s="38">
        <v>52822</v>
      </c>
      <c r="BD274" s="38">
        <v>110372</v>
      </c>
      <c r="BE274" s="92">
        <f t="shared" si="203"/>
        <v>1.089508159479005</v>
      </c>
      <c r="BF274" s="38">
        <f t="shared" si="204"/>
        <v>443049</v>
      </c>
      <c r="BG274" s="38">
        <f t="shared" si="204"/>
        <v>565825</v>
      </c>
      <c r="BH274" s="92">
        <f t="shared" si="205"/>
        <v>0.27711607519710002</v>
      </c>
      <c r="BI274" s="22">
        <v>123743</v>
      </c>
      <c r="BJ274" s="22">
        <v>135943</v>
      </c>
      <c r="BK274" s="22">
        <v>70129</v>
      </c>
      <c r="BL274" s="22">
        <v>772864</v>
      </c>
      <c r="BM274" s="96">
        <f t="shared" si="206"/>
        <v>0.62869444444444444</v>
      </c>
      <c r="BN274" s="22">
        <v>27642</v>
      </c>
    </row>
    <row r="275" spans="1:66">
      <c r="A275" s="80" t="s">
        <v>33</v>
      </c>
      <c r="B275" s="80" t="s">
        <v>33</v>
      </c>
      <c r="C275" s="86" t="s">
        <v>395</v>
      </c>
      <c r="D275" s="85" t="s">
        <v>65</v>
      </c>
      <c r="E275" s="33" t="s">
        <v>65</v>
      </c>
      <c r="F275" s="33" t="s">
        <v>376</v>
      </c>
      <c r="G275" s="33" t="s">
        <v>376</v>
      </c>
      <c r="H275" s="33" t="s">
        <v>352</v>
      </c>
      <c r="I275" s="33">
        <v>80</v>
      </c>
      <c r="J275" s="91">
        <v>140602</v>
      </c>
      <c r="K275" s="91">
        <v>148655</v>
      </c>
      <c r="L275" s="92">
        <f t="shared" si="181"/>
        <v>5.7275145446010756E-2</v>
      </c>
      <c r="M275" s="91">
        <v>25677</v>
      </c>
      <c r="N275" s="91">
        <v>86524</v>
      </c>
      <c r="O275" s="92">
        <f t="shared" si="182"/>
        <v>2.3697082992561436</v>
      </c>
      <c r="P275" s="91">
        <f t="shared" si="183"/>
        <v>166279</v>
      </c>
      <c r="Q275" s="91">
        <f t="shared" si="183"/>
        <v>235179</v>
      </c>
      <c r="R275" s="92">
        <f t="shared" si="184"/>
        <v>0.41436381022257773</v>
      </c>
      <c r="S275" s="38">
        <v>5543</v>
      </c>
      <c r="T275" s="38"/>
      <c r="U275" s="92">
        <f t="shared" si="185"/>
        <v>-1</v>
      </c>
      <c r="V275" s="38">
        <f t="shared" si="186"/>
        <v>171822</v>
      </c>
      <c r="W275" s="38">
        <f t="shared" si="186"/>
        <v>235179</v>
      </c>
      <c r="X275" s="92">
        <f t="shared" si="187"/>
        <v>0.36873625030554869</v>
      </c>
      <c r="Y275" s="38">
        <v>88660</v>
      </c>
      <c r="Z275" s="38"/>
      <c r="AA275" s="92">
        <f t="shared" si="188"/>
        <v>-1</v>
      </c>
      <c r="AB275" s="38">
        <f t="shared" si="189"/>
        <v>260482</v>
      </c>
      <c r="AC275" s="38">
        <f t="shared" si="189"/>
        <v>235179</v>
      </c>
      <c r="AD275" s="92">
        <f t="shared" si="190"/>
        <v>-9.7139149730115726E-2</v>
      </c>
      <c r="AE275" s="22">
        <v>67916</v>
      </c>
      <c r="AF275" s="22"/>
      <c r="AG275" s="92">
        <f t="shared" si="191"/>
        <v>-1</v>
      </c>
      <c r="AH275" s="22">
        <f t="shared" si="192"/>
        <v>328398</v>
      </c>
      <c r="AI275" s="22">
        <f t="shared" si="192"/>
        <v>235179</v>
      </c>
      <c r="AJ275" s="92">
        <f t="shared" si="193"/>
        <v>-0.28385982862258596</v>
      </c>
      <c r="AK275" s="22">
        <v>55674</v>
      </c>
      <c r="AL275" s="22"/>
      <c r="AM275" s="92">
        <f t="shared" si="194"/>
        <v>-1</v>
      </c>
      <c r="AN275" s="22">
        <f t="shared" si="195"/>
        <v>384072</v>
      </c>
      <c r="AO275" s="22">
        <f t="shared" si="195"/>
        <v>235179</v>
      </c>
      <c r="AP275" s="92">
        <f t="shared" si="196"/>
        <v>-0.38766949946884954</v>
      </c>
      <c r="AQ275" s="22">
        <v>9051</v>
      </c>
      <c r="AR275" s="22"/>
      <c r="AS275" s="92">
        <f t="shared" si="197"/>
        <v>-1</v>
      </c>
      <c r="AT275" s="22">
        <f t="shared" si="198"/>
        <v>393123</v>
      </c>
      <c r="AU275" s="22">
        <f t="shared" si="198"/>
        <v>235179</v>
      </c>
      <c r="AV275" s="92">
        <f t="shared" si="199"/>
        <v>-0.40176738578002302</v>
      </c>
      <c r="AW275" s="38">
        <v>3024</v>
      </c>
      <c r="AX275" s="38"/>
      <c r="AY275" s="92">
        <f t="shared" si="200"/>
        <v>-1</v>
      </c>
      <c r="AZ275" s="38">
        <f t="shared" si="201"/>
        <v>396147</v>
      </c>
      <c r="BA275" s="38">
        <f t="shared" si="201"/>
        <v>235179</v>
      </c>
      <c r="BB275" s="92">
        <f t="shared" si="202"/>
        <v>-0.40633401237419442</v>
      </c>
      <c r="BC275" s="38">
        <v>61657</v>
      </c>
      <c r="BD275" s="38"/>
      <c r="BE275" s="92">
        <f t="shared" si="203"/>
        <v>-1</v>
      </c>
      <c r="BF275" s="38">
        <f t="shared" si="204"/>
        <v>457804</v>
      </c>
      <c r="BG275" s="38">
        <f t="shared" si="204"/>
        <v>235179</v>
      </c>
      <c r="BH275" s="92">
        <f t="shared" si="205"/>
        <v>-0.48628889218967064</v>
      </c>
      <c r="BI275" s="22">
        <v>113877</v>
      </c>
      <c r="BJ275" s="22">
        <v>74064</v>
      </c>
      <c r="BK275" s="22">
        <v>77666</v>
      </c>
      <c r="BL275" s="22">
        <v>723411</v>
      </c>
      <c r="BM275" s="96">
        <f t="shared" si="206"/>
        <v>0.29397375000000003</v>
      </c>
      <c r="BN275" s="22">
        <v>9051</v>
      </c>
    </row>
    <row r="276" spans="1:66">
      <c r="A276" s="80" t="s">
        <v>33</v>
      </c>
      <c r="B276" s="80" t="s">
        <v>33</v>
      </c>
      <c r="C276" s="86" t="s">
        <v>396</v>
      </c>
      <c r="D276" s="85" t="s">
        <v>61</v>
      </c>
      <c r="E276" s="33" t="s">
        <v>61</v>
      </c>
      <c r="F276" s="33" t="s">
        <v>351</v>
      </c>
      <c r="G276" s="33" t="s">
        <v>351</v>
      </c>
      <c r="H276" s="33" t="s">
        <v>352</v>
      </c>
      <c r="I276" s="33"/>
      <c r="J276" s="91"/>
      <c r="K276" s="91"/>
      <c r="L276" s="92" t="e">
        <f t="shared" si="181"/>
        <v>#DIV/0!</v>
      </c>
      <c r="M276" s="91"/>
      <c r="N276" s="91"/>
      <c r="O276" s="92" t="e">
        <f t="shared" si="182"/>
        <v>#DIV/0!</v>
      </c>
      <c r="P276" s="91">
        <f t="shared" si="183"/>
        <v>0</v>
      </c>
      <c r="Q276" s="91">
        <f t="shared" si="183"/>
        <v>0</v>
      </c>
      <c r="R276" s="92" t="e">
        <f t="shared" si="184"/>
        <v>#DIV/0!</v>
      </c>
      <c r="S276" s="38">
        <v>729</v>
      </c>
      <c r="T276" s="38"/>
      <c r="U276" s="92">
        <f t="shared" si="185"/>
        <v>-1</v>
      </c>
      <c r="V276" s="38">
        <f t="shared" si="186"/>
        <v>729</v>
      </c>
      <c r="W276" s="38">
        <f t="shared" si="186"/>
        <v>0</v>
      </c>
      <c r="X276" s="92">
        <f t="shared" si="187"/>
        <v>-1</v>
      </c>
      <c r="Y276" s="38"/>
      <c r="Z276" s="38"/>
      <c r="AA276" s="92" t="e">
        <f t="shared" si="188"/>
        <v>#DIV/0!</v>
      </c>
      <c r="AB276" s="38">
        <f t="shared" si="189"/>
        <v>729</v>
      </c>
      <c r="AC276" s="38">
        <f t="shared" si="189"/>
        <v>0</v>
      </c>
      <c r="AD276" s="92">
        <f t="shared" si="190"/>
        <v>-1</v>
      </c>
      <c r="AE276" s="22"/>
      <c r="AF276" s="22"/>
      <c r="AG276" s="92" t="e">
        <f t="shared" si="191"/>
        <v>#DIV/0!</v>
      </c>
      <c r="AH276" s="22">
        <f t="shared" si="192"/>
        <v>729</v>
      </c>
      <c r="AI276" s="22">
        <f t="shared" si="192"/>
        <v>0</v>
      </c>
      <c r="AJ276" s="92">
        <f t="shared" si="193"/>
        <v>-1</v>
      </c>
      <c r="AK276" s="22"/>
      <c r="AL276" s="22"/>
      <c r="AM276" s="92" t="e">
        <f t="shared" si="194"/>
        <v>#DIV/0!</v>
      </c>
      <c r="AN276" s="22">
        <f t="shared" si="195"/>
        <v>729</v>
      </c>
      <c r="AO276" s="22">
        <f t="shared" si="195"/>
        <v>0</v>
      </c>
      <c r="AP276" s="92">
        <f t="shared" si="196"/>
        <v>-1</v>
      </c>
      <c r="AQ276" s="22"/>
      <c r="AR276" s="22"/>
      <c r="AS276" s="92" t="e">
        <f t="shared" si="197"/>
        <v>#DIV/0!</v>
      </c>
      <c r="AT276" s="22">
        <f t="shared" si="198"/>
        <v>729</v>
      </c>
      <c r="AU276" s="22">
        <f t="shared" si="198"/>
        <v>0</v>
      </c>
      <c r="AV276" s="92">
        <f t="shared" si="199"/>
        <v>-1</v>
      </c>
      <c r="AW276" s="38"/>
      <c r="AX276" s="38"/>
      <c r="AY276" s="92" t="e">
        <f t="shared" si="200"/>
        <v>#DIV/0!</v>
      </c>
      <c r="AZ276" s="38">
        <f t="shared" si="201"/>
        <v>729</v>
      </c>
      <c r="BA276" s="38">
        <f t="shared" si="201"/>
        <v>0</v>
      </c>
      <c r="BB276" s="92">
        <f t="shared" si="202"/>
        <v>-1</v>
      </c>
      <c r="BC276" s="38"/>
      <c r="BD276" s="38"/>
      <c r="BE276" s="92" t="e">
        <f t="shared" si="203"/>
        <v>#DIV/0!</v>
      </c>
      <c r="BF276" s="38">
        <f t="shared" si="204"/>
        <v>729</v>
      </c>
      <c r="BG276" s="38">
        <f t="shared" si="204"/>
        <v>0</v>
      </c>
      <c r="BH276" s="92">
        <f t="shared" si="205"/>
        <v>-1</v>
      </c>
      <c r="BI276" s="22"/>
      <c r="BJ276" s="22"/>
      <c r="BK276" s="22"/>
      <c r="BL276" s="22">
        <v>729</v>
      </c>
      <c r="BM276" s="96" t="e">
        <f t="shared" si="206"/>
        <v>#DIV/0!</v>
      </c>
      <c r="BN276" s="22"/>
    </row>
    <row r="277" spans="1:66">
      <c r="A277" s="80" t="s">
        <v>33</v>
      </c>
      <c r="B277" s="80" t="s">
        <v>33</v>
      </c>
      <c r="C277" s="86" t="s">
        <v>397</v>
      </c>
      <c r="D277" s="85" t="s">
        <v>61</v>
      </c>
      <c r="E277" s="33" t="s">
        <v>61</v>
      </c>
      <c r="F277" s="33" t="s">
        <v>351</v>
      </c>
      <c r="G277" s="33" t="s">
        <v>351</v>
      </c>
      <c r="H277" s="33" t="s">
        <v>352</v>
      </c>
      <c r="I277" s="33">
        <v>10</v>
      </c>
      <c r="J277" s="33"/>
      <c r="K277" s="91"/>
      <c r="L277" s="92" t="e">
        <f t="shared" si="181"/>
        <v>#DIV/0!</v>
      </c>
      <c r="M277" s="91"/>
      <c r="N277" s="91"/>
      <c r="O277" s="92" t="e">
        <f t="shared" si="182"/>
        <v>#DIV/0!</v>
      </c>
      <c r="P277" s="91">
        <f t="shared" si="183"/>
        <v>0</v>
      </c>
      <c r="Q277" s="91">
        <f t="shared" si="183"/>
        <v>0</v>
      </c>
      <c r="R277" s="92" t="e">
        <f t="shared" si="184"/>
        <v>#DIV/0!</v>
      </c>
      <c r="S277" s="38"/>
      <c r="T277" s="38"/>
      <c r="U277" s="92" t="e">
        <f t="shared" si="185"/>
        <v>#DIV/0!</v>
      </c>
      <c r="V277" s="38">
        <f t="shared" si="186"/>
        <v>0</v>
      </c>
      <c r="W277" s="38">
        <f t="shared" si="186"/>
        <v>0</v>
      </c>
      <c r="X277" s="92" t="e">
        <f t="shared" si="187"/>
        <v>#DIV/0!</v>
      </c>
      <c r="Y277" s="38"/>
      <c r="Z277" s="38"/>
      <c r="AA277" s="92" t="e">
        <f t="shared" si="188"/>
        <v>#DIV/0!</v>
      </c>
      <c r="AB277" s="38">
        <f t="shared" si="189"/>
        <v>0</v>
      </c>
      <c r="AC277" s="38">
        <f t="shared" si="189"/>
        <v>0</v>
      </c>
      <c r="AD277" s="92" t="e">
        <f t="shared" si="190"/>
        <v>#DIV/0!</v>
      </c>
      <c r="AE277" s="22"/>
      <c r="AF277" s="22"/>
      <c r="AG277" s="92" t="e">
        <f t="shared" si="191"/>
        <v>#DIV/0!</v>
      </c>
      <c r="AH277" s="22">
        <f t="shared" si="192"/>
        <v>0</v>
      </c>
      <c r="AI277" s="22">
        <f t="shared" si="192"/>
        <v>0</v>
      </c>
      <c r="AJ277" s="92" t="e">
        <f t="shared" si="193"/>
        <v>#DIV/0!</v>
      </c>
      <c r="AK277" s="22">
        <v>17999</v>
      </c>
      <c r="AL277" s="22"/>
      <c r="AM277" s="92">
        <f t="shared" si="194"/>
        <v>-1</v>
      </c>
      <c r="AN277" s="22">
        <f t="shared" si="195"/>
        <v>17999</v>
      </c>
      <c r="AO277" s="22">
        <f t="shared" si="195"/>
        <v>0</v>
      </c>
      <c r="AP277" s="92">
        <f t="shared" si="196"/>
        <v>-1</v>
      </c>
      <c r="AQ277" s="22">
        <v>3970</v>
      </c>
      <c r="AR277" s="22"/>
      <c r="AS277" s="92">
        <f t="shared" si="197"/>
        <v>-1</v>
      </c>
      <c r="AT277" s="22">
        <f t="shared" si="198"/>
        <v>21969</v>
      </c>
      <c r="AU277" s="22">
        <f t="shared" si="198"/>
        <v>0</v>
      </c>
      <c r="AV277" s="92">
        <f t="shared" si="199"/>
        <v>-1</v>
      </c>
      <c r="AW277" s="38"/>
      <c r="AX277" s="38"/>
      <c r="AY277" s="92" t="e">
        <f t="shared" si="200"/>
        <v>#DIV/0!</v>
      </c>
      <c r="AZ277" s="38">
        <f t="shared" si="201"/>
        <v>21969</v>
      </c>
      <c r="BA277" s="38">
        <f t="shared" si="201"/>
        <v>0</v>
      </c>
      <c r="BB277" s="92">
        <f t="shared" si="202"/>
        <v>-1</v>
      </c>
      <c r="BC277" s="38"/>
      <c r="BD277" s="38"/>
      <c r="BE277" s="92" t="e">
        <f t="shared" si="203"/>
        <v>#DIV/0!</v>
      </c>
      <c r="BF277" s="38">
        <f t="shared" si="204"/>
        <v>21969</v>
      </c>
      <c r="BG277" s="38">
        <f t="shared" si="204"/>
        <v>0</v>
      </c>
      <c r="BH277" s="92">
        <f t="shared" si="205"/>
        <v>-1</v>
      </c>
      <c r="BI277" s="22">
        <v>24576</v>
      </c>
      <c r="BJ277" s="22"/>
      <c r="BK277" s="22">
        <v>8376</v>
      </c>
      <c r="BL277" s="22">
        <v>54921</v>
      </c>
      <c r="BM277" s="96">
        <f t="shared" si="206"/>
        <v>0</v>
      </c>
      <c r="BN277" s="22"/>
    </row>
    <row r="278" spans="1:66">
      <c r="A278" s="80" t="s">
        <v>33</v>
      </c>
      <c r="B278" s="80" t="s">
        <v>33</v>
      </c>
      <c r="C278" s="86" t="s">
        <v>398</v>
      </c>
      <c r="D278" s="85" t="s">
        <v>102</v>
      </c>
      <c r="E278" s="33" t="s">
        <v>102</v>
      </c>
      <c r="F278" s="33" t="s">
        <v>351</v>
      </c>
      <c r="G278" s="33" t="s">
        <v>351</v>
      </c>
      <c r="H278" s="33" t="s">
        <v>352</v>
      </c>
      <c r="I278" s="33">
        <v>10</v>
      </c>
      <c r="J278" s="33"/>
      <c r="K278" s="91"/>
      <c r="L278" s="92" t="e">
        <f t="shared" si="181"/>
        <v>#DIV/0!</v>
      </c>
      <c r="M278" s="91"/>
      <c r="N278" s="91"/>
      <c r="O278" s="92" t="e">
        <f t="shared" si="182"/>
        <v>#DIV/0!</v>
      </c>
      <c r="P278" s="91">
        <f t="shared" si="183"/>
        <v>0</v>
      </c>
      <c r="Q278" s="91">
        <f t="shared" si="183"/>
        <v>0</v>
      </c>
      <c r="R278" s="92" t="e">
        <f t="shared" si="184"/>
        <v>#DIV/0!</v>
      </c>
      <c r="S278" s="38"/>
      <c r="T278" s="38"/>
      <c r="U278" s="92" t="e">
        <f t="shared" si="185"/>
        <v>#DIV/0!</v>
      </c>
      <c r="V278" s="38">
        <f t="shared" si="186"/>
        <v>0</v>
      </c>
      <c r="W278" s="38">
        <f t="shared" si="186"/>
        <v>0</v>
      </c>
      <c r="X278" s="92" t="e">
        <f t="shared" si="187"/>
        <v>#DIV/0!</v>
      </c>
      <c r="Y278" s="38"/>
      <c r="Z278" s="38"/>
      <c r="AA278" s="92" t="e">
        <f t="shared" si="188"/>
        <v>#DIV/0!</v>
      </c>
      <c r="AB278" s="38">
        <f t="shared" si="189"/>
        <v>0</v>
      </c>
      <c r="AC278" s="38">
        <f t="shared" si="189"/>
        <v>0</v>
      </c>
      <c r="AD278" s="92" t="e">
        <f t="shared" si="190"/>
        <v>#DIV/0!</v>
      </c>
      <c r="AE278" s="22"/>
      <c r="AF278" s="22"/>
      <c r="AG278" s="92" t="e">
        <f t="shared" si="191"/>
        <v>#DIV/0!</v>
      </c>
      <c r="AH278" s="22">
        <f t="shared" si="192"/>
        <v>0</v>
      </c>
      <c r="AI278" s="22">
        <f t="shared" si="192"/>
        <v>0</v>
      </c>
      <c r="AJ278" s="92" t="e">
        <f t="shared" si="193"/>
        <v>#DIV/0!</v>
      </c>
      <c r="AK278" s="22"/>
      <c r="AL278" s="22"/>
      <c r="AM278" s="92" t="e">
        <f t="shared" si="194"/>
        <v>#DIV/0!</v>
      </c>
      <c r="AN278" s="22">
        <f t="shared" si="195"/>
        <v>0</v>
      </c>
      <c r="AO278" s="22">
        <f t="shared" si="195"/>
        <v>0</v>
      </c>
      <c r="AP278" s="92" t="e">
        <f t="shared" si="196"/>
        <v>#DIV/0!</v>
      </c>
      <c r="AQ278" s="22">
        <v>71632</v>
      </c>
      <c r="AR278" s="22"/>
      <c r="AS278" s="92">
        <f t="shared" si="197"/>
        <v>-1</v>
      </c>
      <c r="AT278" s="22">
        <f t="shared" si="198"/>
        <v>71632</v>
      </c>
      <c r="AU278" s="22">
        <f t="shared" si="198"/>
        <v>0</v>
      </c>
      <c r="AV278" s="92">
        <f t="shared" si="199"/>
        <v>-1</v>
      </c>
      <c r="AW278" s="38"/>
      <c r="AX278" s="38"/>
      <c r="AY278" s="92" t="e">
        <f t="shared" si="200"/>
        <v>#DIV/0!</v>
      </c>
      <c r="AZ278" s="38">
        <f t="shared" si="201"/>
        <v>71632</v>
      </c>
      <c r="BA278" s="38">
        <f t="shared" si="201"/>
        <v>0</v>
      </c>
      <c r="BB278" s="92">
        <f t="shared" si="202"/>
        <v>-1</v>
      </c>
      <c r="BC278" s="38"/>
      <c r="BD278" s="38"/>
      <c r="BE278" s="92" t="e">
        <f t="shared" si="203"/>
        <v>#DIV/0!</v>
      </c>
      <c r="BF278" s="38">
        <f t="shared" si="204"/>
        <v>71632</v>
      </c>
      <c r="BG278" s="38">
        <f t="shared" si="204"/>
        <v>0</v>
      </c>
      <c r="BH278" s="92">
        <f t="shared" si="205"/>
        <v>-1</v>
      </c>
      <c r="BI278" s="22"/>
      <c r="BJ278" s="22"/>
      <c r="BK278" s="22"/>
      <c r="BL278" s="22">
        <v>71632</v>
      </c>
      <c r="BM278" s="96">
        <f t="shared" si="206"/>
        <v>0</v>
      </c>
      <c r="BN278" s="22"/>
    </row>
    <row r="279" spans="1:66">
      <c r="A279" s="80" t="s">
        <v>33</v>
      </c>
      <c r="B279" s="80" t="s">
        <v>33</v>
      </c>
      <c r="C279" s="86" t="s">
        <v>399</v>
      </c>
      <c r="D279" s="85" t="s">
        <v>61</v>
      </c>
      <c r="E279" s="33" t="s">
        <v>61</v>
      </c>
      <c r="F279" s="33" t="s">
        <v>359</v>
      </c>
      <c r="G279" s="33" t="s">
        <v>364</v>
      </c>
      <c r="H279" s="33" t="s">
        <v>360</v>
      </c>
      <c r="I279" s="33"/>
      <c r="J279" s="33"/>
      <c r="K279" s="91"/>
      <c r="L279" s="92" t="e">
        <f t="shared" si="181"/>
        <v>#DIV/0!</v>
      </c>
      <c r="M279" s="91"/>
      <c r="N279" s="91"/>
      <c r="O279" s="92" t="e">
        <f t="shared" si="182"/>
        <v>#DIV/0!</v>
      </c>
      <c r="P279" s="91">
        <f t="shared" si="183"/>
        <v>0</v>
      </c>
      <c r="Q279" s="91">
        <f t="shared" si="183"/>
        <v>0</v>
      </c>
      <c r="R279" s="92" t="e">
        <f t="shared" si="184"/>
        <v>#DIV/0!</v>
      </c>
      <c r="S279" s="38"/>
      <c r="T279" s="38"/>
      <c r="U279" s="92" t="e">
        <f t="shared" si="185"/>
        <v>#DIV/0!</v>
      </c>
      <c r="V279" s="38">
        <f t="shared" si="186"/>
        <v>0</v>
      </c>
      <c r="W279" s="38">
        <f t="shared" si="186"/>
        <v>0</v>
      </c>
      <c r="X279" s="92" t="e">
        <f t="shared" si="187"/>
        <v>#DIV/0!</v>
      </c>
      <c r="Y279" s="38"/>
      <c r="Z279" s="38"/>
      <c r="AA279" s="92" t="e">
        <f t="shared" si="188"/>
        <v>#DIV/0!</v>
      </c>
      <c r="AB279" s="38">
        <f t="shared" si="189"/>
        <v>0</v>
      </c>
      <c r="AC279" s="38">
        <f t="shared" si="189"/>
        <v>0</v>
      </c>
      <c r="AD279" s="92" t="e">
        <f t="shared" si="190"/>
        <v>#DIV/0!</v>
      </c>
      <c r="AE279" s="22"/>
      <c r="AF279" s="22"/>
      <c r="AG279" s="92" t="e">
        <f t="shared" si="191"/>
        <v>#DIV/0!</v>
      </c>
      <c r="AH279" s="22">
        <f t="shared" si="192"/>
        <v>0</v>
      </c>
      <c r="AI279" s="22">
        <f t="shared" si="192"/>
        <v>0</v>
      </c>
      <c r="AJ279" s="92" t="e">
        <f t="shared" si="193"/>
        <v>#DIV/0!</v>
      </c>
      <c r="AK279" s="22"/>
      <c r="AL279" s="22"/>
      <c r="AM279" s="92" t="e">
        <f t="shared" si="194"/>
        <v>#DIV/0!</v>
      </c>
      <c r="AN279" s="22">
        <f t="shared" si="195"/>
        <v>0</v>
      </c>
      <c r="AO279" s="22">
        <f t="shared" si="195"/>
        <v>0</v>
      </c>
      <c r="AP279" s="92" t="e">
        <f t="shared" si="196"/>
        <v>#DIV/0!</v>
      </c>
      <c r="AQ279" s="22"/>
      <c r="AR279" s="22"/>
      <c r="AS279" s="92" t="e">
        <f t="shared" si="197"/>
        <v>#DIV/0!</v>
      </c>
      <c r="AT279" s="22">
        <f t="shared" si="198"/>
        <v>0</v>
      </c>
      <c r="AU279" s="22">
        <f t="shared" si="198"/>
        <v>0</v>
      </c>
      <c r="AV279" s="92" t="e">
        <f t="shared" si="199"/>
        <v>#DIV/0!</v>
      </c>
      <c r="AW279" s="38"/>
      <c r="AX279" s="38"/>
      <c r="AY279" s="92" t="e">
        <f t="shared" si="200"/>
        <v>#DIV/0!</v>
      </c>
      <c r="AZ279" s="38">
        <f t="shared" si="201"/>
        <v>0</v>
      </c>
      <c r="BA279" s="38">
        <f t="shared" si="201"/>
        <v>0</v>
      </c>
      <c r="BB279" s="92" t="e">
        <f t="shared" si="202"/>
        <v>#DIV/0!</v>
      </c>
      <c r="BC279" s="38"/>
      <c r="BD279" s="38"/>
      <c r="BE279" s="92" t="e">
        <f t="shared" si="203"/>
        <v>#DIV/0!</v>
      </c>
      <c r="BF279" s="38">
        <f t="shared" si="204"/>
        <v>0</v>
      </c>
      <c r="BG279" s="38">
        <f t="shared" si="204"/>
        <v>0</v>
      </c>
      <c r="BH279" s="92" t="e">
        <f t="shared" si="205"/>
        <v>#DIV/0!</v>
      </c>
      <c r="BI279" s="22">
        <v>3258</v>
      </c>
      <c r="BJ279" s="22"/>
      <c r="BK279" s="22">
        <v>2510</v>
      </c>
      <c r="BL279" s="22">
        <v>5768</v>
      </c>
      <c r="BM279" s="96" t="e">
        <f t="shared" si="206"/>
        <v>#DIV/0!</v>
      </c>
      <c r="BN279" s="22"/>
    </row>
    <row r="280" spans="1:66">
      <c r="A280" s="80" t="s">
        <v>33</v>
      </c>
      <c r="B280" s="80" t="s">
        <v>33</v>
      </c>
      <c r="C280" s="86" t="s">
        <v>400</v>
      </c>
      <c r="D280" s="85" t="s">
        <v>61</v>
      </c>
      <c r="E280" s="33" t="s">
        <v>61</v>
      </c>
      <c r="F280" s="33" t="s">
        <v>359</v>
      </c>
      <c r="G280" s="33" t="s">
        <v>364</v>
      </c>
      <c r="H280" s="33" t="s">
        <v>360</v>
      </c>
      <c r="I280" s="33">
        <v>20</v>
      </c>
      <c r="J280" s="33"/>
      <c r="K280" s="91">
        <v>29261</v>
      </c>
      <c r="L280" s="92" t="e">
        <f t="shared" si="181"/>
        <v>#DIV/0!</v>
      </c>
      <c r="M280" s="91"/>
      <c r="N280" s="91"/>
      <c r="O280" s="92" t="e">
        <f t="shared" si="182"/>
        <v>#DIV/0!</v>
      </c>
      <c r="P280" s="91">
        <f t="shared" si="183"/>
        <v>0</v>
      </c>
      <c r="Q280" s="91">
        <f t="shared" si="183"/>
        <v>29261</v>
      </c>
      <c r="R280" s="92" t="e">
        <f t="shared" si="184"/>
        <v>#DIV/0!</v>
      </c>
      <c r="S280" s="38"/>
      <c r="T280" s="38"/>
      <c r="U280" s="92" t="e">
        <f t="shared" si="185"/>
        <v>#DIV/0!</v>
      </c>
      <c r="V280" s="38">
        <f t="shared" si="186"/>
        <v>0</v>
      </c>
      <c r="W280" s="38">
        <f t="shared" si="186"/>
        <v>29261</v>
      </c>
      <c r="X280" s="92" t="e">
        <f t="shared" si="187"/>
        <v>#DIV/0!</v>
      </c>
      <c r="Y280" s="38"/>
      <c r="Z280" s="38"/>
      <c r="AA280" s="92" t="e">
        <f t="shared" si="188"/>
        <v>#DIV/0!</v>
      </c>
      <c r="AB280" s="38">
        <f t="shared" si="189"/>
        <v>0</v>
      </c>
      <c r="AC280" s="38">
        <f t="shared" si="189"/>
        <v>29261</v>
      </c>
      <c r="AD280" s="92" t="e">
        <f t="shared" si="190"/>
        <v>#DIV/0!</v>
      </c>
      <c r="AE280" s="22"/>
      <c r="AF280" s="22"/>
      <c r="AG280" s="92" t="e">
        <f t="shared" si="191"/>
        <v>#DIV/0!</v>
      </c>
      <c r="AH280" s="22">
        <f t="shared" si="192"/>
        <v>0</v>
      </c>
      <c r="AI280" s="22">
        <f t="shared" si="192"/>
        <v>29261</v>
      </c>
      <c r="AJ280" s="92" t="e">
        <f t="shared" si="193"/>
        <v>#DIV/0!</v>
      </c>
      <c r="AK280" s="22"/>
      <c r="AL280" s="22"/>
      <c r="AM280" s="92" t="e">
        <f t="shared" si="194"/>
        <v>#DIV/0!</v>
      </c>
      <c r="AN280" s="22">
        <f t="shared" si="195"/>
        <v>0</v>
      </c>
      <c r="AO280" s="22">
        <f t="shared" si="195"/>
        <v>29261</v>
      </c>
      <c r="AP280" s="92" t="e">
        <f t="shared" si="196"/>
        <v>#DIV/0!</v>
      </c>
      <c r="AQ280" s="22"/>
      <c r="AR280" s="22"/>
      <c r="AS280" s="92" t="e">
        <f t="shared" si="197"/>
        <v>#DIV/0!</v>
      </c>
      <c r="AT280" s="22">
        <f t="shared" si="198"/>
        <v>0</v>
      </c>
      <c r="AU280" s="22">
        <f t="shared" si="198"/>
        <v>29261</v>
      </c>
      <c r="AV280" s="92" t="e">
        <f t="shared" si="199"/>
        <v>#DIV/0!</v>
      </c>
      <c r="AW280" s="38"/>
      <c r="AX280" s="38"/>
      <c r="AY280" s="92" t="e">
        <f t="shared" si="200"/>
        <v>#DIV/0!</v>
      </c>
      <c r="AZ280" s="38">
        <f t="shared" si="201"/>
        <v>0</v>
      </c>
      <c r="BA280" s="38">
        <f t="shared" si="201"/>
        <v>29261</v>
      </c>
      <c r="BB280" s="92" t="e">
        <f t="shared" si="202"/>
        <v>#DIV/0!</v>
      </c>
      <c r="BC280" s="38"/>
      <c r="BD280" s="38"/>
      <c r="BE280" s="92" t="e">
        <f t="shared" si="203"/>
        <v>#DIV/0!</v>
      </c>
      <c r="BF280" s="38">
        <f t="shared" si="204"/>
        <v>0</v>
      </c>
      <c r="BG280" s="38">
        <f t="shared" si="204"/>
        <v>29261</v>
      </c>
      <c r="BH280" s="92" t="e">
        <f t="shared" si="205"/>
        <v>#DIV/0!</v>
      </c>
      <c r="BI280" s="22"/>
      <c r="BJ280" s="22"/>
      <c r="BK280" s="22">
        <v>9284</v>
      </c>
      <c r="BL280" s="22">
        <v>9284</v>
      </c>
      <c r="BM280" s="96">
        <f t="shared" si="206"/>
        <v>0.14630499999999999</v>
      </c>
      <c r="BN280" s="22"/>
    </row>
    <row r="281" spans="1:66">
      <c r="A281" s="80" t="s">
        <v>33</v>
      </c>
      <c r="B281" s="80" t="s">
        <v>33</v>
      </c>
      <c r="C281" s="87" t="s">
        <v>119</v>
      </c>
      <c r="D281" s="88" t="s">
        <v>61</v>
      </c>
      <c r="E281" s="89" t="s">
        <v>61</v>
      </c>
      <c r="F281" s="89" t="s">
        <v>359</v>
      </c>
      <c r="G281" s="89" t="s">
        <v>364</v>
      </c>
      <c r="H281" s="89" t="s">
        <v>360</v>
      </c>
      <c r="I281" s="33"/>
      <c r="J281" s="33"/>
      <c r="K281" s="91">
        <v>7426.24</v>
      </c>
      <c r="L281" s="92" t="e">
        <f t="shared" si="181"/>
        <v>#DIV/0!</v>
      </c>
      <c r="M281" s="91"/>
      <c r="N281" s="91"/>
      <c r="O281" s="92" t="e">
        <f t="shared" si="182"/>
        <v>#DIV/0!</v>
      </c>
      <c r="P281" s="91">
        <f t="shared" si="183"/>
        <v>0</v>
      </c>
      <c r="Q281" s="91">
        <f t="shared" si="183"/>
        <v>7426.24</v>
      </c>
      <c r="R281" s="92" t="e">
        <f t="shared" si="184"/>
        <v>#DIV/0!</v>
      </c>
      <c r="S281" s="38"/>
      <c r="T281" s="38"/>
      <c r="U281" s="92" t="e">
        <f t="shared" si="185"/>
        <v>#DIV/0!</v>
      </c>
      <c r="V281" s="38">
        <f t="shared" si="186"/>
        <v>0</v>
      </c>
      <c r="W281" s="38">
        <f t="shared" si="186"/>
        <v>7426.24</v>
      </c>
      <c r="X281" s="92" t="e">
        <f t="shared" si="187"/>
        <v>#DIV/0!</v>
      </c>
      <c r="Y281" s="38"/>
      <c r="Z281" s="38"/>
      <c r="AA281" s="92" t="e">
        <f t="shared" si="188"/>
        <v>#DIV/0!</v>
      </c>
      <c r="AB281" s="38">
        <f t="shared" si="189"/>
        <v>0</v>
      </c>
      <c r="AC281" s="38">
        <f t="shared" si="189"/>
        <v>7426.24</v>
      </c>
      <c r="AD281" s="92" t="e">
        <f t="shared" si="190"/>
        <v>#DIV/0!</v>
      </c>
      <c r="AE281" s="22"/>
      <c r="AF281" s="22"/>
      <c r="AG281" s="92" t="e">
        <f t="shared" si="191"/>
        <v>#DIV/0!</v>
      </c>
      <c r="AH281" s="22">
        <f t="shared" si="192"/>
        <v>0</v>
      </c>
      <c r="AI281" s="22">
        <f t="shared" si="192"/>
        <v>7426.24</v>
      </c>
      <c r="AJ281" s="92" t="e">
        <f t="shared" si="193"/>
        <v>#DIV/0!</v>
      </c>
      <c r="AK281" s="22"/>
      <c r="AL281" s="22"/>
      <c r="AM281" s="92" t="e">
        <f t="shared" si="194"/>
        <v>#DIV/0!</v>
      </c>
      <c r="AN281" s="22">
        <f t="shared" si="195"/>
        <v>0</v>
      </c>
      <c r="AO281" s="22">
        <f t="shared" si="195"/>
        <v>7426.24</v>
      </c>
      <c r="AP281" s="92" t="e">
        <f t="shared" si="196"/>
        <v>#DIV/0!</v>
      </c>
      <c r="AQ281" s="22"/>
      <c r="AR281" s="22"/>
      <c r="AS281" s="92" t="e">
        <f t="shared" si="197"/>
        <v>#DIV/0!</v>
      </c>
      <c r="AT281" s="22">
        <f t="shared" si="198"/>
        <v>0</v>
      </c>
      <c r="AU281" s="22">
        <f t="shared" si="198"/>
        <v>7426.24</v>
      </c>
      <c r="AV281" s="92" t="e">
        <f t="shared" si="199"/>
        <v>#DIV/0!</v>
      </c>
      <c r="AW281" s="38"/>
      <c r="AX281" s="38"/>
      <c r="AY281" s="92" t="e">
        <f t="shared" si="200"/>
        <v>#DIV/0!</v>
      </c>
      <c r="AZ281" s="38">
        <f t="shared" si="201"/>
        <v>0</v>
      </c>
      <c r="BA281" s="38">
        <f t="shared" si="201"/>
        <v>7426.24</v>
      </c>
      <c r="BB281" s="92" t="e">
        <f t="shared" si="202"/>
        <v>#DIV/0!</v>
      </c>
      <c r="BC281" s="38"/>
      <c r="BD281" s="38"/>
      <c r="BE281" s="92" t="e">
        <f t="shared" si="203"/>
        <v>#DIV/0!</v>
      </c>
      <c r="BF281" s="38">
        <f t="shared" si="204"/>
        <v>0</v>
      </c>
      <c r="BG281" s="38">
        <f t="shared" si="204"/>
        <v>7426.24</v>
      </c>
      <c r="BH281" s="92" t="e">
        <f t="shared" si="205"/>
        <v>#DIV/0!</v>
      </c>
      <c r="BI281" s="22">
        <v>1856.56</v>
      </c>
      <c r="BJ281" s="22"/>
      <c r="BK281" s="22">
        <v>2139</v>
      </c>
      <c r="BL281" s="22">
        <v>3995.56</v>
      </c>
      <c r="BM281" s="96" t="e">
        <f t="shared" si="206"/>
        <v>#DIV/0!</v>
      </c>
      <c r="BN281" s="22"/>
    </row>
    <row r="282" spans="1:66">
      <c r="A282" s="80" t="s">
        <v>33</v>
      </c>
      <c r="B282" s="80" t="s">
        <v>33</v>
      </c>
      <c r="C282" s="87" t="s">
        <v>401</v>
      </c>
      <c r="D282" s="85" t="s">
        <v>61</v>
      </c>
      <c r="E282" s="33" t="s">
        <v>61</v>
      </c>
      <c r="F282" s="33" t="s">
        <v>351</v>
      </c>
      <c r="G282" s="33" t="s">
        <v>351</v>
      </c>
      <c r="H282" s="33" t="s">
        <v>352</v>
      </c>
      <c r="I282" s="33"/>
      <c r="J282" s="33"/>
      <c r="K282" s="91">
        <v>4364</v>
      </c>
      <c r="L282" s="92" t="e">
        <f t="shared" si="181"/>
        <v>#DIV/0!</v>
      </c>
      <c r="M282" s="91"/>
      <c r="N282" s="91"/>
      <c r="O282" s="92" t="e">
        <f t="shared" si="182"/>
        <v>#DIV/0!</v>
      </c>
      <c r="P282" s="91">
        <f t="shared" si="183"/>
        <v>0</v>
      </c>
      <c r="Q282" s="91">
        <f t="shared" si="183"/>
        <v>4364</v>
      </c>
      <c r="R282" s="92" t="e">
        <f t="shared" si="184"/>
        <v>#DIV/0!</v>
      </c>
      <c r="S282" s="38"/>
      <c r="T282" s="38"/>
      <c r="U282" s="92" t="e">
        <f t="shared" si="185"/>
        <v>#DIV/0!</v>
      </c>
      <c r="V282" s="38">
        <f t="shared" si="186"/>
        <v>0</v>
      </c>
      <c r="W282" s="38">
        <f t="shared" si="186"/>
        <v>4364</v>
      </c>
      <c r="X282" s="92" t="e">
        <f t="shared" si="187"/>
        <v>#DIV/0!</v>
      </c>
      <c r="Y282" s="38"/>
      <c r="Z282" s="38"/>
      <c r="AA282" s="92" t="e">
        <f t="shared" si="188"/>
        <v>#DIV/0!</v>
      </c>
      <c r="AB282" s="38">
        <f t="shared" si="189"/>
        <v>0</v>
      </c>
      <c r="AC282" s="38">
        <f t="shared" si="189"/>
        <v>4364</v>
      </c>
      <c r="AD282" s="92" t="e">
        <f t="shared" si="190"/>
        <v>#DIV/0!</v>
      </c>
      <c r="AE282" s="22"/>
      <c r="AF282" s="22"/>
      <c r="AG282" s="92" t="e">
        <f t="shared" si="191"/>
        <v>#DIV/0!</v>
      </c>
      <c r="AH282" s="22">
        <f t="shared" si="192"/>
        <v>0</v>
      </c>
      <c r="AI282" s="22">
        <f t="shared" si="192"/>
        <v>4364</v>
      </c>
      <c r="AJ282" s="92" t="e">
        <f t="shared" si="193"/>
        <v>#DIV/0!</v>
      </c>
      <c r="AK282" s="22"/>
      <c r="AL282" s="22"/>
      <c r="AM282" s="92" t="e">
        <f t="shared" si="194"/>
        <v>#DIV/0!</v>
      </c>
      <c r="AN282" s="22">
        <f t="shared" si="195"/>
        <v>0</v>
      </c>
      <c r="AO282" s="22">
        <f t="shared" si="195"/>
        <v>4364</v>
      </c>
      <c r="AP282" s="92" t="e">
        <f t="shared" si="196"/>
        <v>#DIV/0!</v>
      </c>
      <c r="AQ282" s="22"/>
      <c r="AR282" s="22"/>
      <c r="AS282" s="92" t="e">
        <f t="shared" si="197"/>
        <v>#DIV/0!</v>
      </c>
      <c r="AT282" s="22">
        <f t="shared" si="198"/>
        <v>0</v>
      </c>
      <c r="AU282" s="22">
        <f t="shared" si="198"/>
        <v>4364</v>
      </c>
      <c r="AV282" s="92" t="e">
        <f t="shared" si="199"/>
        <v>#DIV/0!</v>
      </c>
      <c r="AW282" s="38"/>
      <c r="AX282" s="38"/>
      <c r="AY282" s="92" t="e">
        <f t="shared" si="200"/>
        <v>#DIV/0!</v>
      </c>
      <c r="AZ282" s="38">
        <f t="shared" si="201"/>
        <v>0</v>
      </c>
      <c r="BA282" s="38">
        <f t="shared" si="201"/>
        <v>4364</v>
      </c>
      <c r="BB282" s="92" t="e">
        <f t="shared" si="202"/>
        <v>#DIV/0!</v>
      </c>
      <c r="BC282" s="38"/>
      <c r="BD282" s="38"/>
      <c r="BE282" s="92" t="e">
        <f t="shared" si="203"/>
        <v>#DIV/0!</v>
      </c>
      <c r="BF282" s="38">
        <f t="shared" si="204"/>
        <v>0</v>
      </c>
      <c r="BG282" s="38">
        <f t="shared" si="204"/>
        <v>4364</v>
      </c>
      <c r="BH282" s="92" t="e">
        <f t="shared" si="205"/>
        <v>#DIV/0!</v>
      </c>
      <c r="BI282" s="22"/>
      <c r="BJ282" s="22"/>
      <c r="BK282" s="22">
        <v>9819</v>
      </c>
      <c r="BL282" s="22">
        <v>9819</v>
      </c>
      <c r="BM282" s="96" t="e">
        <f t="shared" si="206"/>
        <v>#DIV/0!</v>
      </c>
      <c r="BN282" s="22"/>
    </row>
    <row r="283" spans="1:66">
      <c r="A283" s="80" t="s">
        <v>33</v>
      </c>
      <c r="B283" s="80" t="s">
        <v>33</v>
      </c>
      <c r="C283" s="87" t="s">
        <v>402</v>
      </c>
      <c r="D283" s="85" t="s">
        <v>61</v>
      </c>
      <c r="E283" s="33" t="s">
        <v>61</v>
      </c>
      <c r="F283" s="33" t="s">
        <v>366</v>
      </c>
      <c r="G283" s="33" t="s">
        <v>366</v>
      </c>
      <c r="H283" s="33" t="s">
        <v>360</v>
      </c>
      <c r="I283" s="33"/>
      <c r="J283" s="33"/>
      <c r="K283" s="91">
        <v>1454</v>
      </c>
      <c r="L283" s="92" t="e">
        <f t="shared" si="181"/>
        <v>#DIV/0!</v>
      </c>
      <c r="M283" s="91"/>
      <c r="N283" s="91"/>
      <c r="O283" s="92" t="e">
        <f t="shared" si="182"/>
        <v>#DIV/0!</v>
      </c>
      <c r="P283" s="91">
        <f t="shared" si="183"/>
        <v>0</v>
      </c>
      <c r="Q283" s="91">
        <f t="shared" si="183"/>
        <v>1454</v>
      </c>
      <c r="R283" s="92" t="e">
        <f t="shared" si="184"/>
        <v>#DIV/0!</v>
      </c>
      <c r="S283" s="38"/>
      <c r="T283" s="38"/>
      <c r="U283" s="92" t="e">
        <f t="shared" si="185"/>
        <v>#DIV/0!</v>
      </c>
      <c r="V283" s="38">
        <f t="shared" si="186"/>
        <v>0</v>
      </c>
      <c r="W283" s="38">
        <f t="shared" si="186"/>
        <v>1454</v>
      </c>
      <c r="X283" s="92" t="e">
        <f t="shared" si="187"/>
        <v>#DIV/0!</v>
      </c>
      <c r="Y283" s="38"/>
      <c r="Z283" s="38"/>
      <c r="AA283" s="92" t="e">
        <f t="shared" si="188"/>
        <v>#DIV/0!</v>
      </c>
      <c r="AB283" s="38">
        <f t="shared" si="189"/>
        <v>0</v>
      </c>
      <c r="AC283" s="38">
        <f t="shared" si="189"/>
        <v>1454</v>
      </c>
      <c r="AD283" s="92" t="e">
        <f t="shared" si="190"/>
        <v>#DIV/0!</v>
      </c>
      <c r="AE283" s="22"/>
      <c r="AF283" s="22"/>
      <c r="AG283" s="92" t="e">
        <f t="shared" si="191"/>
        <v>#DIV/0!</v>
      </c>
      <c r="AH283" s="22">
        <f t="shared" si="192"/>
        <v>0</v>
      </c>
      <c r="AI283" s="22">
        <f t="shared" si="192"/>
        <v>1454</v>
      </c>
      <c r="AJ283" s="92" t="e">
        <f t="shared" si="193"/>
        <v>#DIV/0!</v>
      </c>
      <c r="AK283" s="22"/>
      <c r="AL283" s="22"/>
      <c r="AM283" s="92" t="e">
        <f t="shared" si="194"/>
        <v>#DIV/0!</v>
      </c>
      <c r="AN283" s="22">
        <f t="shared" si="195"/>
        <v>0</v>
      </c>
      <c r="AO283" s="22">
        <f t="shared" si="195"/>
        <v>1454</v>
      </c>
      <c r="AP283" s="92" t="e">
        <f t="shared" si="196"/>
        <v>#DIV/0!</v>
      </c>
      <c r="AQ283" s="22"/>
      <c r="AR283" s="22"/>
      <c r="AS283" s="92" t="e">
        <f t="shared" si="197"/>
        <v>#DIV/0!</v>
      </c>
      <c r="AT283" s="22">
        <f t="shared" si="198"/>
        <v>0</v>
      </c>
      <c r="AU283" s="22">
        <f t="shared" si="198"/>
        <v>1454</v>
      </c>
      <c r="AV283" s="92" t="e">
        <f t="shared" si="199"/>
        <v>#DIV/0!</v>
      </c>
      <c r="AW283" s="38"/>
      <c r="AX283" s="38"/>
      <c r="AY283" s="92" t="e">
        <f t="shared" si="200"/>
        <v>#DIV/0!</v>
      </c>
      <c r="AZ283" s="38">
        <f t="shared" si="201"/>
        <v>0</v>
      </c>
      <c r="BA283" s="38">
        <f t="shared" si="201"/>
        <v>1454</v>
      </c>
      <c r="BB283" s="92" t="e">
        <f t="shared" si="202"/>
        <v>#DIV/0!</v>
      </c>
      <c r="BC283" s="38"/>
      <c r="BD283" s="38"/>
      <c r="BE283" s="92" t="e">
        <f t="shared" si="203"/>
        <v>#DIV/0!</v>
      </c>
      <c r="BF283" s="38">
        <f t="shared" si="204"/>
        <v>0</v>
      </c>
      <c r="BG283" s="38">
        <f t="shared" si="204"/>
        <v>1454</v>
      </c>
      <c r="BH283" s="92" t="e">
        <f t="shared" si="205"/>
        <v>#DIV/0!</v>
      </c>
      <c r="BI283" s="22"/>
      <c r="BJ283" s="22"/>
      <c r="BK283" s="22"/>
      <c r="BL283" s="22"/>
      <c r="BM283" s="96" t="e">
        <f t="shared" si="206"/>
        <v>#DIV/0!</v>
      </c>
      <c r="BN283" s="22"/>
    </row>
    <row r="284" spans="1:66">
      <c r="A284" s="80" t="s">
        <v>33</v>
      </c>
      <c r="B284" s="80" t="s">
        <v>33</v>
      </c>
      <c r="C284" s="86" t="s">
        <v>403</v>
      </c>
      <c r="D284" s="85" t="s">
        <v>61</v>
      </c>
      <c r="E284" s="33" t="s">
        <v>61</v>
      </c>
      <c r="F284" s="33" t="s">
        <v>351</v>
      </c>
      <c r="G284" s="33" t="s">
        <v>351</v>
      </c>
      <c r="H284" s="33" t="s">
        <v>352</v>
      </c>
      <c r="I284" s="33">
        <v>5</v>
      </c>
      <c r="J284" s="33"/>
      <c r="K284" s="91"/>
      <c r="L284" s="92"/>
      <c r="M284" s="91"/>
      <c r="N284" s="91"/>
      <c r="O284" s="92"/>
      <c r="P284" s="91"/>
      <c r="Q284" s="91"/>
      <c r="R284" s="92"/>
      <c r="S284" s="38"/>
      <c r="T284" s="38">
        <v>8647</v>
      </c>
      <c r="U284" s="92" t="e">
        <f t="shared" si="185"/>
        <v>#DIV/0!</v>
      </c>
      <c r="V284" s="38">
        <f t="shared" si="186"/>
        <v>0</v>
      </c>
      <c r="W284" s="38">
        <f t="shared" si="186"/>
        <v>8647</v>
      </c>
      <c r="X284" s="92" t="e">
        <f t="shared" si="187"/>
        <v>#DIV/0!</v>
      </c>
      <c r="Y284" s="38"/>
      <c r="Z284" s="38"/>
      <c r="AA284" s="92" t="e">
        <f t="shared" si="188"/>
        <v>#DIV/0!</v>
      </c>
      <c r="AB284" s="38">
        <f t="shared" si="189"/>
        <v>0</v>
      </c>
      <c r="AC284" s="38">
        <f t="shared" si="189"/>
        <v>8647</v>
      </c>
      <c r="AD284" s="92" t="e">
        <f t="shared" si="190"/>
        <v>#DIV/0!</v>
      </c>
      <c r="AE284" s="22"/>
      <c r="AF284" s="22">
        <v>18085</v>
      </c>
      <c r="AG284" s="92" t="e">
        <f t="shared" si="191"/>
        <v>#DIV/0!</v>
      </c>
      <c r="AH284" s="22">
        <f t="shared" si="192"/>
        <v>0</v>
      </c>
      <c r="AI284" s="22">
        <f t="shared" si="192"/>
        <v>26732</v>
      </c>
      <c r="AJ284" s="92" t="e">
        <f t="shared" si="193"/>
        <v>#DIV/0!</v>
      </c>
      <c r="AK284" s="22"/>
      <c r="AL284" s="22">
        <v>10637</v>
      </c>
      <c r="AM284" s="92" t="e">
        <f t="shared" si="194"/>
        <v>#DIV/0!</v>
      </c>
      <c r="AN284" s="22">
        <f t="shared" si="195"/>
        <v>0</v>
      </c>
      <c r="AO284" s="22">
        <f t="shared" si="195"/>
        <v>37369</v>
      </c>
      <c r="AP284" s="92" t="e">
        <f t="shared" si="196"/>
        <v>#DIV/0!</v>
      </c>
      <c r="AQ284" s="22"/>
      <c r="AR284" s="22"/>
      <c r="AS284" s="92" t="e">
        <f t="shared" si="197"/>
        <v>#DIV/0!</v>
      </c>
      <c r="AT284" s="22">
        <f t="shared" si="198"/>
        <v>0</v>
      </c>
      <c r="AU284" s="22">
        <f t="shared" si="198"/>
        <v>37369</v>
      </c>
      <c r="AV284" s="92" t="e">
        <f t="shared" si="199"/>
        <v>#DIV/0!</v>
      </c>
      <c r="AW284" s="38"/>
      <c r="AX284" s="38">
        <v>17339</v>
      </c>
      <c r="AY284" s="92" t="e">
        <f t="shared" si="200"/>
        <v>#DIV/0!</v>
      </c>
      <c r="AZ284" s="38">
        <f t="shared" si="201"/>
        <v>0</v>
      </c>
      <c r="BA284" s="38">
        <f t="shared" si="201"/>
        <v>54708</v>
      </c>
      <c r="BB284" s="92" t="e">
        <f t="shared" si="202"/>
        <v>#DIV/0!</v>
      </c>
      <c r="BC284" s="38"/>
      <c r="BD284" s="38">
        <v>13012</v>
      </c>
      <c r="BE284" s="92" t="e">
        <f t="shared" si="203"/>
        <v>#DIV/0!</v>
      </c>
      <c r="BF284" s="38">
        <f t="shared" si="204"/>
        <v>0</v>
      </c>
      <c r="BG284" s="38">
        <f t="shared" si="204"/>
        <v>67720</v>
      </c>
      <c r="BH284" s="92" t="e">
        <f t="shared" si="205"/>
        <v>#DIV/0!</v>
      </c>
      <c r="BI284" s="22"/>
      <c r="BJ284" s="22"/>
      <c r="BK284" s="22"/>
      <c r="BL284" s="22"/>
      <c r="BM284" s="96">
        <f t="shared" si="206"/>
        <v>1.3544</v>
      </c>
      <c r="BN284" s="22"/>
    </row>
    <row r="285" spans="1:66">
      <c r="A285" s="80" t="s">
        <v>33</v>
      </c>
      <c r="B285" s="80" t="s">
        <v>33</v>
      </c>
      <c r="C285" s="84" t="s">
        <v>404</v>
      </c>
      <c r="D285" s="85" t="s">
        <v>61</v>
      </c>
      <c r="E285" s="33" t="s">
        <v>61</v>
      </c>
      <c r="F285" s="33" t="s">
        <v>366</v>
      </c>
      <c r="G285" s="33" t="s">
        <v>366</v>
      </c>
      <c r="H285" s="33" t="s">
        <v>360</v>
      </c>
      <c r="I285" s="33"/>
      <c r="J285" s="33"/>
      <c r="K285" s="91"/>
      <c r="L285" s="92"/>
      <c r="M285" s="91"/>
      <c r="N285" s="91"/>
      <c r="O285" s="92"/>
      <c r="P285" s="91"/>
      <c r="Q285" s="91"/>
      <c r="R285" s="92"/>
      <c r="S285" s="38"/>
      <c r="T285" s="38"/>
      <c r="U285" s="92"/>
      <c r="V285" s="38"/>
      <c r="W285" s="38"/>
      <c r="X285" s="92"/>
      <c r="Y285" s="38"/>
      <c r="Z285" s="38">
        <v>25206</v>
      </c>
      <c r="AA285" s="92" t="e">
        <f t="shared" si="188"/>
        <v>#DIV/0!</v>
      </c>
      <c r="AB285" s="38">
        <f t="shared" si="189"/>
        <v>0</v>
      </c>
      <c r="AC285" s="38">
        <f t="shared" si="189"/>
        <v>25206</v>
      </c>
      <c r="AD285" s="92" t="e">
        <f t="shared" si="190"/>
        <v>#DIV/0!</v>
      </c>
      <c r="AE285" s="22"/>
      <c r="AF285" s="22"/>
      <c r="AG285" s="92" t="e">
        <f t="shared" si="191"/>
        <v>#DIV/0!</v>
      </c>
      <c r="AH285" s="22">
        <f t="shared" si="192"/>
        <v>0</v>
      </c>
      <c r="AI285" s="22">
        <f t="shared" si="192"/>
        <v>25206</v>
      </c>
      <c r="AJ285" s="92" t="e">
        <f t="shared" si="193"/>
        <v>#DIV/0!</v>
      </c>
      <c r="AK285" s="22"/>
      <c r="AL285" s="22">
        <v>3149</v>
      </c>
      <c r="AM285" s="92" t="e">
        <f t="shared" si="194"/>
        <v>#DIV/0!</v>
      </c>
      <c r="AN285" s="22">
        <f t="shared" si="195"/>
        <v>0</v>
      </c>
      <c r="AO285" s="22">
        <f t="shared" si="195"/>
        <v>28355</v>
      </c>
      <c r="AP285" s="92" t="e">
        <f t="shared" si="196"/>
        <v>#DIV/0!</v>
      </c>
      <c r="AQ285" s="22"/>
      <c r="AR285" s="22">
        <v>6182</v>
      </c>
      <c r="AS285" s="92" t="e">
        <f t="shared" si="197"/>
        <v>#DIV/0!</v>
      </c>
      <c r="AT285" s="22">
        <f t="shared" si="198"/>
        <v>0</v>
      </c>
      <c r="AU285" s="22">
        <f t="shared" si="198"/>
        <v>34537</v>
      </c>
      <c r="AV285" s="92" t="e">
        <f t="shared" si="199"/>
        <v>#DIV/0!</v>
      </c>
      <c r="AW285" s="38"/>
      <c r="AX285" s="38"/>
      <c r="AY285" s="92" t="e">
        <f t="shared" si="200"/>
        <v>#DIV/0!</v>
      </c>
      <c r="AZ285" s="38">
        <f t="shared" si="201"/>
        <v>0</v>
      </c>
      <c r="BA285" s="38">
        <f t="shared" si="201"/>
        <v>34537</v>
      </c>
      <c r="BB285" s="92" t="e">
        <f t="shared" si="202"/>
        <v>#DIV/0!</v>
      </c>
      <c r="BC285" s="38"/>
      <c r="BD285" s="38"/>
      <c r="BE285" s="92" t="e">
        <f t="shared" si="203"/>
        <v>#DIV/0!</v>
      </c>
      <c r="BF285" s="38">
        <f t="shared" si="204"/>
        <v>0</v>
      </c>
      <c r="BG285" s="38">
        <f t="shared" si="204"/>
        <v>34537</v>
      </c>
      <c r="BH285" s="92" t="e">
        <f t="shared" si="205"/>
        <v>#DIV/0!</v>
      </c>
      <c r="BI285" s="22"/>
      <c r="BJ285" s="22"/>
      <c r="BK285" s="22"/>
      <c r="BL285" s="22"/>
      <c r="BM285" s="96" t="e">
        <f t="shared" si="206"/>
        <v>#DIV/0!</v>
      </c>
      <c r="BN285" s="22"/>
    </row>
    <row r="286" spans="1:66">
      <c r="A286" s="80" t="s">
        <v>33</v>
      </c>
      <c r="B286" s="80" t="s">
        <v>33</v>
      </c>
      <c r="C286" s="85" t="s">
        <v>405</v>
      </c>
      <c r="D286" s="85" t="s">
        <v>61</v>
      </c>
      <c r="E286" s="33" t="s">
        <v>61</v>
      </c>
      <c r="F286" s="33" t="s">
        <v>366</v>
      </c>
      <c r="G286" s="33" t="s">
        <v>366</v>
      </c>
      <c r="H286" s="33" t="s">
        <v>360</v>
      </c>
      <c r="I286" s="33">
        <v>3</v>
      </c>
      <c r="J286" s="33"/>
      <c r="K286" s="91"/>
      <c r="L286" s="92"/>
      <c r="M286" s="91"/>
      <c r="N286" s="91"/>
      <c r="O286" s="92"/>
      <c r="P286" s="91"/>
      <c r="Q286" s="91"/>
      <c r="R286" s="92"/>
      <c r="S286" s="38"/>
      <c r="T286" s="38"/>
      <c r="U286" s="92"/>
      <c r="V286" s="38"/>
      <c r="W286" s="38"/>
      <c r="X286" s="92"/>
      <c r="Y286" s="38"/>
      <c r="Z286" s="38"/>
      <c r="AA286" s="92"/>
      <c r="AB286" s="38"/>
      <c r="AC286" s="38"/>
      <c r="AD286" s="92"/>
      <c r="AE286" s="22"/>
      <c r="AF286" s="22"/>
      <c r="AG286" s="92" t="e">
        <f t="shared" si="191"/>
        <v>#DIV/0!</v>
      </c>
      <c r="AH286" s="22">
        <f t="shared" si="192"/>
        <v>0</v>
      </c>
      <c r="AI286" s="22">
        <f t="shared" si="192"/>
        <v>0</v>
      </c>
      <c r="AJ286" s="92" t="e">
        <f t="shared" si="193"/>
        <v>#DIV/0!</v>
      </c>
      <c r="AK286" s="22"/>
      <c r="AL286" s="22"/>
      <c r="AM286" s="92" t="e">
        <f t="shared" si="194"/>
        <v>#DIV/0!</v>
      </c>
      <c r="AN286" s="22">
        <f t="shared" si="195"/>
        <v>0</v>
      </c>
      <c r="AO286" s="22">
        <f t="shared" si="195"/>
        <v>0</v>
      </c>
      <c r="AP286" s="92" t="e">
        <f t="shared" si="196"/>
        <v>#DIV/0!</v>
      </c>
      <c r="AQ286" s="22"/>
      <c r="AR286" s="22"/>
      <c r="AS286" s="92" t="e">
        <f t="shared" si="197"/>
        <v>#DIV/0!</v>
      </c>
      <c r="AT286" s="22">
        <f t="shared" si="198"/>
        <v>0</v>
      </c>
      <c r="AU286" s="22">
        <f t="shared" si="198"/>
        <v>0</v>
      </c>
      <c r="AV286" s="92" t="e">
        <f t="shared" si="199"/>
        <v>#DIV/0!</v>
      </c>
      <c r="AW286" s="38"/>
      <c r="AX286" s="38"/>
      <c r="AY286" s="92" t="e">
        <f t="shared" si="200"/>
        <v>#DIV/0!</v>
      </c>
      <c r="AZ286" s="38">
        <f t="shared" si="201"/>
        <v>0</v>
      </c>
      <c r="BA286" s="38">
        <f t="shared" si="201"/>
        <v>0</v>
      </c>
      <c r="BB286" s="92" t="e">
        <f t="shared" si="202"/>
        <v>#DIV/0!</v>
      </c>
      <c r="BC286" s="38"/>
      <c r="BD286" s="38"/>
      <c r="BE286" s="92" t="e">
        <f t="shared" si="203"/>
        <v>#DIV/0!</v>
      </c>
      <c r="BF286" s="38">
        <f t="shared" si="204"/>
        <v>0</v>
      </c>
      <c r="BG286" s="38">
        <f t="shared" si="204"/>
        <v>0</v>
      </c>
      <c r="BH286" s="92" t="e">
        <f t="shared" si="205"/>
        <v>#DIV/0!</v>
      </c>
      <c r="BI286" s="22"/>
      <c r="BJ286" s="22"/>
      <c r="BK286" s="22"/>
      <c r="BL286" s="22"/>
      <c r="BM286" s="96">
        <f t="shared" si="206"/>
        <v>0</v>
      </c>
      <c r="BN286" s="22"/>
    </row>
    <row r="287" spans="1:66">
      <c r="A287" s="61" t="s">
        <v>33</v>
      </c>
      <c r="B287" s="61" t="s">
        <v>33</v>
      </c>
      <c r="C287" s="85" t="s">
        <v>406</v>
      </c>
      <c r="D287" s="85" t="s">
        <v>61</v>
      </c>
      <c r="E287" s="33" t="s">
        <v>61</v>
      </c>
      <c r="F287" s="33" t="s">
        <v>366</v>
      </c>
      <c r="G287" s="33" t="s">
        <v>366</v>
      </c>
      <c r="H287" s="33" t="s">
        <v>360</v>
      </c>
      <c r="I287" s="33">
        <v>0</v>
      </c>
      <c r="J287" s="33"/>
      <c r="K287" s="91"/>
      <c r="L287" s="92"/>
      <c r="M287" s="91"/>
      <c r="N287" s="91"/>
      <c r="O287" s="92"/>
      <c r="P287" s="91"/>
      <c r="Q287" s="91"/>
      <c r="R287" s="92"/>
      <c r="S287" s="38"/>
      <c r="T287" s="38"/>
      <c r="U287" s="92"/>
      <c r="V287" s="38"/>
      <c r="W287" s="38"/>
      <c r="X287" s="92"/>
      <c r="Y287" s="38"/>
      <c r="Z287" s="38"/>
      <c r="AA287" s="92"/>
      <c r="AB287" s="38"/>
      <c r="AC287" s="38"/>
      <c r="AD287" s="92"/>
      <c r="AE287" s="22"/>
      <c r="AF287" s="22">
        <v>30000</v>
      </c>
      <c r="AG287" s="92" t="e">
        <f t="shared" si="191"/>
        <v>#DIV/0!</v>
      </c>
      <c r="AH287" s="22">
        <f t="shared" si="192"/>
        <v>0</v>
      </c>
      <c r="AI287" s="22">
        <f t="shared" si="192"/>
        <v>30000</v>
      </c>
      <c r="AJ287" s="92" t="e">
        <f t="shared" si="193"/>
        <v>#DIV/0!</v>
      </c>
      <c r="AK287" s="22"/>
      <c r="AL287" s="22"/>
      <c r="AM287" s="92" t="e">
        <f t="shared" si="194"/>
        <v>#DIV/0!</v>
      </c>
      <c r="AN287" s="22">
        <f t="shared" si="195"/>
        <v>0</v>
      </c>
      <c r="AO287" s="22">
        <f t="shared" si="195"/>
        <v>30000</v>
      </c>
      <c r="AP287" s="92" t="e">
        <f t="shared" si="196"/>
        <v>#DIV/0!</v>
      </c>
      <c r="AQ287" s="22"/>
      <c r="AR287" s="22">
        <v>12977</v>
      </c>
      <c r="AS287" s="92" t="e">
        <f t="shared" si="197"/>
        <v>#DIV/0!</v>
      </c>
      <c r="AT287" s="22">
        <f t="shared" si="198"/>
        <v>0</v>
      </c>
      <c r="AU287" s="22">
        <f t="shared" si="198"/>
        <v>42977</v>
      </c>
      <c r="AV287" s="92" t="e">
        <f t="shared" si="199"/>
        <v>#DIV/0!</v>
      </c>
      <c r="AW287" s="38"/>
      <c r="AX287" s="38">
        <v>12129</v>
      </c>
      <c r="AY287" s="92" t="e">
        <f t="shared" si="200"/>
        <v>#DIV/0!</v>
      </c>
      <c r="AZ287" s="38">
        <f t="shared" si="201"/>
        <v>0</v>
      </c>
      <c r="BA287" s="38">
        <f t="shared" si="201"/>
        <v>55106</v>
      </c>
      <c r="BB287" s="92" t="e">
        <f t="shared" si="202"/>
        <v>#DIV/0!</v>
      </c>
      <c r="BC287" s="38"/>
      <c r="BD287" s="38">
        <v>4482</v>
      </c>
      <c r="BE287" s="92" t="e">
        <f t="shared" si="203"/>
        <v>#DIV/0!</v>
      </c>
      <c r="BF287" s="38">
        <f t="shared" si="204"/>
        <v>0</v>
      </c>
      <c r="BG287" s="38">
        <f t="shared" si="204"/>
        <v>59588</v>
      </c>
      <c r="BH287" s="92" t="e">
        <f t="shared" si="205"/>
        <v>#DIV/0!</v>
      </c>
      <c r="BI287" s="22"/>
      <c r="BJ287" s="22"/>
      <c r="BK287" s="22"/>
      <c r="BL287" s="22"/>
      <c r="BM287" s="96" t="e">
        <f t="shared" si="206"/>
        <v>#DIV/0!</v>
      </c>
      <c r="BN287" s="22"/>
    </row>
    <row r="288" spans="1:66">
      <c r="A288" s="61" t="s">
        <v>33</v>
      </c>
      <c r="B288" s="61" t="s">
        <v>33</v>
      </c>
      <c r="C288" s="55" t="s">
        <v>407</v>
      </c>
      <c r="D288" s="61" t="s">
        <v>61</v>
      </c>
      <c r="E288" s="61" t="s">
        <v>61</v>
      </c>
      <c r="F288" s="61" t="s">
        <v>376</v>
      </c>
      <c r="G288" s="61" t="s">
        <v>376</v>
      </c>
      <c r="H288" s="61" t="s">
        <v>360</v>
      </c>
      <c r="I288" s="33"/>
      <c r="J288" s="33"/>
      <c r="K288" s="91"/>
      <c r="L288" s="92"/>
      <c r="M288" s="91"/>
      <c r="N288" s="91"/>
      <c r="O288" s="92"/>
      <c r="P288" s="91"/>
      <c r="Q288" s="91"/>
      <c r="R288" s="92"/>
      <c r="S288" s="38"/>
      <c r="T288" s="38">
        <v>61525</v>
      </c>
      <c r="U288" s="92" t="e">
        <f>T288/S288-1</f>
        <v>#DIV/0!</v>
      </c>
      <c r="V288" s="38">
        <f>S288+P288</f>
        <v>0</v>
      </c>
      <c r="W288" s="38">
        <f>T288+Q288</f>
        <v>61525</v>
      </c>
      <c r="X288" s="92" t="e">
        <f>W288/V288-1</f>
        <v>#DIV/0!</v>
      </c>
      <c r="Y288" s="38"/>
      <c r="Z288" s="38">
        <v>91231</v>
      </c>
      <c r="AA288" s="92" t="e">
        <f>Z288/Y288-1</f>
        <v>#DIV/0!</v>
      </c>
      <c r="AB288" s="38">
        <f>V288+Y288</f>
        <v>0</v>
      </c>
      <c r="AC288" s="38">
        <f>W288+Z288</f>
        <v>152756</v>
      </c>
      <c r="AD288" s="92" t="e">
        <f>AC288/AB288-1</f>
        <v>#DIV/0!</v>
      </c>
      <c r="AE288" s="22"/>
      <c r="AF288" s="22">
        <v>34471</v>
      </c>
      <c r="AG288" s="92" t="e">
        <f t="shared" si="191"/>
        <v>#DIV/0!</v>
      </c>
      <c r="AH288" s="22">
        <f t="shared" si="192"/>
        <v>0</v>
      </c>
      <c r="AI288" s="22">
        <f t="shared" si="192"/>
        <v>187227</v>
      </c>
      <c r="AJ288" s="92" t="e">
        <f t="shared" si="193"/>
        <v>#DIV/0!</v>
      </c>
      <c r="AK288" s="22"/>
      <c r="AL288" s="22">
        <v>56029</v>
      </c>
      <c r="AM288" s="92" t="e">
        <f t="shared" si="194"/>
        <v>#DIV/0!</v>
      </c>
      <c r="AN288" s="22">
        <f t="shared" si="195"/>
        <v>0</v>
      </c>
      <c r="AO288" s="22">
        <f t="shared" si="195"/>
        <v>243256</v>
      </c>
      <c r="AP288" s="92" t="e">
        <f t="shared" si="196"/>
        <v>#DIV/0!</v>
      </c>
      <c r="AQ288" s="22"/>
      <c r="AR288" s="22">
        <v>95427</v>
      </c>
      <c r="AS288" s="92" t="e">
        <f t="shared" si="197"/>
        <v>#DIV/0!</v>
      </c>
      <c r="AT288" s="22">
        <f t="shared" si="198"/>
        <v>0</v>
      </c>
      <c r="AU288" s="22">
        <f t="shared" si="198"/>
        <v>338683</v>
      </c>
      <c r="AV288" s="92" t="e">
        <f t="shared" si="199"/>
        <v>#DIV/0!</v>
      </c>
      <c r="AW288" s="38"/>
      <c r="AX288" s="38">
        <v>43248</v>
      </c>
      <c r="AY288" s="92" t="e">
        <f t="shared" si="200"/>
        <v>#DIV/0!</v>
      </c>
      <c r="AZ288" s="38">
        <f t="shared" si="201"/>
        <v>0</v>
      </c>
      <c r="BA288" s="38">
        <f t="shared" si="201"/>
        <v>381931</v>
      </c>
      <c r="BB288" s="92" t="e">
        <f t="shared" si="202"/>
        <v>#DIV/0!</v>
      </c>
      <c r="BC288" s="38"/>
      <c r="BD288" s="38"/>
      <c r="BE288" s="92" t="e">
        <f t="shared" si="203"/>
        <v>#DIV/0!</v>
      </c>
      <c r="BF288" s="38">
        <f t="shared" si="204"/>
        <v>0</v>
      </c>
      <c r="BG288" s="38">
        <f t="shared" si="204"/>
        <v>381931</v>
      </c>
      <c r="BH288" s="92" t="e">
        <f t="shared" si="205"/>
        <v>#DIV/0!</v>
      </c>
      <c r="BI288" s="22"/>
      <c r="BJ288" s="22"/>
      <c r="BK288" s="22"/>
      <c r="BL288" s="22"/>
      <c r="BM288" s="96" t="e">
        <f t="shared" si="206"/>
        <v>#DIV/0!</v>
      </c>
      <c r="BN288" s="22"/>
    </row>
    <row r="289" spans="1:66">
      <c r="A289" s="61" t="s">
        <v>33</v>
      </c>
      <c r="B289" s="61" t="s">
        <v>33</v>
      </c>
      <c r="C289" s="22" t="s">
        <v>408</v>
      </c>
      <c r="D289" s="61" t="s">
        <v>61</v>
      </c>
      <c r="E289" s="61" t="s">
        <v>61</v>
      </c>
      <c r="F289" s="33" t="s">
        <v>359</v>
      </c>
      <c r="G289" s="33" t="s">
        <v>364</v>
      </c>
      <c r="H289" s="33" t="s">
        <v>360</v>
      </c>
      <c r="I289" s="33">
        <v>10</v>
      </c>
      <c r="J289" s="33"/>
      <c r="K289" s="91"/>
      <c r="L289" s="92"/>
      <c r="M289" s="91"/>
      <c r="N289" s="91"/>
      <c r="O289" s="92"/>
      <c r="P289" s="91"/>
      <c r="Q289" s="91"/>
      <c r="R289" s="92"/>
      <c r="S289" s="38"/>
      <c r="T289" s="38"/>
      <c r="U289" s="92"/>
      <c r="V289" s="38"/>
      <c r="W289" s="38"/>
      <c r="X289" s="92"/>
      <c r="Y289" s="38"/>
      <c r="Z289" s="38"/>
      <c r="AA289" s="92"/>
      <c r="AB289" s="38"/>
      <c r="AC289" s="38"/>
      <c r="AD289" s="92"/>
      <c r="AE289" s="22"/>
      <c r="AF289" s="22"/>
      <c r="AG289" s="92"/>
      <c r="AH289" s="22"/>
      <c r="AI289" s="22"/>
      <c r="AJ289" s="92"/>
      <c r="AK289" s="22"/>
      <c r="AL289" s="22"/>
      <c r="AM289" s="92"/>
      <c r="AN289" s="22"/>
      <c r="AO289" s="22"/>
      <c r="AP289" s="92"/>
      <c r="AQ289" s="22"/>
      <c r="AR289" s="22">
        <v>8600</v>
      </c>
      <c r="AS289" s="92" t="e">
        <f t="shared" si="197"/>
        <v>#DIV/0!</v>
      </c>
      <c r="AT289" s="22">
        <f t="shared" si="198"/>
        <v>0</v>
      </c>
      <c r="AU289" s="22">
        <f t="shared" si="198"/>
        <v>8600</v>
      </c>
      <c r="AV289" s="92" t="e">
        <f t="shared" si="199"/>
        <v>#DIV/0!</v>
      </c>
      <c r="AW289" s="38"/>
      <c r="AX289" s="38"/>
      <c r="AY289" s="92" t="e">
        <f t="shared" si="200"/>
        <v>#DIV/0!</v>
      </c>
      <c r="AZ289" s="38">
        <f t="shared" si="201"/>
        <v>0</v>
      </c>
      <c r="BA289" s="38">
        <f t="shared" si="201"/>
        <v>8600</v>
      </c>
      <c r="BB289" s="92" t="e">
        <f t="shared" si="202"/>
        <v>#DIV/0!</v>
      </c>
      <c r="BC289" s="38"/>
      <c r="BD289" s="38">
        <v>41057.82</v>
      </c>
      <c r="BE289" s="92" t="e">
        <f t="shared" si="203"/>
        <v>#DIV/0!</v>
      </c>
      <c r="BF289" s="38">
        <f t="shared" si="204"/>
        <v>0</v>
      </c>
      <c r="BG289" s="38">
        <f t="shared" si="204"/>
        <v>49657.82</v>
      </c>
      <c r="BH289" s="92" t="e">
        <f t="shared" si="205"/>
        <v>#DIV/0!</v>
      </c>
      <c r="BI289" s="22"/>
      <c r="BJ289" s="22"/>
      <c r="BK289" s="22"/>
      <c r="BL289" s="22"/>
      <c r="BM289" s="96">
        <f t="shared" si="206"/>
        <v>0.49657819999999997</v>
      </c>
      <c r="BN289" s="22"/>
    </row>
    <row r="290" spans="1:66">
      <c r="A290" s="61" t="s">
        <v>33</v>
      </c>
      <c r="B290" s="61" t="s">
        <v>33</v>
      </c>
      <c r="C290" s="22" t="s">
        <v>409</v>
      </c>
      <c r="D290" s="61" t="s">
        <v>61</v>
      </c>
      <c r="E290" s="61" t="s">
        <v>61</v>
      </c>
      <c r="F290" s="61" t="s">
        <v>351</v>
      </c>
      <c r="G290" s="33" t="s">
        <v>351</v>
      </c>
      <c r="H290" s="33" t="s">
        <v>352</v>
      </c>
      <c r="I290" s="33">
        <v>10</v>
      </c>
      <c r="J290" s="33"/>
      <c r="K290" s="91"/>
      <c r="L290" s="92"/>
      <c r="M290" s="91"/>
      <c r="N290" s="91"/>
      <c r="O290" s="92"/>
      <c r="P290" s="91"/>
      <c r="Q290" s="91"/>
      <c r="R290" s="92"/>
      <c r="S290" s="38"/>
      <c r="T290" s="38"/>
      <c r="U290" s="92"/>
      <c r="V290" s="38"/>
      <c r="W290" s="38"/>
      <c r="X290" s="92"/>
      <c r="Y290" s="38"/>
      <c r="Z290" s="38"/>
      <c r="AA290" s="92"/>
      <c r="AB290" s="38"/>
      <c r="AC290" s="38"/>
      <c r="AD290" s="92"/>
      <c r="AE290" s="22"/>
      <c r="AF290" s="22"/>
      <c r="AG290" s="92"/>
      <c r="AH290" s="22"/>
      <c r="AI290" s="22"/>
      <c r="AJ290" s="92"/>
      <c r="AK290" s="22"/>
      <c r="AL290" s="22"/>
      <c r="AM290" s="92"/>
      <c r="AN290" s="22"/>
      <c r="AO290" s="22"/>
      <c r="AP290" s="92"/>
      <c r="AQ290" s="22"/>
      <c r="AR290" s="22">
        <v>14623</v>
      </c>
      <c r="AS290" s="92" t="e">
        <f t="shared" si="197"/>
        <v>#DIV/0!</v>
      </c>
      <c r="AT290" s="22">
        <f t="shared" si="198"/>
        <v>0</v>
      </c>
      <c r="AU290" s="22">
        <f t="shared" si="198"/>
        <v>14623</v>
      </c>
      <c r="AV290" s="92" t="e">
        <f t="shared" si="199"/>
        <v>#DIV/0!</v>
      </c>
      <c r="AW290" s="38"/>
      <c r="AX290" s="38">
        <v>11267</v>
      </c>
      <c r="AY290" s="92" t="e">
        <f t="shared" si="200"/>
        <v>#DIV/0!</v>
      </c>
      <c r="AZ290" s="38">
        <f t="shared" si="201"/>
        <v>0</v>
      </c>
      <c r="BA290" s="38">
        <f t="shared" si="201"/>
        <v>25890</v>
      </c>
      <c r="BB290" s="92" t="e">
        <f t="shared" si="202"/>
        <v>#DIV/0!</v>
      </c>
      <c r="BC290" s="38"/>
      <c r="BD290" s="38">
        <v>4348</v>
      </c>
      <c r="BE290" s="92" t="e">
        <f t="shared" si="203"/>
        <v>#DIV/0!</v>
      </c>
      <c r="BF290" s="38">
        <f t="shared" si="204"/>
        <v>0</v>
      </c>
      <c r="BG290" s="38">
        <f t="shared" si="204"/>
        <v>30238</v>
      </c>
      <c r="BH290" s="92" t="e">
        <f t="shared" si="205"/>
        <v>#DIV/0!</v>
      </c>
      <c r="BI290" s="22"/>
      <c r="BJ290" s="22"/>
      <c r="BK290" s="22"/>
      <c r="BL290" s="22"/>
      <c r="BM290" s="96">
        <f t="shared" si="206"/>
        <v>0.30237999999999998</v>
      </c>
      <c r="BN290" s="22"/>
    </row>
    <row r="291" spans="1:66">
      <c r="A291" s="61" t="s">
        <v>33</v>
      </c>
      <c r="B291" s="61" t="s">
        <v>33</v>
      </c>
      <c r="C291" s="22" t="s">
        <v>410</v>
      </c>
      <c r="D291" s="61" t="s">
        <v>61</v>
      </c>
      <c r="E291" s="61" t="s">
        <v>61</v>
      </c>
      <c r="F291" s="33" t="s">
        <v>359</v>
      </c>
      <c r="G291" s="33" t="s">
        <v>364</v>
      </c>
      <c r="H291" s="33" t="s">
        <v>360</v>
      </c>
      <c r="I291" s="33">
        <v>10</v>
      </c>
      <c r="J291" s="33"/>
      <c r="K291" s="91"/>
      <c r="L291" s="92"/>
      <c r="M291" s="91"/>
      <c r="N291" s="91"/>
      <c r="O291" s="92"/>
      <c r="P291" s="91"/>
      <c r="Q291" s="91"/>
      <c r="R291" s="92"/>
      <c r="S291" s="38"/>
      <c r="T291" s="38"/>
      <c r="U291" s="92"/>
      <c r="V291" s="38"/>
      <c r="W291" s="38"/>
      <c r="X291" s="92"/>
      <c r="Y291" s="38"/>
      <c r="Z291" s="38"/>
      <c r="AA291" s="92"/>
      <c r="AB291" s="38"/>
      <c r="AC291" s="38"/>
      <c r="AD291" s="92"/>
      <c r="AE291" s="22"/>
      <c r="AF291" s="22"/>
      <c r="AG291" s="92"/>
      <c r="AH291" s="22"/>
      <c r="AI291" s="22"/>
      <c r="AJ291" s="92"/>
      <c r="AK291" s="22"/>
      <c r="AL291" s="22"/>
      <c r="AM291" s="92"/>
      <c r="AN291" s="22"/>
      <c r="AO291" s="22"/>
      <c r="AP291" s="92"/>
      <c r="AQ291" s="22"/>
      <c r="AR291" s="22">
        <v>6000</v>
      </c>
      <c r="AS291" s="92" t="e">
        <f t="shared" si="197"/>
        <v>#DIV/0!</v>
      </c>
      <c r="AT291" s="22">
        <f t="shared" si="198"/>
        <v>0</v>
      </c>
      <c r="AU291" s="22">
        <f t="shared" si="198"/>
        <v>6000</v>
      </c>
      <c r="AV291" s="92" t="e">
        <f t="shared" si="199"/>
        <v>#DIV/0!</v>
      </c>
      <c r="AW291" s="38"/>
      <c r="AX291" s="38">
        <v>13570</v>
      </c>
      <c r="AY291" s="92" t="e">
        <f t="shared" si="200"/>
        <v>#DIV/0!</v>
      </c>
      <c r="AZ291" s="38">
        <f t="shared" si="201"/>
        <v>0</v>
      </c>
      <c r="BA291" s="38">
        <f t="shared" si="201"/>
        <v>19570</v>
      </c>
      <c r="BB291" s="92" t="e">
        <f t="shared" si="202"/>
        <v>#DIV/0!</v>
      </c>
      <c r="BC291" s="38"/>
      <c r="BD291" s="38">
        <v>78615.12</v>
      </c>
      <c r="BE291" s="92" t="e">
        <f t="shared" si="203"/>
        <v>#DIV/0!</v>
      </c>
      <c r="BF291" s="38">
        <f t="shared" si="204"/>
        <v>0</v>
      </c>
      <c r="BG291" s="38">
        <f t="shared" si="204"/>
        <v>98185.12</v>
      </c>
      <c r="BH291" s="92" t="e">
        <f t="shared" si="205"/>
        <v>#DIV/0!</v>
      </c>
      <c r="BI291" s="22"/>
      <c r="BJ291" s="22"/>
      <c r="BK291" s="22"/>
      <c r="BL291" s="22"/>
      <c r="BM291" s="96">
        <f t="shared" si="206"/>
        <v>0.98185120000000004</v>
      </c>
      <c r="BN291" s="22"/>
    </row>
    <row r="292" spans="1:66">
      <c r="A292" s="61" t="s">
        <v>33</v>
      </c>
      <c r="B292" s="61" t="s">
        <v>33</v>
      </c>
      <c r="C292" s="22" t="s">
        <v>411</v>
      </c>
      <c r="D292" s="61" t="s">
        <v>61</v>
      </c>
      <c r="E292" s="61" t="s">
        <v>61</v>
      </c>
      <c r="F292" s="61" t="s">
        <v>366</v>
      </c>
      <c r="G292" s="61" t="s">
        <v>366</v>
      </c>
      <c r="H292" s="33" t="s">
        <v>360</v>
      </c>
      <c r="I292" s="33">
        <v>10</v>
      </c>
      <c r="J292" s="33"/>
      <c r="K292" s="91"/>
      <c r="L292" s="92"/>
      <c r="M292" s="91"/>
      <c r="N292" s="91"/>
      <c r="O292" s="92"/>
      <c r="P292" s="91"/>
      <c r="Q292" s="91"/>
      <c r="R292" s="92"/>
      <c r="S292" s="38"/>
      <c r="T292" s="38"/>
      <c r="U292" s="92"/>
      <c r="V292" s="38"/>
      <c r="W292" s="38"/>
      <c r="X292" s="92"/>
      <c r="Y292" s="38"/>
      <c r="Z292" s="38"/>
      <c r="AA292" s="92"/>
      <c r="AB292" s="38"/>
      <c r="AC292" s="38"/>
      <c r="AD292" s="92"/>
      <c r="AE292" s="22"/>
      <c r="AF292" s="22"/>
      <c r="AG292" s="92"/>
      <c r="AH292" s="22"/>
      <c r="AI292" s="22"/>
      <c r="AJ292" s="92"/>
      <c r="AK292" s="22"/>
      <c r="AL292" s="22"/>
      <c r="AM292" s="92"/>
      <c r="AN292" s="22"/>
      <c r="AO292" s="22"/>
      <c r="AP292" s="92"/>
      <c r="AQ292" s="22"/>
      <c r="AR292" s="22">
        <v>4400</v>
      </c>
      <c r="AS292" s="92" t="e">
        <f t="shared" si="197"/>
        <v>#DIV/0!</v>
      </c>
      <c r="AT292" s="22">
        <f t="shared" si="198"/>
        <v>0</v>
      </c>
      <c r="AU292" s="22">
        <f t="shared" si="198"/>
        <v>4400</v>
      </c>
      <c r="AV292" s="92" t="e">
        <f t="shared" si="199"/>
        <v>#DIV/0!</v>
      </c>
      <c r="AW292" s="38"/>
      <c r="AX292" s="38">
        <v>26893</v>
      </c>
      <c r="AY292" s="92" t="e">
        <f t="shared" si="200"/>
        <v>#DIV/0!</v>
      </c>
      <c r="AZ292" s="38">
        <f t="shared" si="201"/>
        <v>0</v>
      </c>
      <c r="BA292" s="38">
        <f t="shared" si="201"/>
        <v>31293</v>
      </c>
      <c r="BB292" s="92" t="e">
        <f t="shared" si="202"/>
        <v>#DIV/0!</v>
      </c>
      <c r="BC292" s="38"/>
      <c r="BD292" s="38"/>
      <c r="BE292" s="92" t="e">
        <f t="shared" si="203"/>
        <v>#DIV/0!</v>
      </c>
      <c r="BF292" s="38">
        <f t="shared" si="204"/>
        <v>0</v>
      </c>
      <c r="BG292" s="38">
        <f t="shared" si="204"/>
        <v>31293</v>
      </c>
      <c r="BH292" s="92" t="e">
        <f t="shared" si="205"/>
        <v>#DIV/0!</v>
      </c>
      <c r="BI292" s="22"/>
      <c r="BJ292" s="22"/>
      <c r="BK292" s="22"/>
      <c r="BL292" s="22"/>
      <c r="BM292" s="96">
        <f t="shared" si="206"/>
        <v>0.31293000000000004</v>
      </c>
      <c r="BN292" s="22"/>
    </row>
    <row r="293" spans="1:66">
      <c r="A293" s="61" t="s">
        <v>33</v>
      </c>
      <c r="B293" s="61" t="s">
        <v>33</v>
      </c>
      <c r="C293" s="22" t="s">
        <v>412</v>
      </c>
      <c r="D293" s="61" t="s">
        <v>61</v>
      </c>
      <c r="E293" s="61" t="s">
        <v>61</v>
      </c>
      <c r="F293" s="61" t="s">
        <v>366</v>
      </c>
      <c r="G293" s="61" t="s">
        <v>366</v>
      </c>
      <c r="H293" s="33" t="s">
        <v>360</v>
      </c>
      <c r="I293" s="33">
        <v>10</v>
      </c>
      <c r="J293" s="33"/>
      <c r="K293" s="91"/>
      <c r="L293" s="92"/>
      <c r="M293" s="91"/>
      <c r="N293" s="91"/>
      <c r="O293" s="92"/>
      <c r="P293" s="91"/>
      <c r="Q293" s="91"/>
      <c r="R293" s="92"/>
      <c r="S293" s="38"/>
      <c r="T293" s="38"/>
      <c r="U293" s="92"/>
      <c r="V293" s="38"/>
      <c r="W293" s="38"/>
      <c r="X293" s="92"/>
      <c r="Y293" s="38"/>
      <c r="Z293" s="38"/>
      <c r="AA293" s="92"/>
      <c r="AB293" s="38"/>
      <c r="AC293" s="38"/>
      <c r="AD293" s="92"/>
      <c r="AE293" s="22"/>
      <c r="AF293" s="22"/>
      <c r="AG293" s="92"/>
      <c r="AH293" s="22"/>
      <c r="AI293" s="22"/>
      <c r="AJ293" s="92"/>
      <c r="AK293" s="22"/>
      <c r="AL293" s="22"/>
      <c r="AM293" s="92"/>
      <c r="AN293" s="22"/>
      <c r="AO293" s="22"/>
      <c r="AP293" s="92"/>
      <c r="AQ293" s="22"/>
      <c r="AR293" s="22">
        <v>25421.52</v>
      </c>
      <c r="AS293" s="92" t="e">
        <f t="shared" si="197"/>
        <v>#DIV/0!</v>
      </c>
      <c r="AT293" s="22">
        <f t="shared" si="198"/>
        <v>0</v>
      </c>
      <c r="AU293" s="22">
        <f t="shared" si="198"/>
        <v>25421.52</v>
      </c>
      <c r="AV293" s="92" t="e">
        <f t="shared" si="199"/>
        <v>#DIV/0!</v>
      </c>
      <c r="AW293" s="38"/>
      <c r="AX293" s="38">
        <v>8776</v>
      </c>
      <c r="AY293" s="92" t="e">
        <f t="shared" si="200"/>
        <v>#DIV/0!</v>
      </c>
      <c r="AZ293" s="38">
        <f t="shared" si="201"/>
        <v>0</v>
      </c>
      <c r="BA293" s="38">
        <f t="shared" si="201"/>
        <v>34197.520000000004</v>
      </c>
      <c r="BB293" s="92" t="e">
        <f t="shared" si="202"/>
        <v>#DIV/0!</v>
      </c>
      <c r="BC293" s="38"/>
      <c r="BD293" s="38">
        <v>23065</v>
      </c>
      <c r="BE293" s="92" t="e">
        <f t="shared" si="203"/>
        <v>#DIV/0!</v>
      </c>
      <c r="BF293" s="38">
        <f t="shared" si="204"/>
        <v>0</v>
      </c>
      <c r="BG293" s="38">
        <f t="shared" si="204"/>
        <v>57262.520000000004</v>
      </c>
      <c r="BH293" s="92" t="e">
        <f t="shared" si="205"/>
        <v>#DIV/0!</v>
      </c>
      <c r="BI293" s="22"/>
      <c r="BJ293" s="22"/>
      <c r="BK293" s="22"/>
      <c r="BL293" s="22"/>
      <c r="BM293" s="96">
        <f t="shared" si="206"/>
        <v>0.57262520000000006</v>
      </c>
      <c r="BN293" s="22"/>
    </row>
    <row r="294" spans="1:66">
      <c r="A294" s="61" t="s">
        <v>33</v>
      </c>
      <c r="B294" s="61" t="s">
        <v>33</v>
      </c>
      <c r="C294" s="22" t="s">
        <v>413</v>
      </c>
      <c r="D294" s="61" t="s">
        <v>61</v>
      </c>
      <c r="E294" s="61" t="s">
        <v>61</v>
      </c>
      <c r="F294" s="176" t="s">
        <v>347</v>
      </c>
      <c r="G294" s="176" t="s">
        <v>347</v>
      </c>
      <c r="H294" s="33" t="s">
        <v>348</v>
      </c>
      <c r="I294" s="33"/>
      <c r="J294" s="33"/>
      <c r="K294" s="91"/>
      <c r="L294" s="92"/>
      <c r="M294" s="91"/>
      <c r="N294" s="91"/>
      <c r="O294" s="92"/>
      <c r="P294" s="91"/>
      <c r="Q294" s="91"/>
      <c r="R294" s="92"/>
      <c r="S294" s="38"/>
      <c r="T294" s="38"/>
      <c r="U294" s="92"/>
      <c r="V294" s="38"/>
      <c r="W294" s="38"/>
      <c r="X294" s="92"/>
      <c r="Y294" s="38"/>
      <c r="Z294" s="38"/>
      <c r="AA294" s="92"/>
      <c r="AB294" s="38"/>
      <c r="AC294" s="38"/>
      <c r="AD294" s="92"/>
      <c r="AE294" s="22"/>
      <c r="AF294" s="22"/>
      <c r="AG294" s="92"/>
      <c r="AH294" s="22"/>
      <c r="AI294" s="22"/>
      <c r="AJ294" s="92"/>
      <c r="AK294" s="22"/>
      <c r="AL294" s="22"/>
      <c r="AM294" s="92"/>
      <c r="AN294" s="22"/>
      <c r="AO294" s="22"/>
      <c r="AP294" s="92"/>
      <c r="AQ294" s="22"/>
      <c r="AR294" s="22"/>
      <c r="AS294" s="92"/>
      <c r="AT294" s="22"/>
      <c r="AU294" s="22"/>
      <c r="AV294" s="92"/>
      <c r="AW294" s="38"/>
      <c r="AX294" s="38">
        <v>6550</v>
      </c>
      <c r="AY294" s="92" t="e">
        <f t="shared" si="200"/>
        <v>#DIV/0!</v>
      </c>
      <c r="AZ294" s="38">
        <f t="shared" si="201"/>
        <v>0</v>
      </c>
      <c r="BA294" s="38">
        <f t="shared" si="201"/>
        <v>6550</v>
      </c>
      <c r="BB294" s="92" t="e">
        <f t="shared" si="202"/>
        <v>#DIV/0!</v>
      </c>
      <c r="BC294" s="38"/>
      <c r="BD294" s="38">
        <v>13100</v>
      </c>
      <c r="BE294" s="92" t="e">
        <f t="shared" si="203"/>
        <v>#DIV/0!</v>
      </c>
      <c r="BF294" s="38">
        <f t="shared" si="204"/>
        <v>0</v>
      </c>
      <c r="BG294" s="38">
        <f t="shared" si="204"/>
        <v>19650</v>
      </c>
      <c r="BH294" s="92" t="e">
        <f t="shared" si="205"/>
        <v>#DIV/0!</v>
      </c>
      <c r="BI294" s="22"/>
      <c r="BJ294" s="22"/>
      <c r="BK294" s="22"/>
      <c r="BL294" s="22"/>
      <c r="BM294" s="96" t="e">
        <f t="shared" si="206"/>
        <v>#DIV/0!</v>
      </c>
      <c r="BN294" s="22"/>
    </row>
    <row r="295" spans="1:66">
      <c r="A295" s="80"/>
      <c r="B295" s="80"/>
      <c r="C295" s="33" t="s">
        <v>31</v>
      </c>
      <c r="D295" s="33"/>
      <c r="E295" s="33"/>
      <c r="F295" s="33"/>
      <c r="G295" s="33"/>
      <c r="H295" s="33"/>
      <c r="I295" s="93">
        <f>SUBTOTAL(9,I236:I294)</f>
        <v>2220</v>
      </c>
      <c r="J295" s="93">
        <f t="shared" ref="J295:N295" si="207">SUBTOTAL(9,J236:J288)</f>
        <v>1971859.46</v>
      </c>
      <c r="K295" s="93">
        <f t="shared" si="207"/>
        <v>1683228.28</v>
      </c>
      <c r="L295" s="92">
        <f>K295/J295-1</f>
        <v>-0.14637512756614002</v>
      </c>
      <c r="M295" s="93">
        <f t="shared" si="207"/>
        <v>862585.12</v>
      </c>
      <c r="N295" s="93">
        <f t="shared" si="207"/>
        <v>832659.53999999992</v>
      </c>
      <c r="O295" s="92">
        <f>N295/M295-1</f>
        <v>-3.4692900800329163E-2</v>
      </c>
      <c r="P295" s="93">
        <f t="shared" ref="P295:T295" si="208">SUBTOTAL(9,P236:P288)</f>
        <v>2834444.58</v>
      </c>
      <c r="Q295" s="93">
        <f t="shared" si="208"/>
        <v>2515887.8200000003</v>
      </c>
      <c r="R295" s="92">
        <f>Q295/P295-1</f>
        <v>-0.11238771865491892</v>
      </c>
      <c r="S295" s="93">
        <f t="shared" si="208"/>
        <v>1454016.01</v>
      </c>
      <c r="T295" s="93">
        <f t="shared" si="208"/>
        <v>2188918.41</v>
      </c>
      <c r="U295" s="92">
        <f>T295/S295-1</f>
        <v>0.50542937281687861</v>
      </c>
      <c r="V295" s="93">
        <f t="shared" ref="V295:Z295" si="209">SUBTOTAL(9,V236:V288)</f>
        <v>4288460.59</v>
      </c>
      <c r="W295" s="93">
        <f t="shared" si="209"/>
        <v>4704806.2300000004</v>
      </c>
      <c r="X295" s="92">
        <f>W295/V295-1</f>
        <v>9.7085103445010423E-2</v>
      </c>
      <c r="Y295" s="93">
        <f t="shared" si="209"/>
        <v>1189993.77</v>
      </c>
      <c r="Z295" s="93">
        <f t="shared" si="209"/>
        <v>1508708.25</v>
      </c>
      <c r="AA295" s="92">
        <f>Z295/Y295-1</f>
        <v>0.26782869627964523</v>
      </c>
      <c r="AB295" s="93">
        <f t="shared" ref="AB295:AF295" si="210">SUBTOTAL(9,AB236:AB288)</f>
        <v>5478454.3600000003</v>
      </c>
      <c r="AC295" s="93">
        <f t="shared" si="210"/>
        <v>6213514.4799999995</v>
      </c>
      <c r="AD295" s="92">
        <f>AC295/AB295-1</f>
        <v>0.13417290200807641</v>
      </c>
      <c r="AE295" s="93">
        <f t="shared" si="210"/>
        <v>1649605.21</v>
      </c>
      <c r="AF295" s="93">
        <f t="shared" si="210"/>
        <v>1736224.19</v>
      </c>
      <c r="AG295" s="92">
        <f>AF295/AE295-1</f>
        <v>5.2508915148249402E-2</v>
      </c>
      <c r="AH295" s="93">
        <f t="shared" ref="AH295:AL295" si="211">SUBTOTAL(9,AH236:AH288)</f>
        <v>7128059.5700000003</v>
      </c>
      <c r="AI295" s="93">
        <f t="shared" si="211"/>
        <v>7949738.6699999999</v>
      </c>
      <c r="AJ295" s="92">
        <f>AI295/AH295-1</f>
        <v>0.11527388231408953</v>
      </c>
      <c r="AK295" s="93">
        <f t="shared" si="211"/>
        <v>1202502.8399999999</v>
      </c>
      <c r="AL295" s="93">
        <f t="shared" si="211"/>
        <v>2136560.09</v>
      </c>
      <c r="AM295" s="92">
        <f>AL295/AK295-1</f>
        <v>0.77676095135043521</v>
      </c>
      <c r="AN295" s="93">
        <f>SUBTOTAL(9,AN236:AN288)</f>
        <v>8330562.4099999992</v>
      </c>
      <c r="AO295" s="93">
        <f>SUBTOTAL(9,AO236:AO288)</f>
        <v>10086298.76</v>
      </c>
      <c r="AP295" s="92">
        <f>AO295/AN295-1</f>
        <v>0.21075844145797595</v>
      </c>
      <c r="AQ295" s="93">
        <f t="shared" ref="AQ295:AU295" si="212">SUBTOTAL(9,AQ236:AQ293)</f>
        <v>1775233.87</v>
      </c>
      <c r="AR295" s="93">
        <f t="shared" si="212"/>
        <v>1520600.2400000002</v>
      </c>
      <c r="AS295" s="92">
        <f>AR295/AQ295-1</f>
        <v>-0.14343666730513649</v>
      </c>
      <c r="AT295" s="93">
        <f t="shared" si="212"/>
        <v>10105796.279999999</v>
      </c>
      <c r="AU295" s="93">
        <f t="shared" si="212"/>
        <v>11606899</v>
      </c>
      <c r="AV295" s="92">
        <f>AU295/AT295-1</f>
        <v>0.14853878689112077</v>
      </c>
      <c r="AW295" s="93">
        <f t="shared" ref="AW295:BA295" si="213">SUBTOTAL(9,AW236:AW294)</f>
        <v>1110802.6000000001</v>
      </c>
      <c r="AX295" s="93">
        <f t="shared" si="213"/>
        <v>748570.86</v>
      </c>
      <c r="AY295" s="92">
        <f t="shared" si="200"/>
        <v>-0.32609911067907127</v>
      </c>
      <c r="AZ295" s="93">
        <f t="shared" si="213"/>
        <v>11216598.879999999</v>
      </c>
      <c r="BA295" s="93">
        <f t="shared" si="213"/>
        <v>12355469.859999999</v>
      </c>
      <c r="BB295" s="92">
        <f t="shared" si="202"/>
        <v>0.10153443055101929</v>
      </c>
      <c r="BC295" s="93">
        <f t="shared" ref="BC295:BG295" si="214">SUBTOTAL(9,BC236:BC294)</f>
        <v>2053571.01</v>
      </c>
      <c r="BD295" s="93">
        <f t="shared" si="214"/>
        <v>1180401.6499999999</v>
      </c>
      <c r="BE295" s="92">
        <f t="shared" si="203"/>
        <v>-0.42519560110073817</v>
      </c>
      <c r="BF295" s="93">
        <f t="shared" si="214"/>
        <v>13270169.889999999</v>
      </c>
      <c r="BG295" s="93">
        <f t="shared" si="214"/>
        <v>13535871.51</v>
      </c>
      <c r="BH295" s="92">
        <f t="shared" si="205"/>
        <v>2.0022473126001694E-2</v>
      </c>
      <c r="BI295" s="95">
        <v>2117929.23</v>
      </c>
      <c r="BJ295" s="95">
        <v>3533210.09</v>
      </c>
      <c r="BK295" s="95">
        <v>3045871.87</v>
      </c>
      <c r="BL295" s="95">
        <v>21967181.079999998</v>
      </c>
      <c r="BM295" s="96">
        <f t="shared" si="206"/>
        <v>0.60972394189189183</v>
      </c>
      <c r="BN295" s="22"/>
    </row>
    <row r="300" spans="1:66">
      <c r="A300" s="52"/>
      <c r="B300" s="53"/>
      <c r="C300" s="225" t="s">
        <v>132</v>
      </c>
      <c r="D300" s="225" t="s">
        <v>47</v>
      </c>
      <c r="E300" s="225" t="s">
        <v>48</v>
      </c>
      <c r="F300" s="225" t="s">
        <v>49</v>
      </c>
      <c r="G300" s="225" t="s">
        <v>50</v>
      </c>
      <c r="H300" s="225" t="s">
        <v>51</v>
      </c>
      <c r="I300" s="230" t="s">
        <v>38</v>
      </c>
      <c r="J300" s="205" t="s">
        <v>3</v>
      </c>
      <c r="K300" s="206"/>
      <c r="L300" s="203" t="s">
        <v>4</v>
      </c>
      <c r="M300" s="225" t="s">
        <v>5</v>
      </c>
      <c r="N300" s="225"/>
      <c r="O300" s="229" t="s">
        <v>4</v>
      </c>
      <c r="P300" s="225" t="s">
        <v>39</v>
      </c>
      <c r="Q300" s="225"/>
      <c r="R300" s="229" t="s">
        <v>4</v>
      </c>
      <c r="S300" s="225" t="s">
        <v>6</v>
      </c>
      <c r="T300" s="225"/>
      <c r="U300" s="229" t="s">
        <v>4</v>
      </c>
      <c r="V300" s="225" t="s">
        <v>7</v>
      </c>
      <c r="W300" s="225"/>
      <c r="X300" s="229" t="s">
        <v>4</v>
      </c>
      <c r="Y300" s="225" t="s">
        <v>8</v>
      </c>
      <c r="Z300" s="225"/>
      <c r="AA300" s="229" t="s">
        <v>4</v>
      </c>
      <c r="AB300" s="225" t="s">
        <v>9</v>
      </c>
      <c r="AC300" s="225"/>
      <c r="AD300" s="229" t="s">
        <v>4</v>
      </c>
      <c r="AE300" s="225" t="s">
        <v>10</v>
      </c>
      <c r="AF300" s="225"/>
      <c r="AG300" s="229" t="s">
        <v>4</v>
      </c>
      <c r="AH300" s="225" t="s">
        <v>11</v>
      </c>
      <c r="AI300" s="225"/>
      <c r="AJ300" s="229" t="s">
        <v>4</v>
      </c>
      <c r="AK300" s="225" t="s">
        <v>12</v>
      </c>
      <c r="AL300" s="225"/>
      <c r="AM300" s="229" t="s">
        <v>4</v>
      </c>
      <c r="AN300" s="225" t="s">
        <v>13</v>
      </c>
      <c r="AO300" s="225"/>
      <c r="AP300" s="229" t="s">
        <v>4</v>
      </c>
      <c r="AQ300" s="197" t="s">
        <v>14</v>
      </c>
      <c r="AR300" s="197"/>
      <c r="AS300" s="196" t="s">
        <v>4</v>
      </c>
      <c r="AT300" s="197" t="s">
        <v>15</v>
      </c>
      <c r="AU300" s="197"/>
      <c r="AV300" s="187" t="s">
        <v>4</v>
      </c>
      <c r="AW300" s="197" t="s">
        <v>16</v>
      </c>
      <c r="AX300" s="197"/>
      <c r="AY300" s="196" t="s">
        <v>4</v>
      </c>
      <c r="AZ300" s="197" t="s">
        <v>17</v>
      </c>
      <c r="BA300" s="197"/>
      <c r="BB300" s="187" t="s">
        <v>4</v>
      </c>
      <c r="BC300" s="191" t="s">
        <v>18</v>
      </c>
      <c r="BD300" s="192"/>
      <c r="BE300" s="187" t="s">
        <v>4</v>
      </c>
      <c r="BF300" s="191" t="s">
        <v>19</v>
      </c>
      <c r="BG300" s="192"/>
      <c r="BH300" s="187" t="s">
        <v>4</v>
      </c>
      <c r="BI300" s="64" t="s">
        <v>40</v>
      </c>
      <c r="BJ300" s="64" t="s">
        <v>41</v>
      </c>
      <c r="BK300" s="64" t="s">
        <v>42</v>
      </c>
      <c r="BL300" s="64" t="s">
        <v>133</v>
      </c>
      <c r="BM300" s="203" t="s">
        <v>211</v>
      </c>
    </row>
    <row r="301" spans="1:66">
      <c r="A301" s="52"/>
      <c r="B301" s="53"/>
      <c r="C301" s="225"/>
      <c r="D301" s="225"/>
      <c r="E301" s="225"/>
      <c r="F301" s="225"/>
      <c r="G301" s="225"/>
      <c r="H301" s="225"/>
      <c r="I301" s="231"/>
      <c r="J301" s="63" t="s">
        <v>21</v>
      </c>
      <c r="K301" s="64" t="s">
        <v>22</v>
      </c>
      <c r="L301" s="204"/>
      <c r="M301" s="65" t="s">
        <v>21</v>
      </c>
      <c r="N301" s="65" t="s">
        <v>22</v>
      </c>
      <c r="O301" s="229"/>
      <c r="P301" s="65" t="s">
        <v>21</v>
      </c>
      <c r="Q301" s="65" t="s">
        <v>22</v>
      </c>
      <c r="R301" s="229"/>
      <c r="S301" s="65" t="s">
        <v>21</v>
      </c>
      <c r="T301" s="65" t="s">
        <v>22</v>
      </c>
      <c r="U301" s="229"/>
      <c r="V301" s="65" t="s">
        <v>21</v>
      </c>
      <c r="W301" s="65" t="s">
        <v>22</v>
      </c>
      <c r="X301" s="229"/>
      <c r="Y301" s="65" t="s">
        <v>21</v>
      </c>
      <c r="Z301" s="65" t="s">
        <v>22</v>
      </c>
      <c r="AA301" s="229"/>
      <c r="AB301" s="65" t="s">
        <v>21</v>
      </c>
      <c r="AC301" s="65" t="s">
        <v>22</v>
      </c>
      <c r="AD301" s="229"/>
      <c r="AE301" s="65" t="s">
        <v>21</v>
      </c>
      <c r="AF301" s="65" t="s">
        <v>22</v>
      </c>
      <c r="AG301" s="229"/>
      <c r="AH301" s="65" t="s">
        <v>21</v>
      </c>
      <c r="AI301" s="65" t="s">
        <v>22</v>
      </c>
      <c r="AJ301" s="229"/>
      <c r="AK301" s="65" t="s">
        <v>21</v>
      </c>
      <c r="AL301" s="65" t="s">
        <v>22</v>
      </c>
      <c r="AM301" s="229"/>
      <c r="AN301" s="65" t="s">
        <v>21</v>
      </c>
      <c r="AO301" s="65" t="s">
        <v>22</v>
      </c>
      <c r="AP301" s="229"/>
      <c r="AQ301" s="35" t="s">
        <v>21</v>
      </c>
      <c r="AR301" s="35" t="s">
        <v>22</v>
      </c>
      <c r="AS301" s="196"/>
      <c r="AT301" s="35" t="s">
        <v>21</v>
      </c>
      <c r="AU301" s="35" t="s">
        <v>22</v>
      </c>
      <c r="AV301" s="187"/>
      <c r="AW301" s="35" t="s">
        <v>21</v>
      </c>
      <c r="AX301" s="35" t="s">
        <v>22</v>
      </c>
      <c r="AY301" s="196"/>
      <c r="AZ301" s="35" t="s">
        <v>21</v>
      </c>
      <c r="BA301" s="35" t="s">
        <v>22</v>
      </c>
      <c r="BB301" s="187"/>
      <c r="BC301" s="35" t="s">
        <v>21</v>
      </c>
      <c r="BD301" s="35" t="s">
        <v>22</v>
      </c>
      <c r="BE301" s="187"/>
      <c r="BF301" s="35" t="s">
        <v>21</v>
      </c>
      <c r="BG301" s="35" t="s">
        <v>22</v>
      </c>
      <c r="BH301" s="187"/>
      <c r="BI301" s="61" t="s">
        <v>21</v>
      </c>
      <c r="BJ301" s="61" t="s">
        <v>21</v>
      </c>
      <c r="BK301" s="61" t="s">
        <v>21</v>
      </c>
      <c r="BL301" s="61" t="s">
        <v>21</v>
      </c>
      <c r="BM301" s="218"/>
    </row>
    <row r="302" spans="1:66">
      <c r="A302" s="52" t="s">
        <v>414</v>
      </c>
      <c r="B302" s="53" t="s">
        <v>414</v>
      </c>
      <c r="C302" s="54" t="s">
        <v>415</v>
      </c>
      <c r="D302" s="55" t="s">
        <v>61</v>
      </c>
      <c r="E302" s="55" t="s">
        <v>61</v>
      </c>
      <c r="F302" s="181" t="s">
        <v>416</v>
      </c>
      <c r="G302" s="182" t="s">
        <v>416</v>
      </c>
      <c r="H302" s="53" t="s">
        <v>417</v>
      </c>
      <c r="I302" s="53">
        <v>15</v>
      </c>
      <c r="J302" s="61">
        <v>30174</v>
      </c>
      <c r="K302" s="61">
        <v>7600</v>
      </c>
      <c r="L302" s="66">
        <f t="shared" ref="L302:L364" si="215">K302/J302-1</f>
        <v>-0.74812752701000862</v>
      </c>
      <c r="M302" s="61">
        <v>7610</v>
      </c>
      <c r="N302" s="61">
        <v>4500</v>
      </c>
      <c r="O302" s="66">
        <f t="shared" ref="O302:O364" si="216">N302/M302-1</f>
        <v>-0.40867279894875164</v>
      </c>
      <c r="P302" s="61">
        <f t="shared" ref="P302:Q364" si="217">M302+J302</f>
        <v>37784</v>
      </c>
      <c r="Q302" s="61">
        <f t="shared" si="217"/>
        <v>12100</v>
      </c>
      <c r="R302" s="66">
        <f t="shared" ref="R302:R364" si="218">Q302/P302-1</f>
        <v>-0.67975862799068387</v>
      </c>
      <c r="S302" s="67">
        <v>4780</v>
      </c>
      <c r="T302" s="67"/>
      <c r="U302" s="66">
        <f t="shared" ref="U302:U364" si="219">T302/S302-1</f>
        <v>-1</v>
      </c>
      <c r="V302" s="68">
        <f t="shared" ref="V302:W364" si="220">S302+P302</f>
        <v>42564</v>
      </c>
      <c r="W302" s="68">
        <f t="shared" si="220"/>
        <v>12100</v>
      </c>
      <c r="X302" s="66">
        <f t="shared" ref="X302:X364" si="221">W302/V302-1</f>
        <v>-0.71572220655953389</v>
      </c>
      <c r="Y302" s="61"/>
      <c r="Z302" s="61"/>
      <c r="AA302" s="66" t="e">
        <f>Z302/Y302-1</f>
        <v>#DIV/0!</v>
      </c>
      <c r="AB302" s="61">
        <f>Y302+V302</f>
        <v>42564</v>
      </c>
      <c r="AC302" s="61">
        <f>Z302+W302</f>
        <v>12100</v>
      </c>
      <c r="AD302" s="66">
        <f>AC302/AB302-1</f>
        <v>-0.71572220655953389</v>
      </c>
      <c r="AE302" s="61">
        <v>9980</v>
      </c>
      <c r="AF302" s="61">
        <v>7170</v>
      </c>
      <c r="AG302" s="66">
        <f>AF302/AE302-1</f>
        <v>-0.28156312625250501</v>
      </c>
      <c r="AH302" s="61">
        <f>AE302+AB302</f>
        <v>52544</v>
      </c>
      <c r="AI302" s="61">
        <f>AF302+AC302</f>
        <v>19270</v>
      </c>
      <c r="AJ302" s="66">
        <f>AI302/AH302-1</f>
        <v>-0.6332597442143727</v>
      </c>
      <c r="AK302" s="61"/>
      <c r="AL302" s="61"/>
      <c r="AM302" s="66" t="e">
        <f>AL302/AK302-1</f>
        <v>#DIV/0!</v>
      </c>
      <c r="AN302" s="61">
        <f>AK302+AH302</f>
        <v>52544</v>
      </c>
      <c r="AO302" s="61">
        <f>AL302+AI302</f>
        <v>19270</v>
      </c>
      <c r="AP302" s="66">
        <f>AO302/AN302-1</f>
        <v>-0.6332597442143727</v>
      </c>
      <c r="AQ302" s="67">
        <v>6300</v>
      </c>
      <c r="AR302" s="67">
        <v>22235</v>
      </c>
      <c r="AS302" s="66">
        <f>AR302/AQ302-1</f>
        <v>2.5293650793650793</v>
      </c>
      <c r="AT302" s="67">
        <f>AQ302+AN302</f>
        <v>58844</v>
      </c>
      <c r="AU302" s="67">
        <f>AR302+AO302</f>
        <v>41505</v>
      </c>
      <c r="AV302" s="66">
        <f>AU302/AT302-1</f>
        <v>-0.29466045816056008</v>
      </c>
      <c r="AW302" s="61">
        <v>5200</v>
      </c>
      <c r="AX302" s="61">
        <v>6876</v>
      </c>
      <c r="AY302" s="66">
        <f>AX302/AW302-1</f>
        <v>0.32230769230769241</v>
      </c>
      <c r="AZ302" s="61">
        <f>AW302+AT302</f>
        <v>64044</v>
      </c>
      <c r="BA302" s="61">
        <f>AX302+AU302</f>
        <v>48381</v>
      </c>
      <c r="BB302" s="66">
        <f>BA302/AZ302-1</f>
        <v>-0.24456623571294733</v>
      </c>
      <c r="BC302" s="61">
        <v>50015</v>
      </c>
      <c r="BD302" s="61"/>
      <c r="BE302" s="66">
        <f>BD302/BC302-1</f>
        <v>-1</v>
      </c>
      <c r="BF302" s="61">
        <f>BC302+AZ302</f>
        <v>114059</v>
      </c>
      <c r="BG302" s="61">
        <f>BD302+BA302</f>
        <v>48381</v>
      </c>
      <c r="BH302" s="66">
        <f>BG302/BF302-1</f>
        <v>-0.57582479243198703</v>
      </c>
      <c r="BI302" s="70">
        <v>3950</v>
      </c>
      <c r="BJ302" s="61">
        <v>6300</v>
      </c>
      <c r="BK302" s="61">
        <v>4500</v>
      </c>
      <c r="BL302" s="61">
        <v>128809</v>
      </c>
      <c r="BM302" s="71">
        <f>BG302/10000/I302</f>
        <v>0.32253999999999999</v>
      </c>
    </row>
    <row r="303" spans="1:66">
      <c r="A303" s="52" t="s">
        <v>414</v>
      </c>
      <c r="B303" s="53" t="s">
        <v>414</v>
      </c>
      <c r="C303" s="56" t="s">
        <v>418</v>
      </c>
      <c r="D303" s="55" t="s">
        <v>61</v>
      </c>
      <c r="E303" s="55" t="s">
        <v>61</v>
      </c>
      <c r="F303" s="181" t="s">
        <v>416</v>
      </c>
      <c r="G303" s="182" t="s">
        <v>416</v>
      </c>
      <c r="H303" s="53" t="s">
        <v>417</v>
      </c>
      <c r="I303" s="53"/>
      <c r="J303" s="61">
        <v>2710</v>
      </c>
      <c r="K303" s="61"/>
      <c r="L303" s="66">
        <f t="shared" si="215"/>
        <v>-1</v>
      </c>
      <c r="M303" s="61"/>
      <c r="N303" s="61"/>
      <c r="O303" s="66" t="e">
        <f t="shared" si="216"/>
        <v>#DIV/0!</v>
      </c>
      <c r="P303" s="61">
        <f t="shared" si="217"/>
        <v>2710</v>
      </c>
      <c r="Q303" s="61">
        <f t="shared" si="217"/>
        <v>0</v>
      </c>
      <c r="R303" s="66">
        <f t="shared" si="218"/>
        <v>-1</v>
      </c>
      <c r="S303" s="67">
        <v>6970</v>
      </c>
      <c r="T303" s="67"/>
      <c r="U303" s="66">
        <f t="shared" si="219"/>
        <v>-1</v>
      </c>
      <c r="V303" s="68">
        <f t="shared" si="220"/>
        <v>9680</v>
      </c>
      <c r="W303" s="68">
        <f t="shared" si="220"/>
        <v>0</v>
      </c>
      <c r="X303" s="66">
        <f t="shared" si="221"/>
        <v>-1</v>
      </c>
      <c r="Y303" s="61">
        <v>4900</v>
      </c>
      <c r="Z303" s="61"/>
      <c r="AA303" s="66">
        <f t="shared" ref="AA303:AA364" si="222">Z303/Y303-1</f>
        <v>-1</v>
      </c>
      <c r="AB303" s="61">
        <f t="shared" ref="AB303:AC334" si="223">Y303+V303</f>
        <v>14580</v>
      </c>
      <c r="AC303" s="61">
        <f t="shared" si="223"/>
        <v>0</v>
      </c>
      <c r="AD303" s="66">
        <f t="shared" ref="AD303:AD364" si="224">AC303/AB303-1</f>
        <v>-1</v>
      </c>
      <c r="AE303" s="61"/>
      <c r="AF303" s="61"/>
      <c r="AG303" s="66" t="e">
        <f t="shared" ref="AG303:AG366" si="225">AF303/AE303-1</f>
        <v>#DIV/0!</v>
      </c>
      <c r="AH303" s="61">
        <f t="shared" ref="AH303:AI334" si="226">AE303+AB303</f>
        <v>14580</v>
      </c>
      <c r="AI303" s="61">
        <f t="shared" si="226"/>
        <v>0</v>
      </c>
      <c r="AJ303" s="66">
        <f t="shared" ref="AJ303:AJ366" si="227">AI303/AH303-1</f>
        <v>-1</v>
      </c>
      <c r="AK303" s="61"/>
      <c r="AL303" s="61"/>
      <c r="AM303" s="66" t="e">
        <f t="shared" ref="AM303:AM366" si="228">AL303/AK303-1</f>
        <v>#DIV/0!</v>
      </c>
      <c r="AN303" s="61">
        <f t="shared" ref="AN303:AO334" si="229">AK303+AH303</f>
        <v>14580</v>
      </c>
      <c r="AO303" s="61">
        <f t="shared" si="229"/>
        <v>0</v>
      </c>
      <c r="AP303" s="66">
        <f t="shared" ref="AP303:AP366" si="230">AO303/AN303-1</f>
        <v>-1</v>
      </c>
      <c r="AQ303" s="67"/>
      <c r="AR303" s="67"/>
      <c r="AS303" s="66" t="e">
        <f t="shared" ref="AS303:AS366" si="231">AR303/AQ303-1</f>
        <v>#DIV/0!</v>
      </c>
      <c r="AT303" s="67">
        <f t="shared" ref="AT303:AU334" si="232">AQ303+AN303</f>
        <v>14580</v>
      </c>
      <c r="AU303" s="67">
        <f t="shared" si="232"/>
        <v>0</v>
      </c>
      <c r="AV303" s="66">
        <f t="shared" ref="AV303:AV366" si="233">AU303/AT303-1</f>
        <v>-1</v>
      </c>
      <c r="AW303" s="61"/>
      <c r="AX303" s="61"/>
      <c r="AY303" s="66" t="e">
        <f t="shared" ref="AY303:AY366" si="234">AX303/AW303-1</f>
        <v>#DIV/0!</v>
      </c>
      <c r="AZ303" s="61">
        <f t="shared" ref="AZ303:BA334" si="235">AW303+AT303</f>
        <v>14580</v>
      </c>
      <c r="BA303" s="61">
        <f t="shared" si="235"/>
        <v>0</v>
      </c>
      <c r="BB303" s="66">
        <f t="shared" ref="BB303:BB366" si="236">BA303/AZ303-1</f>
        <v>-1</v>
      </c>
      <c r="BC303" s="61"/>
      <c r="BD303" s="61"/>
      <c r="BE303" s="66" t="e">
        <f t="shared" ref="BE303:BE366" si="237">BD303/BC303-1</f>
        <v>#DIV/0!</v>
      </c>
      <c r="BF303" s="61">
        <f t="shared" ref="BF303:BG334" si="238">BC303+AZ303</f>
        <v>14580</v>
      </c>
      <c r="BG303" s="61">
        <f t="shared" si="238"/>
        <v>0</v>
      </c>
      <c r="BH303" s="66">
        <f t="shared" ref="BH303:BH366" si="239">BG303/BF303-1</f>
        <v>-1</v>
      </c>
      <c r="BI303" s="70"/>
      <c r="BJ303" s="61"/>
      <c r="BK303" s="61"/>
      <c r="BL303" s="61">
        <v>14580</v>
      </c>
      <c r="BM303" s="71" t="e">
        <f t="shared" ref="BM303:BM366" si="240">BG303/10000/I303</f>
        <v>#DIV/0!</v>
      </c>
    </row>
    <row r="304" spans="1:66">
      <c r="A304" s="52" t="s">
        <v>414</v>
      </c>
      <c r="B304" s="53" t="s">
        <v>414</v>
      </c>
      <c r="C304" s="54" t="s">
        <v>419</v>
      </c>
      <c r="D304" s="55" t="s">
        <v>61</v>
      </c>
      <c r="E304" s="55" t="s">
        <v>61</v>
      </c>
      <c r="F304" s="181" t="s">
        <v>420</v>
      </c>
      <c r="G304" s="182" t="s">
        <v>420</v>
      </c>
      <c r="H304" s="53" t="s">
        <v>421</v>
      </c>
      <c r="I304" s="53">
        <v>10</v>
      </c>
      <c r="J304" s="61"/>
      <c r="K304" s="61">
        <v>7250</v>
      </c>
      <c r="L304" s="66" t="e">
        <f t="shared" si="215"/>
        <v>#DIV/0!</v>
      </c>
      <c r="M304" s="61"/>
      <c r="N304" s="61">
        <v>3150</v>
      </c>
      <c r="O304" s="66" t="e">
        <f t="shared" si="216"/>
        <v>#DIV/0!</v>
      </c>
      <c r="P304" s="61">
        <f t="shared" si="217"/>
        <v>0</v>
      </c>
      <c r="Q304" s="61">
        <f t="shared" si="217"/>
        <v>10400</v>
      </c>
      <c r="R304" s="66" t="e">
        <f t="shared" si="218"/>
        <v>#DIV/0!</v>
      </c>
      <c r="S304" s="67">
        <v>2250</v>
      </c>
      <c r="T304" s="67">
        <v>7986</v>
      </c>
      <c r="U304" s="66">
        <f t="shared" si="219"/>
        <v>2.5493333333333332</v>
      </c>
      <c r="V304" s="68">
        <f t="shared" si="220"/>
        <v>2250</v>
      </c>
      <c r="W304" s="68">
        <f t="shared" si="220"/>
        <v>18386</v>
      </c>
      <c r="X304" s="66">
        <f t="shared" si="221"/>
        <v>7.171555555555555</v>
      </c>
      <c r="Y304" s="61"/>
      <c r="Z304" s="61">
        <v>26362</v>
      </c>
      <c r="AA304" s="66" t="e">
        <f t="shared" si="222"/>
        <v>#DIV/0!</v>
      </c>
      <c r="AB304" s="61">
        <f t="shared" si="223"/>
        <v>2250</v>
      </c>
      <c r="AC304" s="61">
        <f t="shared" si="223"/>
        <v>44748</v>
      </c>
      <c r="AD304" s="66">
        <f t="shared" si="224"/>
        <v>18.888000000000002</v>
      </c>
      <c r="AE304" s="61">
        <v>32190</v>
      </c>
      <c r="AF304" s="61">
        <v>5753</v>
      </c>
      <c r="AG304" s="66">
        <f t="shared" si="225"/>
        <v>-0.82127990059024536</v>
      </c>
      <c r="AH304" s="61">
        <f t="shared" si="226"/>
        <v>34440</v>
      </c>
      <c r="AI304" s="61">
        <f t="shared" si="226"/>
        <v>50501</v>
      </c>
      <c r="AJ304" s="66">
        <f t="shared" si="227"/>
        <v>0.46634727061556336</v>
      </c>
      <c r="AK304" s="61"/>
      <c r="AL304" s="61">
        <v>2600</v>
      </c>
      <c r="AM304" s="66" t="e">
        <f t="shared" si="228"/>
        <v>#DIV/0!</v>
      </c>
      <c r="AN304" s="61">
        <f t="shared" si="229"/>
        <v>34440</v>
      </c>
      <c r="AO304" s="61">
        <f t="shared" si="229"/>
        <v>53101</v>
      </c>
      <c r="AP304" s="66">
        <f t="shared" si="230"/>
        <v>0.54184088269454134</v>
      </c>
      <c r="AQ304" s="67"/>
      <c r="AR304" s="67"/>
      <c r="AS304" s="66" t="e">
        <f t="shared" si="231"/>
        <v>#DIV/0!</v>
      </c>
      <c r="AT304" s="67">
        <f t="shared" si="232"/>
        <v>34440</v>
      </c>
      <c r="AU304" s="67">
        <f t="shared" si="232"/>
        <v>53101</v>
      </c>
      <c r="AV304" s="66">
        <f t="shared" si="233"/>
        <v>0.54184088269454134</v>
      </c>
      <c r="AW304" s="61"/>
      <c r="AX304" s="61"/>
      <c r="AY304" s="66" t="e">
        <f t="shared" si="234"/>
        <v>#DIV/0!</v>
      </c>
      <c r="AZ304" s="61">
        <f t="shared" si="235"/>
        <v>34440</v>
      </c>
      <c r="BA304" s="61">
        <f t="shared" si="235"/>
        <v>53101</v>
      </c>
      <c r="BB304" s="66">
        <f t="shared" si="236"/>
        <v>0.54184088269454134</v>
      </c>
      <c r="BC304" s="61">
        <v>30695</v>
      </c>
      <c r="BD304" s="61"/>
      <c r="BE304" s="66">
        <f t="shared" si="237"/>
        <v>-1</v>
      </c>
      <c r="BF304" s="61">
        <f t="shared" si="238"/>
        <v>65135</v>
      </c>
      <c r="BG304" s="61">
        <f t="shared" si="238"/>
        <v>53101</v>
      </c>
      <c r="BH304" s="66">
        <f t="shared" si="239"/>
        <v>-0.18475474015506255</v>
      </c>
      <c r="BI304" s="70">
        <v>32004</v>
      </c>
      <c r="BJ304" s="61"/>
      <c r="BK304" s="61"/>
      <c r="BL304" s="61">
        <v>97139</v>
      </c>
      <c r="BM304" s="71">
        <f t="shared" si="240"/>
        <v>0.53100999999999998</v>
      </c>
    </row>
    <row r="305" spans="1:65">
      <c r="A305" s="52" t="s">
        <v>414</v>
      </c>
      <c r="B305" s="53" t="s">
        <v>414</v>
      </c>
      <c r="C305" s="56" t="s">
        <v>422</v>
      </c>
      <c r="D305" s="55" t="s">
        <v>61</v>
      </c>
      <c r="E305" s="55" t="s">
        <v>61</v>
      </c>
      <c r="F305" s="181" t="s">
        <v>420</v>
      </c>
      <c r="G305" s="182" t="s">
        <v>420</v>
      </c>
      <c r="H305" s="53" t="s">
        <v>421</v>
      </c>
      <c r="I305" s="53">
        <v>30</v>
      </c>
      <c r="J305" s="61">
        <v>48451</v>
      </c>
      <c r="K305" s="61">
        <v>9820</v>
      </c>
      <c r="L305" s="66">
        <f t="shared" si="215"/>
        <v>-0.79732100472642464</v>
      </c>
      <c r="M305" s="61">
        <v>7510</v>
      </c>
      <c r="N305" s="61">
        <v>2300</v>
      </c>
      <c r="O305" s="66">
        <f t="shared" si="216"/>
        <v>-0.69374167776298268</v>
      </c>
      <c r="P305" s="61">
        <f t="shared" si="217"/>
        <v>55961</v>
      </c>
      <c r="Q305" s="61">
        <f t="shared" si="217"/>
        <v>12120</v>
      </c>
      <c r="R305" s="66">
        <f t="shared" si="218"/>
        <v>-0.78342059648683904</v>
      </c>
      <c r="S305" s="67"/>
      <c r="T305" s="67">
        <v>9919</v>
      </c>
      <c r="U305" s="66" t="e">
        <f t="shared" si="219"/>
        <v>#DIV/0!</v>
      </c>
      <c r="V305" s="68">
        <f t="shared" si="220"/>
        <v>55961</v>
      </c>
      <c r="W305" s="68">
        <f t="shared" si="220"/>
        <v>22039</v>
      </c>
      <c r="X305" s="66">
        <f t="shared" si="221"/>
        <v>-0.60617215560837012</v>
      </c>
      <c r="Y305" s="61"/>
      <c r="Z305" s="61">
        <v>2199</v>
      </c>
      <c r="AA305" s="66" t="e">
        <f t="shared" si="222"/>
        <v>#DIV/0!</v>
      </c>
      <c r="AB305" s="61">
        <f t="shared" si="223"/>
        <v>55961</v>
      </c>
      <c r="AC305" s="61">
        <f t="shared" si="223"/>
        <v>24238</v>
      </c>
      <c r="AD305" s="66">
        <f t="shared" si="224"/>
        <v>-0.56687693214917534</v>
      </c>
      <c r="AE305" s="61">
        <v>16830</v>
      </c>
      <c r="AF305" s="61"/>
      <c r="AG305" s="66">
        <f t="shared" si="225"/>
        <v>-1</v>
      </c>
      <c r="AH305" s="61">
        <f t="shared" si="226"/>
        <v>72791</v>
      </c>
      <c r="AI305" s="61">
        <f t="shared" si="226"/>
        <v>24238</v>
      </c>
      <c r="AJ305" s="66">
        <f t="shared" si="227"/>
        <v>-0.6670192743608413</v>
      </c>
      <c r="AK305" s="61">
        <v>17000</v>
      </c>
      <c r="AL305" s="61">
        <v>10659</v>
      </c>
      <c r="AM305" s="66">
        <f t="shared" si="228"/>
        <v>-0.373</v>
      </c>
      <c r="AN305" s="61">
        <f t="shared" si="229"/>
        <v>89791</v>
      </c>
      <c r="AO305" s="61">
        <f t="shared" si="229"/>
        <v>34897</v>
      </c>
      <c r="AP305" s="66">
        <f t="shared" si="230"/>
        <v>-0.61135303092737581</v>
      </c>
      <c r="AQ305" s="67">
        <v>4950</v>
      </c>
      <c r="AR305" s="67">
        <v>12860</v>
      </c>
      <c r="AS305" s="66">
        <f t="shared" si="231"/>
        <v>1.5979797979797978</v>
      </c>
      <c r="AT305" s="67">
        <f t="shared" si="232"/>
        <v>94741</v>
      </c>
      <c r="AU305" s="67">
        <f t="shared" si="232"/>
        <v>47757</v>
      </c>
      <c r="AV305" s="66">
        <f t="shared" si="233"/>
        <v>-0.4959204568243949</v>
      </c>
      <c r="AW305" s="61">
        <v>34830</v>
      </c>
      <c r="AX305" s="61">
        <v>6817</v>
      </c>
      <c r="AY305" s="66">
        <f t="shared" si="234"/>
        <v>-0.8042779213321849</v>
      </c>
      <c r="AZ305" s="61">
        <f t="shared" si="235"/>
        <v>129571</v>
      </c>
      <c r="BA305" s="61">
        <f t="shared" si="235"/>
        <v>54574</v>
      </c>
      <c r="BB305" s="66">
        <f t="shared" si="236"/>
        <v>-0.57881007324169764</v>
      </c>
      <c r="BC305" s="61">
        <v>28370</v>
      </c>
      <c r="BD305" s="61">
        <v>4726</v>
      </c>
      <c r="BE305" s="66">
        <f t="shared" si="237"/>
        <v>-0.83341557983785686</v>
      </c>
      <c r="BF305" s="61">
        <f t="shared" si="238"/>
        <v>157941</v>
      </c>
      <c r="BG305" s="61">
        <f t="shared" si="238"/>
        <v>59300</v>
      </c>
      <c r="BH305" s="66">
        <f t="shared" si="239"/>
        <v>-0.62454334213408802</v>
      </c>
      <c r="BI305" s="70">
        <v>28457</v>
      </c>
      <c r="BJ305" s="61">
        <v>16200</v>
      </c>
      <c r="BK305" s="61">
        <v>52385</v>
      </c>
      <c r="BL305" s="61">
        <v>254983</v>
      </c>
      <c r="BM305" s="71">
        <f t="shared" si="240"/>
        <v>0.19766666666666666</v>
      </c>
    </row>
    <row r="306" spans="1:65">
      <c r="A306" s="52" t="s">
        <v>414</v>
      </c>
      <c r="B306" s="53" t="s">
        <v>414</v>
      </c>
      <c r="C306" s="56" t="s">
        <v>423</v>
      </c>
      <c r="D306" s="55" t="s">
        <v>61</v>
      </c>
      <c r="E306" s="55" t="s">
        <v>61</v>
      </c>
      <c r="F306" s="181" t="s">
        <v>420</v>
      </c>
      <c r="G306" s="182" t="s">
        <v>420</v>
      </c>
      <c r="H306" s="53" t="s">
        <v>421</v>
      </c>
      <c r="I306" s="53">
        <v>10</v>
      </c>
      <c r="J306" s="61"/>
      <c r="K306" s="61">
        <v>12415</v>
      </c>
      <c r="L306" s="66" t="e">
        <f t="shared" si="215"/>
        <v>#DIV/0!</v>
      </c>
      <c r="M306" s="61">
        <v>58818</v>
      </c>
      <c r="N306" s="61">
        <v>21750</v>
      </c>
      <c r="O306" s="66">
        <f t="shared" si="216"/>
        <v>-0.6302152402325818</v>
      </c>
      <c r="P306" s="61">
        <f t="shared" si="217"/>
        <v>58818</v>
      </c>
      <c r="Q306" s="61">
        <f t="shared" si="217"/>
        <v>34165</v>
      </c>
      <c r="R306" s="66">
        <f t="shared" si="218"/>
        <v>-0.41914039919752455</v>
      </c>
      <c r="S306" s="67">
        <v>7320</v>
      </c>
      <c r="T306" s="67"/>
      <c r="U306" s="66">
        <f t="shared" si="219"/>
        <v>-1</v>
      </c>
      <c r="V306" s="68">
        <f t="shared" si="220"/>
        <v>66138</v>
      </c>
      <c r="W306" s="68">
        <f t="shared" si="220"/>
        <v>34165</v>
      </c>
      <c r="X306" s="66">
        <f t="shared" si="221"/>
        <v>-0.48342858870845806</v>
      </c>
      <c r="Y306" s="61">
        <v>3160</v>
      </c>
      <c r="Z306" s="61">
        <v>9930</v>
      </c>
      <c r="AA306" s="66">
        <f t="shared" si="222"/>
        <v>2.1424050632911391</v>
      </c>
      <c r="AB306" s="61">
        <f t="shared" si="223"/>
        <v>69298</v>
      </c>
      <c r="AC306" s="61">
        <f t="shared" si="223"/>
        <v>44095</v>
      </c>
      <c r="AD306" s="66">
        <f t="shared" si="224"/>
        <v>-0.36369014978787262</v>
      </c>
      <c r="AE306" s="61">
        <v>8850</v>
      </c>
      <c r="AF306" s="61">
        <v>3800</v>
      </c>
      <c r="AG306" s="66">
        <f t="shared" si="225"/>
        <v>-0.57062146892655363</v>
      </c>
      <c r="AH306" s="61">
        <f t="shared" si="226"/>
        <v>78148</v>
      </c>
      <c r="AI306" s="61">
        <f t="shared" si="226"/>
        <v>47895</v>
      </c>
      <c r="AJ306" s="66">
        <f t="shared" si="227"/>
        <v>-0.3871244305676409</v>
      </c>
      <c r="AK306" s="61">
        <v>6600</v>
      </c>
      <c r="AL306" s="61">
        <v>20968</v>
      </c>
      <c r="AM306" s="66">
        <f t="shared" si="228"/>
        <v>2.1769696969696968</v>
      </c>
      <c r="AN306" s="61">
        <f t="shared" si="229"/>
        <v>84748</v>
      </c>
      <c r="AO306" s="61">
        <f t="shared" si="229"/>
        <v>68863</v>
      </c>
      <c r="AP306" s="66">
        <f t="shared" si="230"/>
        <v>-0.18743805163543681</v>
      </c>
      <c r="AQ306" s="67"/>
      <c r="AR306" s="67">
        <v>27841</v>
      </c>
      <c r="AS306" s="66" t="e">
        <f t="shared" si="231"/>
        <v>#DIV/0!</v>
      </c>
      <c r="AT306" s="67">
        <f t="shared" si="232"/>
        <v>84748</v>
      </c>
      <c r="AU306" s="67">
        <f t="shared" si="232"/>
        <v>96704</v>
      </c>
      <c r="AV306" s="66">
        <f t="shared" si="233"/>
        <v>0.1410770755652051</v>
      </c>
      <c r="AW306" s="61">
        <v>3800</v>
      </c>
      <c r="AX306" s="61"/>
      <c r="AY306" s="66">
        <f t="shared" si="234"/>
        <v>-1</v>
      </c>
      <c r="AZ306" s="61">
        <f t="shared" si="235"/>
        <v>88548</v>
      </c>
      <c r="BA306" s="61">
        <f t="shared" si="235"/>
        <v>96704</v>
      </c>
      <c r="BB306" s="66">
        <f t="shared" si="236"/>
        <v>9.2108235081537648E-2</v>
      </c>
      <c r="BC306" s="61"/>
      <c r="BD306" s="61"/>
      <c r="BE306" s="66" t="e">
        <f t="shared" si="237"/>
        <v>#DIV/0!</v>
      </c>
      <c r="BF306" s="61">
        <f t="shared" si="238"/>
        <v>88548</v>
      </c>
      <c r="BG306" s="61">
        <f t="shared" si="238"/>
        <v>96704</v>
      </c>
      <c r="BH306" s="66">
        <f t="shared" si="239"/>
        <v>9.2108235081537648E-2</v>
      </c>
      <c r="BI306" s="70">
        <v>6100</v>
      </c>
      <c r="BJ306" s="61">
        <v>6200</v>
      </c>
      <c r="BK306" s="61"/>
      <c r="BL306" s="61">
        <v>100848</v>
      </c>
      <c r="BM306" s="71">
        <f t="shared" si="240"/>
        <v>0.96704000000000012</v>
      </c>
    </row>
    <row r="307" spans="1:65">
      <c r="A307" s="52" t="s">
        <v>414</v>
      </c>
      <c r="B307" s="53" t="s">
        <v>414</v>
      </c>
      <c r="C307" s="54" t="s">
        <v>424</v>
      </c>
      <c r="D307" s="55" t="s">
        <v>61</v>
      </c>
      <c r="E307" s="55" t="s">
        <v>61</v>
      </c>
      <c r="F307" s="181" t="s">
        <v>420</v>
      </c>
      <c r="G307" s="182" t="s">
        <v>420</v>
      </c>
      <c r="H307" s="53" t="s">
        <v>421</v>
      </c>
      <c r="I307" s="53"/>
      <c r="J307" s="61">
        <v>62144</v>
      </c>
      <c r="K307" s="61"/>
      <c r="L307" s="66">
        <f t="shared" si="215"/>
        <v>-1</v>
      </c>
      <c r="M307" s="61"/>
      <c r="N307" s="61"/>
      <c r="O307" s="66" t="e">
        <f t="shared" si="216"/>
        <v>#DIV/0!</v>
      </c>
      <c r="P307" s="61">
        <f t="shared" si="217"/>
        <v>62144</v>
      </c>
      <c r="Q307" s="61">
        <f t="shared" si="217"/>
        <v>0</v>
      </c>
      <c r="R307" s="66">
        <f t="shared" si="218"/>
        <v>-1</v>
      </c>
      <c r="S307" s="67"/>
      <c r="T307" s="67"/>
      <c r="U307" s="66" t="e">
        <f t="shared" si="219"/>
        <v>#DIV/0!</v>
      </c>
      <c r="V307" s="68">
        <f t="shared" si="220"/>
        <v>62144</v>
      </c>
      <c r="W307" s="68">
        <f t="shared" si="220"/>
        <v>0</v>
      </c>
      <c r="X307" s="66">
        <f t="shared" si="221"/>
        <v>-1</v>
      </c>
      <c r="Y307" s="61"/>
      <c r="Z307" s="61"/>
      <c r="AA307" s="66" t="e">
        <f t="shared" si="222"/>
        <v>#DIV/0!</v>
      </c>
      <c r="AB307" s="61">
        <f t="shared" si="223"/>
        <v>62144</v>
      </c>
      <c r="AC307" s="61">
        <f t="shared" si="223"/>
        <v>0</v>
      </c>
      <c r="AD307" s="66">
        <f t="shared" si="224"/>
        <v>-1</v>
      </c>
      <c r="AE307" s="61"/>
      <c r="AF307" s="61"/>
      <c r="AG307" s="66" t="e">
        <f t="shared" si="225"/>
        <v>#DIV/0!</v>
      </c>
      <c r="AH307" s="61">
        <f t="shared" si="226"/>
        <v>62144</v>
      </c>
      <c r="AI307" s="61">
        <f t="shared" si="226"/>
        <v>0</v>
      </c>
      <c r="AJ307" s="66">
        <f t="shared" si="227"/>
        <v>-1</v>
      </c>
      <c r="AK307" s="61"/>
      <c r="AL307" s="61"/>
      <c r="AM307" s="66" t="e">
        <f t="shared" si="228"/>
        <v>#DIV/0!</v>
      </c>
      <c r="AN307" s="61">
        <f t="shared" si="229"/>
        <v>62144</v>
      </c>
      <c r="AO307" s="61">
        <f t="shared" si="229"/>
        <v>0</v>
      </c>
      <c r="AP307" s="66">
        <f t="shared" si="230"/>
        <v>-1</v>
      </c>
      <c r="AQ307" s="67"/>
      <c r="AR307" s="67"/>
      <c r="AS307" s="66" t="e">
        <f t="shared" si="231"/>
        <v>#DIV/0!</v>
      </c>
      <c r="AT307" s="67">
        <f t="shared" si="232"/>
        <v>62144</v>
      </c>
      <c r="AU307" s="67">
        <f t="shared" si="232"/>
        <v>0</v>
      </c>
      <c r="AV307" s="66">
        <f t="shared" si="233"/>
        <v>-1</v>
      </c>
      <c r="AW307" s="61"/>
      <c r="AX307" s="61"/>
      <c r="AY307" s="66" t="e">
        <f t="shared" si="234"/>
        <v>#DIV/0!</v>
      </c>
      <c r="AZ307" s="61">
        <f t="shared" si="235"/>
        <v>62144</v>
      </c>
      <c r="BA307" s="61">
        <f t="shared" si="235"/>
        <v>0</v>
      </c>
      <c r="BB307" s="66">
        <f t="shared" si="236"/>
        <v>-1</v>
      </c>
      <c r="BC307" s="61"/>
      <c r="BD307" s="61"/>
      <c r="BE307" s="66" t="e">
        <f t="shared" si="237"/>
        <v>#DIV/0!</v>
      </c>
      <c r="BF307" s="61">
        <f t="shared" si="238"/>
        <v>62144</v>
      </c>
      <c r="BG307" s="61">
        <f t="shared" si="238"/>
        <v>0</v>
      </c>
      <c r="BH307" s="66">
        <f t="shared" si="239"/>
        <v>-1</v>
      </c>
      <c r="BI307" s="70"/>
      <c r="BJ307" s="61"/>
      <c r="BK307" s="61"/>
      <c r="BL307" s="61">
        <v>62144</v>
      </c>
      <c r="BM307" s="71" t="e">
        <f t="shared" si="240"/>
        <v>#DIV/0!</v>
      </c>
    </row>
    <row r="308" spans="1:65">
      <c r="A308" s="52" t="s">
        <v>414</v>
      </c>
      <c r="B308" s="53" t="s">
        <v>414</v>
      </c>
      <c r="C308" s="54" t="s">
        <v>425</v>
      </c>
      <c r="D308" s="55" t="s">
        <v>61</v>
      </c>
      <c r="E308" s="55" t="s">
        <v>61</v>
      </c>
      <c r="F308" s="181" t="s">
        <v>420</v>
      </c>
      <c r="G308" s="182" t="s">
        <v>420</v>
      </c>
      <c r="H308" s="53" t="s">
        <v>421</v>
      </c>
      <c r="I308" s="53"/>
      <c r="J308" s="61"/>
      <c r="K308" s="61"/>
      <c r="L308" s="66" t="e">
        <f t="shared" si="215"/>
        <v>#DIV/0!</v>
      </c>
      <c r="M308" s="61"/>
      <c r="N308" s="61"/>
      <c r="O308" s="66" t="e">
        <f t="shared" si="216"/>
        <v>#DIV/0!</v>
      </c>
      <c r="P308" s="61">
        <f t="shared" si="217"/>
        <v>0</v>
      </c>
      <c r="Q308" s="61">
        <f t="shared" si="217"/>
        <v>0</v>
      </c>
      <c r="R308" s="66" t="e">
        <f t="shared" si="218"/>
        <v>#DIV/0!</v>
      </c>
      <c r="S308" s="67"/>
      <c r="T308" s="67"/>
      <c r="U308" s="66" t="e">
        <f t="shared" si="219"/>
        <v>#DIV/0!</v>
      </c>
      <c r="V308" s="68">
        <f t="shared" si="220"/>
        <v>0</v>
      </c>
      <c r="W308" s="68">
        <f t="shared" si="220"/>
        <v>0</v>
      </c>
      <c r="X308" s="66" t="e">
        <f t="shared" si="221"/>
        <v>#DIV/0!</v>
      </c>
      <c r="Y308" s="61"/>
      <c r="Z308" s="61"/>
      <c r="AA308" s="66" t="e">
        <f t="shared" si="222"/>
        <v>#DIV/0!</v>
      </c>
      <c r="AB308" s="61">
        <f t="shared" si="223"/>
        <v>0</v>
      </c>
      <c r="AC308" s="61">
        <f t="shared" si="223"/>
        <v>0</v>
      </c>
      <c r="AD308" s="66" t="e">
        <f t="shared" si="224"/>
        <v>#DIV/0!</v>
      </c>
      <c r="AE308" s="61"/>
      <c r="AF308" s="61"/>
      <c r="AG308" s="66" t="e">
        <f t="shared" si="225"/>
        <v>#DIV/0!</v>
      </c>
      <c r="AH308" s="61">
        <f t="shared" si="226"/>
        <v>0</v>
      </c>
      <c r="AI308" s="61">
        <f t="shared" si="226"/>
        <v>0</v>
      </c>
      <c r="AJ308" s="66" t="e">
        <f t="shared" si="227"/>
        <v>#DIV/0!</v>
      </c>
      <c r="AK308" s="61"/>
      <c r="AL308" s="61"/>
      <c r="AM308" s="66" t="e">
        <f t="shared" si="228"/>
        <v>#DIV/0!</v>
      </c>
      <c r="AN308" s="61">
        <f t="shared" si="229"/>
        <v>0</v>
      </c>
      <c r="AO308" s="61">
        <f t="shared" si="229"/>
        <v>0</v>
      </c>
      <c r="AP308" s="66" t="e">
        <f t="shared" si="230"/>
        <v>#DIV/0!</v>
      </c>
      <c r="AQ308" s="67"/>
      <c r="AR308" s="67"/>
      <c r="AS308" s="66" t="e">
        <f t="shared" si="231"/>
        <v>#DIV/0!</v>
      </c>
      <c r="AT308" s="67">
        <f t="shared" si="232"/>
        <v>0</v>
      </c>
      <c r="AU308" s="67">
        <f t="shared" si="232"/>
        <v>0</v>
      </c>
      <c r="AV308" s="66" t="e">
        <f t="shared" si="233"/>
        <v>#DIV/0!</v>
      </c>
      <c r="AW308" s="61"/>
      <c r="AX308" s="61"/>
      <c r="AY308" s="66" t="e">
        <f t="shared" si="234"/>
        <v>#DIV/0!</v>
      </c>
      <c r="AZ308" s="61">
        <f t="shared" si="235"/>
        <v>0</v>
      </c>
      <c r="BA308" s="61">
        <f t="shared" si="235"/>
        <v>0</v>
      </c>
      <c r="BB308" s="66" t="e">
        <f t="shared" si="236"/>
        <v>#DIV/0!</v>
      </c>
      <c r="BC308" s="61"/>
      <c r="BD308" s="61"/>
      <c r="BE308" s="66" t="e">
        <f t="shared" si="237"/>
        <v>#DIV/0!</v>
      </c>
      <c r="BF308" s="61">
        <f t="shared" si="238"/>
        <v>0</v>
      </c>
      <c r="BG308" s="61">
        <f t="shared" si="238"/>
        <v>0</v>
      </c>
      <c r="BH308" s="66" t="e">
        <f t="shared" si="239"/>
        <v>#DIV/0!</v>
      </c>
      <c r="BI308" s="70"/>
      <c r="BJ308" s="61"/>
      <c r="BK308" s="61"/>
      <c r="BL308" s="61">
        <v>0</v>
      </c>
      <c r="BM308" s="71" t="e">
        <f t="shared" si="240"/>
        <v>#DIV/0!</v>
      </c>
    </row>
    <row r="309" spans="1:65">
      <c r="A309" s="52" t="s">
        <v>414</v>
      </c>
      <c r="B309" s="53" t="s">
        <v>414</v>
      </c>
      <c r="C309" s="54" t="s">
        <v>426</v>
      </c>
      <c r="D309" s="55" t="s">
        <v>61</v>
      </c>
      <c r="E309" s="55" t="s">
        <v>56</v>
      </c>
      <c r="F309" s="181" t="s">
        <v>420</v>
      </c>
      <c r="G309" s="182" t="s">
        <v>420</v>
      </c>
      <c r="H309" s="53" t="s">
        <v>421</v>
      </c>
      <c r="I309" s="53">
        <v>30</v>
      </c>
      <c r="J309" s="61">
        <v>31886</v>
      </c>
      <c r="K309" s="61">
        <v>8110</v>
      </c>
      <c r="L309" s="66">
        <f t="shared" si="215"/>
        <v>-0.74565640092830709</v>
      </c>
      <c r="M309" s="61">
        <v>23445</v>
      </c>
      <c r="N309" s="61"/>
      <c r="O309" s="66">
        <f t="shared" si="216"/>
        <v>-1</v>
      </c>
      <c r="P309" s="61">
        <f t="shared" si="217"/>
        <v>55331</v>
      </c>
      <c r="Q309" s="61">
        <f t="shared" si="217"/>
        <v>8110</v>
      </c>
      <c r="R309" s="66">
        <f t="shared" si="218"/>
        <v>-0.8534275541739712</v>
      </c>
      <c r="S309" s="67"/>
      <c r="T309" s="67">
        <v>12629</v>
      </c>
      <c r="U309" s="66" t="e">
        <f t="shared" si="219"/>
        <v>#DIV/0!</v>
      </c>
      <c r="V309" s="68">
        <f t="shared" si="220"/>
        <v>55331</v>
      </c>
      <c r="W309" s="68">
        <f t="shared" si="220"/>
        <v>20739</v>
      </c>
      <c r="X309" s="66">
        <f t="shared" si="221"/>
        <v>-0.62518298964414165</v>
      </c>
      <c r="Y309" s="61">
        <v>34450</v>
      </c>
      <c r="Z309" s="61">
        <v>11796</v>
      </c>
      <c r="AA309" s="66">
        <f t="shared" si="222"/>
        <v>-0.65759071117561685</v>
      </c>
      <c r="AB309" s="61">
        <f t="shared" si="223"/>
        <v>89781</v>
      </c>
      <c r="AC309" s="61">
        <f t="shared" si="223"/>
        <v>32535</v>
      </c>
      <c r="AD309" s="66">
        <f t="shared" si="224"/>
        <v>-0.63761820429712301</v>
      </c>
      <c r="AE309" s="61">
        <v>22509</v>
      </c>
      <c r="AF309" s="61">
        <v>1799</v>
      </c>
      <c r="AG309" s="66">
        <f t="shared" si="225"/>
        <v>-0.92007641387889283</v>
      </c>
      <c r="AH309" s="61">
        <f t="shared" si="226"/>
        <v>112290</v>
      </c>
      <c r="AI309" s="61">
        <f t="shared" si="226"/>
        <v>34334</v>
      </c>
      <c r="AJ309" s="66">
        <f t="shared" si="227"/>
        <v>-0.69423813340457741</v>
      </c>
      <c r="AK309" s="61">
        <v>14050</v>
      </c>
      <c r="AL309" s="61">
        <v>28857</v>
      </c>
      <c r="AM309" s="66">
        <f t="shared" si="228"/>
        <v>1.0538790035587189</v>
      </c>
      <c r="AN309" s="61">
        <f t="shared" si="229"/>
        <v>126340</v>
      </c>
      <c r="AO309" s="61">
        <f t="shared" si="229"/>
        <v>63191</v>
      </c>
      <c r="AP309" s="66">
        <f t="shared" si="230"/>
        <v>-0.49983378185847716</v>
      </c>
      <c r="AQ309" s="67"/>
      <c r="AR309" s="67">
        <v>16191</v>
      </c>
      <c r="AS309" s="66" t="e">
        <f t="shared" si="231"/>
        <v>#DIV/0!</v>
      </c>
      <c r="AT309" s="67">
        <f t="shared" si="232"/>
        <v>126340</v>
      </c>
      <c r="AU309" s="67">
        <f t="shared" si="232"/>
        <v>79382</v>
      </c>
      <c r="AV309" s="66">
        <f t="shared" si="233"/>
        <v>-0.37167959474434065</v>
      </c>
      <c r="AW309" s="61">
        <v>28496</v>
      </c>
      <c r="AX309" s="61">
        <v>7813</v>
      </c>
      <c r="AY309" s="66">
        <f t="shared" si="234"/>
        <v>-0.7258211678832116</v>
      </c>
      <c r="AZ309" s="61">
        <f t="shared" si="235"/>
        <v>154836</v>
      </c>
      <c r="BA309" s="61">
        <f t="shared" si="235"/>
        <v>87195</v>
      </c>
      <c r="BB309" s="66">
        <f t="shared" si="236"/>
        <v>-0.43685576997597453</v>
      </c>
      <c r="BC309" s="61">
        <v>34011</v>
      </c>
      <c r="BD309" s="61">
        <v>31750</v>
      </c>
      <c r="BE309" s="66">
        <f t="shared" si="237"/>
        <v>-6.6478492252506571E-2</v>
      </c>
      <c r="BF309" s="61">
        <f t="shared" si="238"/>
        <v>188847</v>
      </c>
      <c r="BG309" s="61">
        <f t="shared" si="238"/>
        <v>118945</v>
      </c>
      <c r="BH309" s="66">
        <f t="shared" si="239"/>
        <v>-0.37015149830285898</v>
      </c>
      <c r="BI309" s="70"/>
      <c r="BJ309" s="61">
        <v>46970</v>
      </c>
      <c r="BK309" s="61">
        <v>47627</v>
      </c>
      <c r="BL309" s="61">
        <v>283444</v>
      </c>
      <c r="BM309" s="71">
        <f t="shared" si="240"/>
        <v>0.39648333333333335</v>
      </c>
    </row>
    <row r="310" spans="1:65">
      <c r="A310" s="52" t="s">
        <v>414</v>
      </c>
      <c r="B310" s="53" t="s">
        <v>414</v>
      </c>
      <c r="C310" s="57" t="s">
        <v>427</v>
      </c>
      <c r="D310" s="55" t="s">
        <v>79</v>
      </c>
      <c r="E310" s="55" t="s">
        <v>79</v>
      </c>
      <c r="F310" s="55" t="s">
        <v>428</v>
      </c>
      <c r="G310" s="53" t="s">
        <v>80</v>
      </c>
      <c r="H310" s="53"/>
      <c r="I310" s="53"/>
      <c r="J310" s="61"/>
      <c r="K310" s="61"/>
      <c r="L310" s="66" t="e">
        <f t="shared" si="215"/>
        <v>#DIV/0!</v>
      </c>
      <c r="M310" s="61"/>
      <c r="N310" s="61"/>
      <c r="O310" s="66" t="e">
        <f t="shared" si="216"/>
        <v>#DIV/0!</v>
      </c>
      <c r="P310" s="61">
        <f t="shared" si="217"/>
        <v>0</v>
      </c>
      <c r="Q310" s="61">
        <f t="shared" si="217"/>
        <v>0</v>
      </c>
      <c r="R310" s="66" t="e">
        <f t="shared" si="218"/>
        <v>#DIV/0!</v>
      </c>
      <c r="S310" s="67"/>
      <c r="T310" s="67"/>
      <c r="U310" s="66" t="e">
        <f t="shared" si="219"/>
        <v>#DIV/0!</v>
      </c>
      <c r="V310" s="68">
        <f t="shared" si="220"/>
        <v>0</v>
      </c>
      <c r="W310" s="68">
        <f t="shared" si="220"/>
        <v>0</v>
      </c>
      <c r="X310" s="66" t="e">
        <f t="shared" si="221"/>
        <v>#DIV/0!</v>
      </c>
      <c r="Y310" s="61"/>
      <c r="Z310" s="61"/>
      <c r="AA310" s="66" t="e">
        <f t="shared" si="222"/>
        <v>#DIV/0!</v>
      </c>
      <c r="AB310" s="61">
        <f t="shared" si="223"/>
        <v>0</v>
      </c>
      <c r="AC310" s="61">
        <f t="shared" si="223"/>
        <v>0</v>
      </c>
      <c r="AD310" s="66" t="e">
        <f t="shared" si="224"/>
        <v>#DIV/0!</v>
      </c>
      <c r="AE310" s="61"/>
      <c r="AF310" s="61"/>
      <c r="AG310" s="66" t="e">
        <f t="shared" si="225"/>
        <v>#DIV/0!</v>
      </c>
      <c r="AH310" s="61">
        <f t="shared" si="226"/>
        <v>0</v>
      </c>
      <c r="AI310" s="61">
        <f t="shared" si="226"/>
        <v>0</v>
      </c>
      <c r="AJ310" s="66" t="e">
        <f t="shared" si="227"/>
        <v>#DIV/0!</v>
      </c>
      <c r="AK310" s="61"/>
      <c r="AL310" s="61"/>
      <c r="AM310" s="66" t="e">
        <f t="shared" si="228"/>
        <v>#DIV/0!</v>
      </c>
      <c r="AN310" s="61">
        <f t="shared" si="229"/>
        <v>0</v>
      </c>
      <c r="AO310" s="61">
        <f t="shared" si="229"/>
        <v>0</v>
      </c>
      <c r="AP310" s="66" t="e">
        <f t="shared" si="230"/>
        <v>#DIV/0!</v>
      </c>
      <c r="AQ310" s="67"/>
      <c r="AR310" s="67"/>
      <c r="AS310" s="66" t="e">
        <f t="shared" si="231"/>
        <v>#DIV/0!</v>
      </c>
      <c r="AT310" s="67">
        <f t="shared" si="232"/>
        <v>0</v>
      </c>
      <c r="AU310" s="67">
        <f t="shared" si="232"/>
        <v>0</v>
      </c>
      <c r="AV310" s="66" t="e">
        <f t="shared" si="233"/>
        <v>#DIV/0!</v>
      </c>
      <c r="AW310" s="61"/>
      <c r="AX310" s="61"/>
      <c r="AY310" s="66" t="e">
        <f t="shared" si="234"/>
        <v>#DIV/0!</v>
      </c>
      <c r="AZ310" s="61">
        <f t="shared" si="235"/>
        <v>0</v>
      </c>
      <c r="BA310" s="61">
        <f t="shared" si="235"/>
        <v>0</v>
      </c>
      <c r="BB310" s="66" t="e">
        <f t="shared" si="236"/>
        <v>#DIV/0!</v>
      </c>
      <c r="BC310" s="61"/>
      <c r="BD310" s="61"/>
      <c r="BE310" s="66" t="e">
        <f t="shared" si="237"/>
        <v>#DIV/0!</v>
      </c>
      <c r="BF310" s="61">
        <f t="shared" si="238"/>
        <v>0</v>
      </c>
      <c r="BG310" s="61">
        <f t="shared" si="238"/>
        <v>0</v>
      </c>
      <c r="BH310" s="66" t="e">
        <f t="shared" si="239"/>
        <v>#DIV/0!</v>
      </c>
      <c r="BI310" s="70"/>
      <c r="BJ310" s="61"/>
      <c r="BK310" s="61"/>
      <c r="BL310" s="61">
        <v>0</v>
      </c>
      <c r="BM310" s="71" t="e">
        <f t="shared" si="240"/>
        <v>#DIV/0!</v>
      </c>
    </row>
    <row r="311" spans="1:65" ht="28">
      <c r="A311" s="52" t="s">
        <v>414</v>
      </c>
      <c r="B311" s="53" t="s">
        <v>414</v>
      </c>
      <c r="C311" s="57" t="s">
        <v>429</v>
      </c>
      <c r="D311" s="55" t="s">
        <v>56</v>
      </c>
      <c r="E311" s="55" t="s">
        <v>56</v>
      </c>
      <c r="F311" s="181" t="s">
        <v>420</v>
      </c>
      <c r="G311" s="182" t="s">
        <v>420</v>
      </c>
      <c r="H311" s="53" t="s">
        <v>421</v>
      </c>
      <c r="I311" s="53">
        <v>60</v>
      </c>
      <c r="J311" s="61">
        <v>39949.599999999999</v>
      </c>
      <c r="K311" s="61">
        <v>48502.36</v>
      </c>
      <c r="L311" s="66">
        <f t="shared" si="215"/>
        <v>0.21408875182730247</v>
      </c>
      <c r="M311" s="61">
        <v>53457.4</v>
      </c>
      <c r="N311" s="61"/>
      <c r="O311" s="66">
        <f t="shared" si="216"/>
        <v>-1</v>
      </c>
      <c r="P311" s="61">
        <f t="shared" si="217"/>
        <v>93407</v>
      </c>
      <c r="Q311" s="61">
        <f t="shared" si="217"/>
        <v>48502.36</v>
      </c>
      <c r="R311" s="66">
        <f t="shared" si="218"/>
        <v>-0.48074170030083396</v>
      </c>
      <c r="S311" s="67">
        <v>3511.2</v>
      </c>
      <c r="T311" s="67">
        <v>58906.720000000001</v>
      </c>
      <c r="U311" s="66">
        <f t="shared" si="219"/>
        <v>15.776805650489862</v>
      </c>
      <c r="V311" s="68">
        <f t="shared" si="220"/>
        <v>96918.2</v>
      </c>
      <c r="W311" s="68">
        <f t="shared" si="220"/>
        <v>107409.08</v>
      </c>
      <c r="X311" s="66">
        <f t="shared" si="221"/>
        <v>0.10824468469286486</v>
      </c>
      <c r="Y311" s="61"/>
      <c r="Z311" s="61">
        <v>111364.2</v>
      </c>
      <c r="AA311" s="66" t="e">
        <f t="shared" si="222"/>
        <v>#DIV/0!</v>
      </c>
      <c r="AB311" s="61">
        <f t="shared" si="223"/>
        <v>96918.2</v>
      </c>
      <c r="AC311" s="61">
        <f t="shared" si="223"/>
        <v>218773.28</v>
      </c>
      <c r="AD311" s="66">
        <f t="shared" si="224"/>
        <v>1.2572982164340649</v>
      </c>
      <c r="AE311" s="61">
        <v>12352.88</v>
      </c>
      <c r="AF311" s="61"/>
      <c r="AG311" s="66">
        <f t="shared" si="225"/>
        <v>-1</v>
      </c>
      <c r="AH311" s="61">
        <f t="shared" si="226"/>
        <v>109271.08</v>
      </c>
      <c r="AI311" s="61">
        <f t="shared" si="226"/>
        <v>218773.28</v>
      </c>
      <c r="AJ311" s="66">
        <f t="shared" si="227"/>
        <v>1.0021151067601783</v>
      </c>
      <c r="AK311" s="61">
        <v>29376.799999999999</v>
      </c>
      <c r="AL311" s="61">
        <v>12125.48</v>
      </c>
      <c r="AM311" s="66">
        <f t="shared" si="228"/>
        <v>-0.58724299447182804</v>
      </c>
      <c r="AN311" s="61">
        <f t="shared" si="229"/>
        <v>138647.88</v>
      </c>
      <c r="AO311" s="61">
        <f t="shared" si="229"/>
        <v>230898.76</v>
      </c>
      <c r="AP311" s="66">
        <f t="shared" si="230"/>
        <v>0.66536091283905674</v>
      </c>
      <c r="AQ311" s="67">
        <v>40735.760000000002</v>
      </c>
      <c r="AR311" s="67">
        <v>40795.199999999997</v>
      </c>
      <c r="AS311" s="66">
        <f t="shared" si="231"/>
        <v>1.4591602071496457E-3</v>
      </c>
      <c r="AT311" s="67">
        <f t="shared" si="232"/>
        <v>179383.64</v>
      </c>
      <c r="AU311" s="67">
        <f t="shared" si="232"/>
        <v>271693.96000000002</v>
      </c>
      <c r="AV311" s="66">
        <f t="shared" si="233"/>
        <v>0.5145972063004185</v>
      </c>
      <c r="AW311" s="61"/>
      <c r="AX311" s="61">
        <v>35606.44</v>
      </c>
      <c r="AY311" s="66" t="e">
        <f t="shared" si="234"/>
        <v>#DIV/0!</v>
      </c>
      <c r="AZ311" s="61">
        <f t="shared" si="235"/>
        <v>179383.64</v>
      </c>
      <c r="BA311" s="61">
        <f t="shared" si="235"/>
        <v>307300.40000000002</v>
      </c>
      <c r="BB311" s="66">
        <f t="shared" si="236"/>
        <v>0.71309044682112588</v>
      </c>
      <c r="BC311" s="61">
        <v>2182.44</v>
      </c>
      <c r="BD311" s="61"/>
      <c r="BE311" s="66">
        <f t="shared" si="237"/>
        <v>-1</v>
      </c>
      <c r="BF311" s="61">
        <f t="shared" si="238"/>
        <v>181566.08000000002</v>
      </c>
      <c r="BG311" s="61">
        <f t="shared" si="238"/>
        <v>307300.40000000002</v>
      </c>
      <c r="BH311" s="66">
        <f t="shared" si="239"/>
        <v>0.69249895134597828</v>
      </c>
      <c r="BI311" s="70">
        <v>25531.599999999999</v>
      </c>
      <c r="BJ311" s="61">
        <v>54562.52</v>
      </c>
      <c r="BK311" s="61">
        <v>68115.92</v>
      </c>
      <c r="BL311" s="61">
        <v>329776.12</v>
      </c>
      <c r="BM311" s="71">
        <f t="shared" si="240"/>
        <v>0.51216733333333342</v>
      </c>
    </row>
    <row r="312" spans="1:65">
      <c r="A312" s="52" t="s">
        <v>414</v>
      </c>
      <c r="B312" s="53" t="s">
        <v>414</v>
      </c>
      <c r="C312" s="54" t="s">
        <v>430</v>
      </c>
      <c r="D312" s="55" t="s">
        <v>61</v>
      </c>
      <c r="E312" s="55" t="s">
        <v>61</v>
      </c>
      <c r="F312" s="181" t="s">
        <v>431</v>
      </c>
      <c r="G312" s="182" t="s">
        <v>431</v>
      </c>
      <c r="H312" s="53" t="s">
        <v>417</v>
      </c>
      <c r="I312" s="53"/>
      <c r="J312" s="61"/>
      <c r="K312" s="61"/>
      <c r="L312" s="66" t="e">
        <f t="shared" si="215"/>
        <v>#DIV/0!</v>
      </c>
      <c r="M312" s="61"/>
      <c r="N312" s="61"/>
      <c r="O312" s="66" t="e">
        <f t="shared" si="216"/>
        <v>#DIV/0!</v>
      </c>
      <c r="P312" s="61">
        <f t="shared" si="217"/>
        <v>0</v>
      </c>
      <c r="Q312" s="61">
        <f t="shared" si="217"/>
        <v>0</v>
      </c>
      <c r="R312" s="66" t="e">
        <f t="shared" si="218"/>
        <v>#DIV/0!</v>
      </c>
      <c r="S312" s="67"/>
      <c r="T312" s="67"/>
      <c r="U312" s="66" t="e">
        <f t="shared" si="219"/>
        <v>#DIV/0!</v>
      </c>
      <c r="V312" s="68">
        <f t="shared" si="220"/>
        <v>0</v>
      </c>
      <c r="W312" s="68">
        <f t="shared" si="220"/>
        <v>0</v>
      </c>
      <c r="X312" s="66" t="e">
        <f t="shared" si="221"/>
        <v>#DIV/0!</v>
      </c>
      <c r="Y312" s="61"/>
      <c r="Z312" s="61"/>
      <c r="AA312" s="66" t="e">
        <f t="shared" si="222"/>
        <v>#DIV/0!</v>
      </c>
      <c r="AB312" s="61">
        <f t="shared" si="223"/>
        <v>0</v>
      </c>
      <c r="AC312" s="61">
        <f t="shared" si="223"/>
        <v>0</v>
      </c>
      <c r="AD312" s="66" t="e">
        <f t="shared" si="224"/>
        <v>#DIV/0!</v>
      </c>
      <c r="AE312" s="61">
        <v>8890</v>
      </c>
      <c r="AF312" s="61"/>
      <c r="AG312" s="66">
        <f t="shared" si="225"/>
        <v>-1</v>
      </c>
      <c r="AH312" s="61">
        <f t="shared" si="226"/>
        <v>8890</v>
      </c>
      <c r="AI312" s="61">
        <f t="shared" si="226"/>
        <v>0</v>
      </c>
      <c r="AJ312" s="66">
        <f t="shared" si="227"/>
        <v>-1</v>
      </c>
      <c r="AK312" s="61"/>
      <c r="AL312" s="61"/>
      <c r="AM312" s="66" t="e">
        <f t="shared" si="228"/>
        <v>#DIV/0!</v>
      </c>
      <c r="AN312" s="61">
        <f t="shared" si="229"/>
        <v>8890</v>
      </c>
      <c r="AO312" s="61">
        <f t="shared" si="229"/>
        <v>0</v>
      </c>
      <c r="AP312" s="66">
        <f t="shared" si="230"/>
        <v>-1</v>
      </c>
      <c r="AQ312" s="67"/>
      <c r="AR312" s="67"/>
      <c r="AS312" s="66" t="e">
        <f t="shared" si="231"/>
        <v>#DIV/0!</v>
      </c>
      <c r="AT312" s="67">
        <f t="shared" si="232"/>
        <v>8890</v>
      </c>
      <c r="AU312" s="67">
        <f t="shared" si="232"/>
        <v>0</v>
      </c>
      <c r="AV312" s="66">
        <f t="shared" si="233"/>
        <v>-1</v>
      </c>
      <c r="AW312" s="61"/>
      <c r="AX312" s="61"/>
      <c r="AY312" s="66" t="e">
        <f t="shared" si="234"/>
        <v>#DIV/0!</v>
      </c>
      <c r="AZ312" s="61">
        <f t="shared" si="235"/>
        <v>8890</v>
      </c>
      <c r="BA312" s="61">
        <f t="shared" si="235"/>
        <v>0</v>
      </c>
      <c r="BB312" s="66">
        <f t="shared" si="236"/>
        <v>-1</v>
      </c>
      <c r="BC312" s="61"/>
      <c r="BD312" s="61"/>
      <c r="BE312" s="66" t="e">
        <f t="shared" si="237"/>
        <v>#DIV/0!</v>
      </c>
      <c r="BF312" s="61">
        <f t="shared" si="238"/>
        <v>8890</v>
      </c>
      <c r="BG312" s="61">
        <f t="shared" si="238"/>
        <v>0</v>
      </c>
      <c r="BH312" s="66">
        <f t="shared" si="239"/>
        <v>-1</v>
      </c>
      <c r="BI312" s="70"/>
      <c r="BJ312" s="61"/>
      <c r="BK312" s="61"/>
      <c r="BL312" s="61">
        <v>8890</v>
      </c>
      <c r="BM312" s="71" t="e">
        <f t="shared" si="240"/>
        <v>#DIV/0!</v>
      </c>
    </row>
    <row r="313" spans="1:65">
      <c r="A313" s="52" t="s">
        <v>414</v>
      </c>
      <c r="B313" s="53" t="s">
        <v>414</v>
      </c>
      <c r="C313" s="54" t="s">
        <v>432</v>
      </c>
      <c r="D313" s="55" t="s">
        <v>61</v>
      </c>
      <c r="E313" s="55" t="s">
        <v>56</v>
      </c>
      <c r="F313" s="181" t="s">
        <v>416</v>
      </c>
      <c r="G313" s="182" t="s">
        <v>416</v>
      </c>
      <c r="H313" s="53" t="s">
        <v>417</v>
      </c>
      <c r="I313" s="53">
        <v>50</v>
      </c>
      <c r="J313" s="61">
        <v>50000</v>
      </c>
      <c r="K313" s="61">
        <v>100000</v>
      </c>
      <c r="L313" s="66">
        <f t="shared" si="215"/>
        <v>1</v>
      </c>
      <c r="M313" s="61"/>
      <c r="N313" s="61">
        <v>100000</v>
      </c>
      <c r="O313" s="66" t="e">
        <f t="shared" si="216"/>
        <v>#DIV/0!</v>
      </c>
      <c r="P313" s="61">
        <f t="shared" si="217"/>
        <v>50000</v>
      </c>
      <c r="Q313" s="61">
        <f t="shared" si="217"/>
        <v>200000</v>
      </c>
      <c r="R313" s="66">
        <f t="shared" si="218"/>
        <v>3</v>
      </c>
      <c r="S313" s="67">
        <v>20000</v>
      </c>
      <c r="T313" s="67">
        <v>50000</v>
      </c>
      <c r="U313" s="66">
        <f t="shared" si="219"/>
        <v>1.5</v>
      </c>
      <c r="V313" s="68">
        <f t="shared" si="220"/>
        <v>70000</v>
      </c>
      <c r="W313" s="68">
        <f t="shared" si="220"/>
        <v>250000</v>
      </c>
      <c r="X313" s="66">
        <f t="shared" si="221"/>
        <v>2.5714285714285716</v>
      </c>
      <c r="Y313" s="61"/>
      <c r="Z313" s="61">
        <v>30000</v>
      </c>
      <c r="AA313" s="66" t="e">
        <f t="shared" si="222"/>
        <v>#DIV/0!</v>
      </c>
      <c r="AB313" s="61">
        <f t="shared" si="223"/>
        <v>70000</v>
      </c>
      <c r="AC313" s="61">
        <f t="shared" si="223"/>
        <v>280000</v>
      </c>
      <c r="AD313" s="66">
        <f t="shared" si="224"/>
        <v>3</v>
      </c>
      <c r="AE313" s="61">
        <v>30000</v>
      </c>
      <c r="AF313" s="61">
        <v>30000</v>
      </c>
      <c r="AG313" s="66">
        <f t="shared" si="225"/>
        <v>0</v>
      </c>
      <c r="AH313" s="61">
        <f t="shared" si="226"/>
        <v>100000</v>
      </c>
      <c r="AI313" s="61">
        <f t="shared" si="226"/>
        <v>310000</v>
      </c>
      <c r="AJ313" s="66">
        <f t="shared" si="227"/>
        <v>2.1</v>
      </c>
      <c r="AK313" s="61">
        <v>60000</v>
      </c>
      <c r="AL313" s="61">
        <v>50000</v>
      </c>
      <c r="AM313" s="66">
        <f t="shared" si="228"/>
        <v>-0.16666666666666663</v>
      </c>
      <c r="AN313" s="61">
        <f t="shared" si="229"/>
        <v>160000</v>
      </c>
      <c r="AO313" s="61">
        <f t="shared" si="229"/>
        <v>360000</v>
      </c>
      <c r="AP313" s="66">
        <f t="shared" si="230"/>
        <v>1.25</v>
      </c>
      <c r="AQ313" s="67">
        <v>100000</v>
      </c>
      <c r="AR313" s="67">
        <v>261015</v>
      </c>
      <c r="AS313" s="66">
        <f t="shared" si="231"/>
        <v>1.61015</v>
      </c>
      <c r="AT313" s="67">
        <f t="shared" si="232"/>
        <v>260000</v>
      </c>
      <c r="AU313" s="67">
        <f t="shared" si="232"/>
        <v>621015</v>
      </c>
      <c r="AV313" s="66">
        <f t="shared" si="233"/>
        <v>1.3885192307692309</v>
      </c>
      <c r="AW313" s="61">
        <v>183</v>
      </c>
      <c r="AX313" s="61"/>
      <c r="AY313" s="66">
        <f t="shared" si="234"/>
        <v>-1</v>
      </c>
      <c r="AZ313" s="61">
        <f t="shared" si="235"/>
        <v>260183</v>
      </c>
      <c r="BA313" s="61">
        <f t="shared" si="235"/>
        <v>621015</v>
      </c>
      <c r="BB313" s="66">
        <f t="shared" si="236"/>
        <v>1.3868392631340249</v>
      </c>
      <c r="BC313" s="61">
        <v>64720</v>
      </c>
      <c r="BD313" s="61">
        <v>80000</v>
      </c>
      <c r="BE313" s="66">
        <f t="shared" si="237"/>
        <v>0.23609394313967869</v>
      </c>
      <c r="BF313" s="61">
        <f t="shared" si="238"/>
        <v>324903</v>
      </c>
      <c r="BG313" s="61">
        <f t="shared" si="238"/>
        <v>701015</v>
      </c>
      <c r="BH313" s="66">
        <f t="shared" si="239"/>
        <v>1.1576131953229116</v>
      </c>
      <c r="BI313" s="70">
        <v>170000</v>
      </c>
      <c r="BJ313" s="61">
        <v>100000</v>
      </c>
      <c r="BK313" s="61">
        <v>210000</v>
      </c>
      <c r="BL313" s="61">
        <v>804903</v>
      </c>
      <c r="BM313" s="71">
        <f t="shared" si="240"/>
        <v>1.4020300000000001</v>
      </c>
    </row>
    <row r="314" spans="1:65">
      <c r="A314" s="52" t="s">
        <v>414</v>
      </c>
      <c r="B314" s="53" t="s">
        <v>414</v>
      </c>
      <c r="C314" s="54" t="s">
        <v>433</v>
      </c>
      <c r="D314" s="55" t="s">
        <v>61</v>
      </c>
      <c r="E314" s="55" t="s">
        <v>61</v>
      </c>
      <c r="F314" s="181" t="s">
        <v>434</v>
      </c>
      <c r="G314" s="182" t="s">
        <v>434</v>
      </c>
      <c r="H314" s="53" t="s">
        <v>435</v>
      </c>
      <c r="I314" s="53"/>
      <c r="J314" s="61"/>
      <c r="K314" s="61"/>
      <c r="L314" s="66" t="e">
        <f t="shared" si="215"/>
        <v>#DIV/0!</v>
      </c>
      <c r="M314" s="61"/>
      <c r="N314" s="61"/>
      <c r="O314" s="66" t="e">
        <f t="shared" si="216"/>
        <v>#DIV/0!</v>
      </c>
      <c r="P314" s="61">
        <f t="shared" si="217"/>
        <v>0</v>
      </c>
      <c r="Q314" s="61">
        <f t="shared" si="217"/>
        <v>0</v>
      </c>
      <c r="R314" s="66" t="e">
        <f t="shared" si="218"/>
        <v>#DIV/0!</v>
      </c>
      <c r="S314" s="67"/>
      <c r="T314" s="67"/>
      <c r="U314" s="66" t="e">
        <f t="shared" si="219"/>
        <v>#DIV/0!</v>
      </c>
      <c r="V314" s="68">
        <f t="shared" si="220"/>
        <v>0</v>
      </c>
      <c r="W314" s="68">
        <f t="shared" si="220"/>
        <v>0</v>
      </c>
      <c r="X314" s="66" t="e">
        <f t="shared" si="221"/>
        <v>#DIV/0!</v>
      </c>
      <c r="Y314" s="61"/>
      <c r="Z314" s="61"/>
      <c r="AA314" s="66" t="e">
        <f t="shared" si="222"/>
        <v>#DIV/0!</v>
      </c>
      <c r="AB314" s="61">
        <f t="shared" si="223"/>
        <v>0</v>
      </c>
      <c r="AC314" s="61">
        <f t="shared" si="223"/>
        <v>0</v>
      </c>
      <c r="AD314" s="66" t="e">
        <f t="shared" si="224"/>
        <v>#DIV/0!</v>
      </c>
      <c r="AE314" s="61"/>
      <c r="AF314" s="61"/>
      <c r="AG314" s="66" t="e">
        <f t="shared" si="225"/>
        <v>#DIV/0!</v>
      </c>
      <c r="AH314" s="61">
        <f t="shared" si="226"/>
        <v>0</v>
      </c>
      <c r="AI314" s="61">
        <f t="shared" si="226"/>
        <v>0</v>
      </c>
      <c r="AJ314" s="66" t="e">
        <f t="shared" si="227"/>
        <v>#DIV/0!</v>
      </c>
      <c r="AK314" s="61"/>
      <c r="AL314" s="61"/>
      <c r="AM314" s="66" t="e">
        <f t="shared" si="228"/>
        <v>#DIV/0!</v>
      </c>
      <c r="AN314" s="61">
        <f t="shared" si="229"/>
        <v>0</v>
      </c>
      <c r="AO314" s="61">
        <f t="shared" si="229"/>
        <v>0</v>
      </c>
      <c r="AP314" s="66" t="e">
        <f t="shared" si="230"/>
        <v>#DIV/0!</v>
      </c>
      <c r="AQ314" s="67"/>
      <c r="AR314" s="67"/>
      <c r="AS314" s="66" t="e">
        <f t="shared" si="231"/>
        <v>#DIV/0!</v>
      </c>
      <c r="AT314" s="67">
        <f t="shared" si="232"/>
        <v>0</v>
      </c>
      <c r="AU314" s="67">
        <f t="shared" si="232"/>
        <v>0</v>
      </c>
      <c r="AV314" s="66" t="e">
        <f t="shared" si="233"/>
        <v>#DIV/0!</v>
      </c>
      <c r="AW314" s="61"/>
      <c r="AX314" s="61"/>
      <c r="AY314" s="66" t="e">
        <f t="shared" si="234"/>
        <v>#DIV/0!</v>
      </c>
      <c r="AZ314" s="61">
        <f t="shared" si="235"/>
        <v>0</v>
      </c>
      <c r="BA314" s="61">
        <f t="shared" si="235"/>
        <v>0</v>
      </c>
      <c r="BB314" s="66" t="e">
        <f t="shared" si="236"/>
        <v>#DIV/0!</v>
      </c>
      <c r="BC314" s="61"/>
      <c r="BD314" s="61"/>
      <c r="BE314" s="66" t="e">
        <f t="shared" si="237"/>
        <v>#DIV/0!</v>
      </c>
      <c r="BF314" s="61">
        <f t="shared" si="238"/>
        <v>0</v>
      </c>
      <c r="BG314" s="61">
        <f t="shared" si="238"/>
        <v>0</v>
      </c>
      <c r="BH314" s="66" t="e">
        <f t="shared" si="239"/>
        <v>#DIV/0!</v>
      </c>
      <c r="BI314" s="70"/>
      <c r="BJ314" s="61"/>
      <c r="BK314" s="61"/>
      <c r="BL314" s="61">
        <v>0</v>
      </c>
      <c r="BM314" s="71" t="e">
        <f t="shared" si="240"/>
        <v>#DIV/0!</v>
      </c>
    </row>
    <row r="315" spans="1:65">
      <c r="A315" s="52" t="s">
        <v>414</v>
      </c>
      <c r="B315" s="53" t="s">
        <v>414</v>
      </c>
      <c r="C315" s="54" t="s">
        <v>436</v>
      </c>
      <c r="D315" s="55" t="s">
        <v>84</v>
      </c>
      <c r="E315" s="55" t="s">
        <v>84</v>
      </c>
      <c r="F315" s="55" t="s">
        <v>428</v>
      </c>
      <c r="G315" s="182" t="s">
        <v>437</v>
      </c>
      <c r="H315" s="53" t="s">
        <v>417</v>
      </c>
      <c r="I315" s="53"/>
      <c r="J315" s="61">
        <v>19598</v>
      </c>
      <c r="K315" s="61"/>
      <c r="L315" s="66">
        <f t="shared" si="215"/>
        <v>-1</v>
      </c>
      <c r="M315" s="61"/>
      <c r="N315" s="61"/>
      <c r="O315" s="66" t="e">
        <f t="shared" si="216"/>
        <v>#DIV/0!</v>
      </c>
      <c r="P315" s="61">
        <f t="shared" si="217"/>
        <v>19598</v>
      </c>
      <c r="Q315" s="61">
        <f t="shared" si="217"/>
        <v>0</v>
      </c>
      <c r="R315" s="66">
        <f t="shared" si="218"/>
        <v>-1</v>
      </c>
      <c r="S315" s="67">
        <v>12126</v>
      </c>
      <c r="T315" s="67"/>
      <c r="U315" s="66">
        <f t="shared" si="219"/>
        <v>-1</v>
      </c>
      <c r="V315" s="68">
        <f t="shared" si="220"/>
        <v>31724</v>
      </c>
      <c r="W315" s="68">
        <f t="shared" si="220"/>
        <v>0</v>
      </c>
      <c r="X315" s="66">
        <f t="shared" si="221"/>
        <v>-1</v>
      </c>
      <c r="Y315" s="61">
        <v>8048</v>
      </c>
      <c r="Z315" s="61"/>
      <c r="AA315" s="66">
        <f t="shared" si="222"/>
        <v>-1</v>
      </c>
      <c r="AB315" s="61">
        <f t="shared" si="223"/>
        <v>39772</v>
      </c>
      <c r="AC315" s="61">
        <f t="shared" si="223"/>
        <v>0</v>
      </c>
      <c r="AD315" s="66">
        <f t="shared" si="224"/>
        <v>-1</v>
      </c>
      <c r="AE315" s="61"/>
      <c r="AF315" s="61"/>
      <c r="AG315" s="66" t="e">
        <f t="shared" si="225"/>
        <v>#DIV/0!</v>
      </c>
      <c r="AH315" s="61">
        <f t="shared" si="226"/>
        <v>39772</v>
      </c>
      <c r="AI315" s="61">
        <f t="shared" si="226"/>
        <v>0</v>
      </c>
      <c r="AJ315" s="66">
        <f t="shared" si="227"/>
        <v>-1</v>
      </c>
      <c r="AK315" s="61">
        <v>4100</v>
      </c>
      <c r="AL315" s="61"/>
      <c r="AM315" s="66">
        <f t="shared" si="228"/>
        <v>-1</v>
      </c>
      <c r="AN315" s="61">
        <f t="shared" si="229"/>
        <v>43872</v>
      </c>
      <c r="AO315" s="61">
        <f t="shared" si="229"/>
        <v>0</v>
      </c>
      <c r="AP315" s="66">
        <f t="shared" si="230"/>
        <v>-1</v>
      </c>
      <c r="AQ315" s="67">
        <v>12498</v>
      </c>
      <c r="AR315" s="67"/>
      <c r="AS315" s="66">
        <f t="shared" si="231"/>
        <v>-1</v>
      </c>
      <c r="AT315" s="67">
        <f t="shared" si="232"/>
        <v>56370</v>
      </c>
      <c r="AU315" s="67">
        <f t="shared" si="232"/>
        <v>0</v>
      </c>
      <c r="AV315" s="66">
        <f t="shared" si="233"/>
        <v>-1</v>
      </c>
      <c r="AW315" s="61"/>
      <c r="AX315" s="61"/>
      <c r="AY315" s="66" t="e">
        <f t="shared" si="234"/>
        <v>#DIV/0!</v>
      </c>
      <c r="AZ315" s="61">
        <f t="shared" si="235"/>
        <v>56370</v>
      </c>
      <c r="BA315" s="61">
        <f t="shared" si="235"/>
        <v>0</v>
      </c>
      <c r="BB315" s="66">
        <f t="shared" si="236"/>
        <v>-1</v>
      </c>
      <c r="BC315" s="61"/>
      <c r="BD315" s="61"/>
      <c r="BE315" s="66" t="e">
        <f t="shared" si="237"/>
        <v>#DIV/0!</v>
      </c>
      <c r="BF315" s="61">
        <f t="shared" si="238"/>
        <v>56370</v>
      </c>
      <c r="BG315" s="61">
        <f t="shared" si="238"/>
        <v>0</v>
      </c>
      <c r="BH315" s="66">
        <f t="shared" si="239"/>
        <v>-1</v>
      </c>
      <c r="BI315" s="70"/>
      <c r="BJ315" s="61"/>
      <c r="BK315" s="61"/>
      <c r="BL315" s="61">
        <v>56370</v>
      </c>
      <c r="BM315" s="71" t="e">
        <f t="shared" si="240"/>
        <v>#DIV/0!</v>
      </c>
    </row>
    <row r="316" spans="1:65" ht="28">
      <c r="A316" s="52" t="s">
        <v>414</v>
      </c>
      <c r="B316" s="53" t="s">
        <v>414</v>
      </c>
      <c r="C316" s="58" t="s">
        <v>438</v>
      </c>
      <c r="D316" s="55" t="s">
        <v>84</v>
      </c>
      <c r="E316" s="55" t="s">
        <v>84</v>
      </c>
      <c r="F316" s="181" t="s">
        <v>420</v>
      </c>
      <c r="G316" s="182" t="s">
        <v>420</v>
      </c>
      <c r="H316" s="53" t="s">
        <v>421</v>
      </c>
      <c r="I316" s="53"/>
      <c r="J316" s="61">
        <v>120138</v>
      </c>
      <c r="K316" s="61"/>
      <c r="L316" s="66">
        <f t="shared" si="215"/>
        <v>-1</v>
      </c>
      <c r="M316" s="61">
        <v>5300</v>
      </c>
      <c r="N316" s="61"/>
      <c r="O316" s="66">
        <f t="shared" si="216"/>
        <v>-1</v>
      </c>
      <c r="P316" s="61">
        <f t="shared" si="217"/>
        <v>125438</v>
      </c>
      <c r="Q316" s="61">
        <f t="shared" si="217"/>
        <v>0</v>
      </c>
      <c r="R316" s="66">
        <f t="shared" si="218"/>
        <v>-1</v>
      </c>
      <c r="S316" s="67">
        <v>42550</v>
      </c>
      <c r="T316" s="67"/>
      <c r="U316" s="66">
        <f t="shared" si="219"/>
        <v>-1</v>
      </c>
      <c r="V316" s="68">
        <f t="shared" si="220"/>
        <v>167988</v>
      </c>
      <c r="W316" s="68">
        <f t="shared" si="220"/>
        <v>0</v>
      </c>
      <c r="X316" s="66">
        <f t="shared" si="221"/>
        <v>-1</v>
      </c>
      <c r="Y316" s="61">
        <v>21498</v>
      </c>
      <c r="Z316" s="61"/>
      <c r="AA316" s="66">
        <f t="shared" si="222"/>
        <v>-1</v>
      </c>
      <c r="AB316" s="61">
        <f t="shared" si="223"/>
        <v>189486</v>
      </c>
      <c r="AC316" s="61">
        <f t="shared" si="223"/>
        <v>0</v>
      </c>
      <c r="AD316" s="66">
        <f t="shared" si="224"/>
        <v>-1</v>
      </c>
      <c r="AE316" s="61">
        <v>-5350</v>
      </c>
      <c r="AF316" s="61"/>
      <c r="AG316" s="66">
        <f t="shared" si="225"/>
        <v>-1</v>
      </c>
      <c r="AH316" s="61">
        <f t="shared" si="226"/>
        <v>184136</v>
      </c>
      <c r="AI316" s="61">
        <f t="shared" si="226"/>
        <v>0</v>
      </c>
      <c r="AJ316" s="66">
        <f t="shared" si="227"/>
        <v>-1</v>
      </c>
      <c r="AK316" s="61">
        <v>-5100</v>
      </c>
      <c r="AL316" s="61"/>
      <c r="AM316" s="66">
        <f t="shared" si="228"/>
        <v>-1</v>
      </c>
      <c r="AN316" s="61">
        <f t="shared" si="229"/>
        <v>179036</v>
      </c>
      <c r="AO316" s="61">
        <f t="shared" si="229"/>
        <v>0</v>
      </c>
      <c r="AP316" s="66">
        <f t="shared" si="230"/>
        <v>-1</v>
      </c>
      <c r="AQ316" s="67"/>
      <c r="AR316" s="67"/>
      <c r="AS316" s="66" t="e">
        <f t="shared" si="231"/>
        <v>#DIV/0!</v>
      </c>
      <c r="AT316" s="67">
        <f t="shared" si="232"/>
        <v>179036</v>
      </c>
      <c r="AU316" s="67">
        <f t="shared" si="232"/>
        <v>0</v>
      </c>
      <c r="AV316" s="66">
        <f t="shared" si="233"/>
        <v>-1</v>
      </c>
      <c r="AW316" s="61"/>
      <c r="AX316" s="61"/>
      <c r="AY316" s="66" t="e">
        <f t="shared" si="234"/>
        <v>#DIV/0!</v>
      </c>
      <c r="AZ316" s="61">
        <f t="shared" si="235"/>
        <v>179036</v>
      </c>
      <c r="BA316" s="61">
        <f t="shared" si="235"/>
        <v>0</v>
      </c>
      <c r="BB316" s="66">
        <f t="shared" si="236"/>
        <v>-1</v>
      </c>
      <c r="BC316" s="61"/>
      <c r="BD316" s="61"/>
      <c r="BE316" s="66" t="e">
        <f t="shared" si="237"/>
        <v>#DIV/0!</v>
      </c>
      <c r="BF316" s="61">
        <f t="shared" si="238"/>
        <v>179036</v>
      </c>
      <c r="BG316" s="61">
        <f t="shared" si="238"/>
        <v>0</v>
      </c>
      <c r="BH316" s="66">
        <f t="shared" si="239"/>
        <v>-1</v>
      </c>
      <c r="BI316" s="70"/>
      <c r="BJ316" s="61"/>
      <c r="BK316" s="61"/>
      <c r="BL316" s="61">
        <v>179036</v>
      </c>
      <c r="BM316" s="71" t="e">
        <f t="shared" si="240"/>
        <v>#DIV/0!</v>
      </c>
    </row>
    <row r="317" spans="1:65">
      <c r="A317" s="52" t="s">
        <v>414</v>
      </c>
      <c r="B317" s="53" t="s">
        <v>414</v>
      </c>
      <c r="C317" s="59" t="s">
        <v>439</v>
      </c>
      <c r="D317" s="55" t="s">
        <v>61</v>
      </c>
      <c r="E317" s="55" t="s">
        <v>61</v>
      </c>
      <c r="F317" s="181" t="s">
        <v>431</v>
      </c>
      <c r="G317" s="182" t="s">
        <v>431</v>
      </c>
      <c r="H317" s="53" t="s">
        <v>417</v>
      </c>
      <c r="I317" s="53"/>
      <c r="J317" s="61">
        <v>30747</v>
      </c>
      <c r="K317" s="61"/>
      <c r="L317" s="66">
        <f t="shared" si="215"/>
        <v>-1</v>
      </c>
      <c r="M317" s="61"/>
      <c r="N317" s="61"/>
      <c r="O317" s="66" t="e">
        <f t="shared" si="216"/>
        <v>#DIV/0!</v>
      </c>
      <c r="P317" s="61">
        <f t="shared" si="217"/>
        <v>30747</v>
      </c>
      <c r="Q317" s="61">
        <f t="shared" si="217"/>
        <v>0</v>
      </c>
      <c r="R317" s="66">
        <f t="shared" si="218"/>
        <v>-1</v>
      </c>
      <c r="S317" s="67"/>
      <c r="T317" s="67"/>
      <c r="U317" s="66" t="e">
        <f t="shared" si="219"/>
        <v>#DIV/0!</v>
      </c>
      <c r="V317" s="68">
        <f t="shared" si="220"/>
        <v>30747</v>
      </c>
      <c r="W317" s="68">
        <f t="shared" si="220"/>
        <v>0</v>
      </c>
      <c r="X317" s="66">
        <f t="shared" si="221"/>
        <v>-1</v>
      </c>
      <c r="Y317" s="61"/>
      <c r="Z317" s="61"/>
      <c r="AA317" s="66" t="e">
        <f t="shared" si="222"/>
        <v>#DIV/0!</v>
      </c>
      <c r="AB317" s="61">
        <f t="shared" si="223"/>
        <v>30747</v>
      </c>
      <c r="AC317" s="61">
        <f t="shared" si="223"/>
        <v>0</v>
      </c>
      <c r="AD317" s="66">
        <f t="shared" si="224"/>
        <v>-1</v>
      </c>
      <c r="AE317" s="61"/>
      <c r="AF317" s="61"/>
      <c r="AG317" s="66" t="e">
        <f t="shared" si="225"/>
        <v>#DIV/0!</v>
      </c>
      <c r="AH317" s="61">
        <f t="shared" si="226"/>
        <v>30747</v>
      </c>
      <c r="AI317" s="61">
        <f t="shared" si="226"/>
        <v>0</v>
      </c>
      <c r="AJ317" s="66">
        <f t="shared" si="227"/>
        <v>-1</v>
      </c>
      <c r="AK317" s="61"/>
      <c r="AL317" s="61"/>
      <c r="AM317" s="66" t="e">
        <f t="shared" si="228"/>
        <v>#DIV/0!</v>
      </c>
      <c r="AN317" s="61">
        <f t="shared" si="229"/>
        <v>30747</v>
      </c>
      <c r="AO317" s="61">
        <f t="shared" si="229"/>
        <v>0</v>
      </c>
      <c r="AP317" s="66">
        <f t="shared" si="230"/>
        <v>-1</v>
      </c>
      <c r="AQ317" s="67"/>
      <c r="AR317" s="67"/>
      <c r="AS317" s="66" t="e">
        <f t="shared" si="231"/>
        <v>#DIV/0!</v>
      </c>
      <c r="AT317" s="67">
        <f t="shared" si="232"/>
        <v>30747</v>
      </c>
      <c r="AU317" s="67">
        <f t="shared" si="232"/>
        <v>0</v>
      </c>
      <c r="AV317" s="66">
        <f t="shared" si="233"/>
        <v>-1</v>
      </c>
      <c r="AW317" s="61"/>
      <c r="AX317" s="61"/>
      <c r="AY317" s="66" t="e">
        <f t="shared" si="234"/>
        <v>#DIV/0!</v>
      </c>
      <c r="AZ317" s="61">
        <f t="shared" si="235"/>
        <v>30747</v>
      </c>
      <c r="BA317" s="61">
        <f t="shared" si="235"/>
        <v>0</v>
      </c>
      <c r="BB317" s="66">
        <f t="shared" si="236"/>
        <v>-1</v>
      </c>
      <c r="BC317" s="61"/>
      <c r="BD317" s="61"/>
      <c r="BE317" s="66" t="e">
        <f t="shared" si="237"/>
        <v>#DIV/0!</v>
      </c>
      <c r="BF317" s="61">
        <f t="shared" si="238"/>
        <v>30747</v>
      </c>
      <c r="BG317" s="61">
        <f t="shared" si="238"/>
        <v>0</v>
      </c>
      <c r="BH317" s="66">
        <f t="shared" si="239"/>
        <v>-1</v>
      </c>
      <c r="BI317" s="70"/>
      <c r="BJ317" s="61"/>
      <c r="BK317" s="61"/>
      <c r="BL317" s="61">
        <v>30747</v>
      </c>
      <c r="BM317" s="71" t="e">
        <f t="shared" si="240"/>
        <v>#DIV/0!</v>
      </c>
    </row>
    <row r="318" spans="1:65" ht="28">
      <c r="A318" s="52" t="s">
        <v>414</v>
      </c>
      <c r="B318" s="53" t="s">
        <v>414</v>
      </c>
      <c r="C318" s="58" t="s">
        <v>440</v>
      </c>
      <c r="D318" s="55" t="s">
        <v>61</v>
      </c>
      <c r="E318" s="55" t="s">
        <v>61</v>
      </c>
      <c r="F318" s="181" t="s">
        <v>420</v>
      </c>
      <c r="G318" s="182" t="s">
        <v>420</v>
      </c>
      <c r="H318" s="53" t="s">
        <v>421</v>
      </c>
      <c r="I318" s="53"/>
      <c r="J318" s="61">
        <v>6935</v>
      </c>
      <c r="K318" s="61"/>
      <c r="L318" s="66">
        <f t="shared" si="215"/>
        <v>-1</v>
      </c>
      <c r="M318" s="61"/>
      <c r="N318" s="61"/>
      <c r="O318" s="66" t="e">
        <f t="shared" si="216"/>
        <v>#DIV/0!</v>
      </c>
      <c r="P318" s="61">
        <f t="shared" si="217"/>
        <v>6935</v>
      </c>
      <c r="Q318" s="61">
        <f t="shared" si="217"/>
        <v>0</v>
      </c>
      <c r="R318" s="66">
        <f t="shared" si="218"/>
        <v>-1</v>
      </c>
      <c r="S318" s="67">
        <v>1790</v>
      </c>
      <c r="T318" s="67"/>
      <c r="U318" s="66">
        <f t="shared" si="219"/>
        <v>-1</v>
      </c>
      <c r="V318" s="68">
        <f t="shared" si="220"/>
        <v>8725</v>
      </c>
      <c r="W318" s="68">
        <f t="shared" si="220"/>
        <v>0</v>
      </c>
      <c r="X318" s="66">
        <f t="shared" si="221"/>
        <v>-1</v>
      </c>
      <c r="Y318" s="61">
        <v>3360</v>
      </c>
      <c r="Z318" s="61"/>
      <c r="AA318" s="66">
        <f t="shared" si="222"/>
        <v>-1</v>
      </c>
      <c r="AB318" s="61">
        <f t="shared" si="223"/>
        <v>12085</v>
      </c>
      <c r="AC318" s="61">
        <f t="shared" si="223"/>
        <v>0</v>
      </c>
      <c r="AD318" s="66">
        <f t="shared" si="224"/>
        <v>-1</v>
      </c>
      <c r="AE318" s="61"/>
      <c r="AF318" s="61"/>
      <c r="AG318" s="66" t="e">
        <f t="shared" si="225"/>
        <v>#DIV/0!</v>
      </c>
      <c r="AH318" s="61">
        <f t="shared" si="226"/>
        <v>12085</v>
      </c>
      <c r="AI318" s="61">
        <f t="shared" si="226"/>
        <v>0</v>
      </c>
      <c r="AJ318" s="66">
        <f t="shared" si="227"/>
        <v>-1</v>
      </c>
      <c r="AK318" s="61"/>
      <c r="AL318" s="61"/>
      <c r="AM318" s="66" t="e">
        <f t="shared" si="228"/>
        <v>#DIV/0!</v>
      </c>
      <c r="AN318" s="61">
        <f t="shared" si="229"/>
        <v>12085</v>
      </c>
      <c r="AO318" s="61">
        <f t="shared" si="229"/>
        <v>0</v>
      </c>
      <c r="AP318" s="66">
        <f t="shared" si="230"/>
        <v>-1</v>
      </c>
      <c r="AQ318" s="67"/>
      <c r="AR318" s="67"/>
      <c r="AS318" s="66" t="e">
        <f t="shared" si="231"/>
        <v>#DIV/0!</v>
      </c>
      <c r="AT318" s="67">
        <f t="shared" si="232"/>
        <v>12085</v>
      </c>
      <c r="AU318" s="67">
        <f t="shared" si="232"/>
        <v>0</v>
      </c>
      <c r="AV318" s="66">
        <f t="shared" si="233"/>
        <v>-1</v>
      </c>
      <c r="AW318" s="61"/>
      <c r="AX318" s="61"/>
      <c r="AY318" s="66" t="e">
        <f t="shared" si="234"/>
        <v>#DIV/0!</v>
      </c>
      <c r="AZ318" s="61">
        <f t="shared" si="235"/>
        <v>12085</v>
      </c>
      <c r="BA318" s="61">
        <f t="shared" si="235"/>
        <v>0</v>
      </c>
      <c r="BB318" s="66">
        <f t="shared" si="236"/>
        <v>-1</v>
      </c>
      <c r="BC318" s="61"/>
      <c r="BD318" s="61"/>
      <c r="BE318" s="66" t="e">
        <f t="shared" si="237"/>
        <v>#DIV/0!</v>
      </c>
      <c r="BF318" s="61">
        <f t="shared" si="238"/>
        <v>12085</v>
      </c>
      <c r="BG318" s="61">
        <f t="shared" si="238"/>
        <v>0</v>
      </c>
      <c r="BH318" s="66">
        <f t="shared" si="239"/>
        <v>-1</v>
      </c>
      <c r="BI318" s="70"/>
      <c r="BJ318" s="61"/>
      <c r="BK318" s="61"/>
      <c r="BL318" s="61">
        <v>12085</v>
      </c>
      <c r="BM318" s="71" t="e">
        <f t="shared" si="240"/>
        <v>#DIV/0!</v>
      </c>
    </row>
    <row r="319" spans="1:65" ht="28">
      <c r="A319" s="52" t="s">
        <v>414</v>
      </c>
      <c r="B319" s="53" t="s">
        <v>414</v>
      </c>
      <c r="C319" s="58" t="s">
        <v>441</v>
      </c>
      <c r="D319" s="55" t="s">
        <v>84</v>
      </c>
      <c r="E319" s="55" t="s">
        <v>84</v>
      </c>
      <c r="F319" s="181" t="s">
        <v>416</v>
      </c>
      <c r="G319" s="182" t="s">
        <v>416</v>
      </c>
      <c r="H319" s="53"/>
      <c r="I319" s="53"/>
      <c r="J319" s="61"/>
      <c r="K319" s="61"/>
      <c r="L319" s="66" t="e">
        <f t="shared" si="215"/>
        <v>#DIV/0!</v>
      </c>
      <c r="M319" s="61"/>
      <c r="N319" s="61"/>
      <c r="O319" s="66" t="e">
        <f t="shared" si="216"/>
        <v>#DIV/0!</v>
      </c>
      <c r="P319" s="61">
        <f t="shared" si="217"/>
        <v>0</v>
      </c>
      <c r="Q319" s="61">
        <f t="shared" si="217"/>
        <v>0</v>
      </c>
      <c r="R319" s="66" t="e">
        <f t="shared" si="218"/>
        <v>#DIV/0!</v>
      </c>
      <c r="S319" s="67"/>
      <c r="T319" s="67"/>
      <c r="U319" s="66" t="e">
        <f t="shared" si="219"/>
        <v>#DIV/0!</v>
      </c>
      <c r="V319" s="68">
        <f t="shared" si="220"/>
        <v>0</v>
      </c>
      <c r="W319" s="68">
        <f t="shared" si="220"/>
        <v>0</v>
      </c>
      <c r="X319" s="66" t="e">
        <f t="shared" si="221"/>
        <v>#DIV/0!</v>
      </c>
      <c r="Y319" s="61"/>
      <c r="Z319" s="61"/>
      <c r="AA319" s="66" t="e">
        <f t="shared" si="222"/>
        <v>#DIV/0!</v>
      </c>
      <c r="AB319" s="61">
        <f t="shared" si="223"/>
        <v>0</v>
      </c>
      <c r="AC319" s="61">
        <f t="shared" si="223"/>
        <v>0</v>
      </c>
      <c r="AD319" s="66" t="e">
        <f t="shared" si="224"/>
        <v>#DIV/0!</v>
      </c>
      <c r="AE319" s="61"/>
      <c r="AF319" s="61"/>
      <c r="AG319" s="66" t="e">
        <f t="shared" si="225"/>
        <v>#DIV/0!</v>
      </c>
      <c r="AH319" s="61">
        <f t="shared" si="226"/>
        <v>0</v>
      </c>
      <c r="AI319" s="61">
        <f t="shared" si="226"/>
        <v>0</v>
      </c>
      <c r="AJ319" s="66" t="e">
        <f t="shared" si="227"/>
        <v>#DIV/0!</v>
      </c>
      <c r="AK319" s="61"/>
      <c r="AL319" s="61"/>
      <c r="AM319" s="66" t="e">
        <f t="shared" si="228"/>
        <v>#DIV/0!</v>
      </c>
      <c r="AN319" s="61">
        <f t="shared" si="229"/>
        <v>0</v>
      </c>
      <c r="AO319" s="61">
        <f t="shared" si="229"/>
        <v>0</v>
      </c>
      <c r="AP319" s="66" t="e">
        <f t="shared" si="230"/>
        <v>#DIV/0!</v>
      </c>
      <c r="AQ319" s="67"/>
      <c r="AR319" s="67"/>
      <c r="AS319" s="66" t="e">
        <f t="shared" si="231"/>
        <v>#DIV/0!</v>
      </c>
      <c r="AT319" s="67">
        <f t="shared" si="232"/>
        <v>0</v>
      </c>
      <c r="AU319" s="67">
        <f t="shared" si="232"/>
        <v>0</v>
      </c>
      <c r="AV319" s="66" t="e">
        <f t="shared" si="233"/>
        <v>#DIV/0!</v>
      </c>
      <c r="AW319" s="61"/>
      <c r="AX319" s="61"/>
      <c r="AY319" s="66" t="e">
        <f t="shared" si="234"/>
        <v>#DIV/0!</v>
      </c>
      <c r="AZ319" s="61">
        <f t="shared" si="235"/>
        <v>0</v>
      </c>
      <c r="BA319" s="61">
        <f t="shared" si="235"/>
        <v>0</v>
      </c>
      <c r="BB319" s="66" t="e">
        <f t="shared" si="236"/>
        <v>#DIV/0!</v>
      </c>
      <c r="BC319" s="61"/>
      <c r="BD319" s="61"/>
      <c r="BE319" s="66" t="e">
        <f t="shared" si="237"/>
        <v>#DIV/0!</v>
      </c>
      <c r="BF319" s="61">
        <f t="shared" si="238"/>
        <v>0</v>
      </c>
      <c r="BG319" s="61">
        <f t="shared" si="238"/>
        <v>0</v>
      </c>
      <c r="BH319" s="66" t="e">
        <f t="shared" si="239"/>
        <v>#DIV/0!</v>
      </c>
      <c r="BI319" s="70"/>
      <c r="BJ319" s="61"/>
      <c r="BK319" s="61"/>
      <c r="BL319" s="61">
        <v>0</v>
      </c>
      <c r="BM319" s="71" t="e">
        <f t="shared" si="240"/>
        <v>#DIV/0!</v>
      </c>
    </row>
    <row r="320" spans="1:65" ht="42">
      <c r="A320" s="52" t="s">
        <v>414</v>
      </c>
      <c r="B320" s="53" t="s">
        <v>414</v>
      </c>
      <c r="C320" s="58" t="s">
        <v>442</v>
      </c>
      <c r="D320" s="55" t="s">
        <v>61</v>
      </c>
      <c r="E320" s="55" t="s">
        <v>61</v>
      </c>
      <c r="F320" s="181" t="s">
        <v>443</v>
      </c>
      <c r="G320" s="182" t="s">
        <v>443</v>
      </c>
      <c r="H320" s="53" t="s">
        <v>435</v>
      </c>
      <c r="I320" s="53"/>
      <c r="J320" s="61"/>
      <c r="K320" s="61"/>
      <c r="L320" s="66" t="e">
        <f t="shared" si="215"/>
        <v>#DIV/0!</v>
      </c>
      <c r="M320" s="61"/>
      <c r="N320" s="61"/>
      <c r="O320" s="66" t="e">
        <f t="shared" si="216"/>
        <v>#DIV/0!</v>
      </c>
      <c r="P320" s="61">
        <f t="shared" si="217"/>
        <v>0</v>
      </c>
      <c r="Q320" s="61">
        <f t="shared" si="217"/>
        <v>0</v>
      </c>
      <c r="R320" s="66" t="e">
        <f t="shared" si="218"/>
        <v>#DIV/0!</v>
      </c>
      <c r="S320" s="67"/>
      <c r="T320" s="67"/>
      <c r="U320" s="66" t="e">
        <f t="shared" si="219"/>
        <v>#DIV/0!</v>
      </c>
      <c r="V320" s="68">
        <f t="shared" si="220"/>
        <v>0</v>
      </c>
      <c r="W320" s="68">
        <f t="shared" si="220"/>
        <v>0</v>
      </c>
      <c r="X320" s="66" t="e">
        <f t="shared" si="221"/>
        <v>#DIV/0!</v>
      </c>
      <c r="Y320" s="61"/>
      <c r="Z320" s="61"/>
      <c r="AA320" s="66" t="e">
        <f t="shared" si="222"/>
        <v>#DIV/0!</v>
      </c>
      <c r="AB320" s="61">
        <f t="shared" si="223"/>
        <v>0</v>
      </c>
      <c r="AC320" s="61">
        <f t="shared" si="223"/>
        <v>0</v>
      </c>
      <c r="AD320" s="66" t="e">
        <f t="shared" si="224"/>
        <v>#DIV/0!</v>
      </c>
      <c r="AE320" s="61"/>
      <c r="AF320" s="61"/>
      <c r="AG320" s="66" t="e">
        <f t="shared" si="225"/>
        <v>#DIV/0!</v>
      </c>
      <c r="AH320" s="61">
        <f t="shared" si="226"/>
        <v>0</v>
      </c>
      <c r="AI320" s="61">
        <f t="shared" si="226"/>
        <v>0</v>
      </c>
      <c r="AJ320" s="66" t="e">
        <f t="shared" si="227"/>
        <v>#DIV/0!</v>
      </c>
      <c r="AK320" s="61"/>
      <c r="AL320" s="61"/>
      <c r="AM320" s="66" t="e">
        <f t="shared" si="228"/>
        <v>#DIV/0!</v>
      </c>
      <c r="AN320" s="61">
        <f t="shared" si="229"/>
        <v>0</v>
      </c>
      <c r="AO320" s="61">
        <f t="shared" si="229"/>
        <v>0</v>
      </c>
      <c r="AP320" s="66" t="e">
        <f t="shared" si="230"/>
        <v>#DIV/0!</v>
      </c>
      <c r="AQ320" s="67"/>
      <c r="AR320" s="67"/>
      <c r="AS320" s="66" t="e">
        <f t="shared" si="231"/>
        <v>#DIV/0!</v>
      </c>
      <c r="AT320" s="67">
        <f t="shared" si="232"/>
        <v>0</v>
      </c>
      <c r="AU320" s="67">
        <f t="shared" si="232"/>
        <v>0</v>
      </c>
      <c r="AV320" s="66" t="e">
        <f t="shared" si="233"/>
        <v>#DIV/0!</v>
      </c>
      <c r="AW320" s="61"/>
      <c r="AX320" s="61"/>
      <c r="AY320" s="66" t="e">
        <f t="shared" si="234"/>
        <v>#DIV/0!</v>
      </c>
      <c r="AZ320" s="61">
        <f t="shared" si="235"/>
        <v>0</v>
      </c>
      <c r="BA320" s="61">
        <f t="shared" si="235"/>
        <v>0</v>
      </c>
      <c r="BB320" s="66" t="e">
        <f t="shared" si="236"/>
        <v>#DIV/0!</v>
      </c>
      <c r="BC320" s="61"/>
      <c r="BD320" s="61"/>
      <c r="BE320" s="66" t="e">
        <f t="shared" si="237"/>
        <v>#DIV/0!</v>
      </c>
      <c r="BF320" s="61">
        <f t="shared" si="238"/>
        <v>0</v>
      </c>
      <c r="BG320" s="61">
        <f t="shared" si="238"/>
        <v>0</v>
      </c>
      <c r="BH320" s="66" t="e">
        <f t="shared" si="239"/>
        <v>#DIV/0!</v>
      </c>
      <c r="BI320" s="70"/>
      <c r="BJ320" s="61"/>
      <c r="BK320" s="61"/>
      <c r="BL320" s="61">
        <v>0</v>
      </c>
      <c r="BM320" s="71" t="e">
        <f t="shared" si="240"/>
        <v>#DIV/0!</v>
      </c>
    </row>
    <row r="321" spans="1:65" ht="42">
      <c r="A321" s="52" t="s">
        <v>414</v>
      </c>
      <c r="B321" s="53" t="s">
        <v>414</v>
      </c>
      <c r="C321" s="58" t="s">
        <v>444</v>
      </c>
      <c r="D321" s="55" t="s">
        <v>61</v>
      </c>
      <c r="E321" s="55" t="s">
        <v>61</v>
      </c>
      <c r="F321" s="55" t="s">
        <v>428</v>
      </c>
      <c r="G321" s="182" t="s">
        <v>445</v>
      </c>
      <c r="H321" s="53" t="s">
        <v>417</v>
      </c>
      <c r="I321" s="53"/>
      <c r="J321" s="61"/>
      <c r="K321" s="61"/>
      <c r="L321" s="66" t="e">
        <f t="shared" si="215"/>
        <v>#DIV/0!</v>
      </c>
      <c r="M321" s="61"/>
      <c r="N321" s="61"/>
      <c r="O321" s="66" t="e">
        <f t="shared" si="216"/>
        <v>#DIV/0!</v>
      </c>
      <c r="P321" s="61">
        <f t="shared" si="217"/>
        <v>0</v>
      </c>
      <c r="Q321" s="61">
        <f t="shared" si="217"/>
        <v>0</v>
      </c>
      <c r="R321" s="66" t="e">
        <f t="shared" si="218"/>
        <v>#DIV/0!</v>
      </c>
      <c r="S321" s="67"/>
      <c r="T321" s="67"/>
      <c r="U321" s="66" t="e">
        <f t="shared" si="219"/>
        <v>#DIV/0!</v>
      </c>
      <c r="V321" s="68">
        <f t="shared" si="220"/>
        <v>0</v>
      </c>
      <c r="W321" s="68">
        <f t="shared" si="220"/>
        <v>0</v>
      </c>
      <c r="X321" s="66" t="e">
        <f t="shared" si="221"/>
        <v>#DIV/0!</v>
      </c>
      <c r="Y321" s="61"/>
      <c r="Z321" s="61"/>
      <c r="AA321" s="66" t="e">
        <f t="shared" si="222"/>
        <v>#DIV/0!</v>
      </c>
      <c r="AB321" s="61">
        <f t="shared" si="223"/>
        <v>0</v>
      </c>
      <c r="AC321" s="61">
        <f t="shared" si="223"/>
        <v>0</v>
      </c>
      <c r="AD321" s="66" t="e">
        <f t="shared" si="224"/>
        <v>#DIV/0!</v>
      </c>
      <c r="AE321" s="61"/>
      <c r="AF321" s="61"/>
      <c r="AG321" s="66" t="e">
        <f t="shared" si="225"/>
        <v>#DIV/0!</v>
      </c>
      <c r="AH321" s="61">
        <f t="shared" si="226"/>
        <v>0</v>
      </c>
      <c r="AI321" s="61">
        <f t="shared" si="226"/>
        <v>0</v>
      </c>
      <c r="AJ321" s="66" t="e">
        <f t="shared" si="227"/>
        <v>#DIV/0!</v>
      </c>
      <c r="AK321" s="61"/>
      <c r="AL321" s="61"/>
      <c r="AM321" s="66" t="e">
        <f t="shared" si="228"/>
        <v>#DIV/0!</v>
      </c>
      <c r="AN321" s="61">
        <f t="shared" si="229"/>
        <v>0</v>
      </c>
      <c r="AO321" s="61">
        <f t="shared" si="229"/>
        <v>0</v>
      </c>
      <c r="AP321" s="66" t="e">
        <f t="shared" si="230"/>
        <v>#DIV/0!</v>
      </c>
      <c r="AQ321" s="67"/>
      <c r="AR321" s="67"/>
      <c r="AS321" s="66" t="e">
        <f t="shared" si="231"/>
        <v>#DIV/0!</v>
      </c>
      <c r="AT321" s="67">
        <f t="shared" si="232"/>
        <v>0</v>
      </c>
      <c r="AU321" s="67">
        <f t="shared" si="232"/>
        <v>0</v>
      </c>
      <c r="AV321" s="66" t="e">
        <f t="shared" si="233"/>
        <v>#DIV/0!</v>
      </c>
      <c r="AW321" s="61"/>
      <c r="AX321" s="61"/>
      <c r="AY321" s="66" t="e">
        <f t="shared" si="234"/>
        <v>#DIV/0!</v>
      </c>
      <c r="AZ321" s="61">
        <f t="shared" si="235"/>
        <v>0</v>
      </c>
      <c r="BA321" s="61">
        <f t="shared" si="235"/>
        <v>0</v>
      </c>
      <c r="BB321" s="66" t="e">
        <f t="shared" si="236"/>
        <v>#DIV/0!</v>
      </c>
      <c r="BC321" s="61"/>
      <c r="BD321" s="61"/>
      <c r="BE321" s="66" t="e">
        <f t="shared" si="237"/>
        <v>#DIV/0!</v>
      </c>
      <c r="BF321" s="61">
        <f t="shared" si="238"/>
        <v>0</v>
      </c>
      <c r="BG321" s="61">
        <f t="shared" si="238"/>
        <v>0</v>
      </c>
      <c r="BH321" s="66" t="e">
        <f t="shared" si="239"/>
        <v>#DIV/0!</v>
      </c>
      <c r="BI321" s="70"/>
      <c r="BJ321" s="61"/>
      <c r="BK321" s="61"/>
      <c r="BL321" s="61">
        <v>0</v>
      </c>
      <c r="BM321" s="71" t="e">
        <f t="shared" si="240"/>
        <v>#DIV/0!</v>
      </c>
    </row>
    <row r="322" spans="1:65" ht="28">
      <c r="A322" s="52" t="s">
        <v>414</v>
      </c>
      <c r="B322" s="53" t="s">
        <v>414</v>
      </c>
      <c r="C322" s="58" t="s">
        <v>446</v>
      </c>
      <c r="D322" s="55" t="s">
        <v>84</v>
      </c>
      <c r="E322" s="55" t="s">
        <v>84</v>
      </c>
      <c r="F322" s="181" t="s">
        <v>420</v>
      </c>
      <c r="G322" s="182" t="s">
        <v>420</v>
      </c>
      <c r="H322" s="53" t="s">
        <v>421</v>
      </c>
      <c r="I322" s="53">
        <v>75</v>
      </c>
      <c r="J322" s="61">
        <v>27260</v>
      </c>
      <c r="K322" s="61">
        <v>5740</v>
      </c>
      <c r="L322" s="66">
        <f t="shared" si="215"/>
        <v>-0.78943506969919297</v>
      </c>
      <c r="M322" s="61"/>
      <c r="N322" s="61"/>
      <c r="O322" s="66" t="e">
        <f t="shared" si="216"/>
        <v>#DIV/0!</v>
      </c>
      <c r="P322" s="61">
        <f t="shared" si="217"/>
        <v>27260</v>
      </c>
      <c r="Q322" s="61">
        <f t="shared" si="217"/>
        <v>5740</v>
      </c>
      <c r="R322" s="66">
        <f t="shared" si="218"/>
        <v>-0.78943506969919297</v>
      </c>
      <c r="S322" s="67">
        <v>39798</v>
      </c>
      <c r="T322" s="67">
        <v>171582</v>
      </c>
      <c r="U322" s="66">
        <f t="shared" si="219"/>
        <v>3.3113221769938184</v>
      </c>
      <c r="V322" s="68">
        <f t="shared" si="220"/>
        <v>67058</v>
      </c>
      <c r="W322" s="68">
        <f t="shared" si="220"/>
        <v>177322</v>
      </c>
      <c r="X322" s="66">
        <f t="shared" si="221"/>
        <v>1.644307912553312</v>
      </c>
      <c r="Y322" s="61">
        <v>16600</v>
      </c>
      <c r="Z322" s="61">
        <v>18753</v>
      </c>
      <c r="AA322" s="66">
        <f t="shared" si="222"/>
        <v>0.12969879518072291</v>
      </c>
      <c r="AB322" s="61">
        <f t="shared" si="223"/>
        <v>83658</v>
      </c>
      <c r="AC322" s="61">
        <f t="shared" si="223"/>
        <v>196075</v>
      </c>
      <c r="AD322" s="66">
        <f t="shared" si="224"/>
        <v>1.3437686772334985</v>
      </c>
      <c r="AE322" s="61">
        <v>13180</v>
      </c>
      <c r="AF322" s="61">
        <v>9903</v>
      </c>
      <c r="AG322" s="66">
        <f t="shared" si="225"/>
        <v>-0.2486342943854325</v>
      </c>
      <c r="AH322" s="61">
        <f t="shared" si="226"/>
        <v>96838</v>
      </c>
      <c r="AI322" s="61">
        <f t="shared" si="226"/>
        <v>205978</v>
      </c>
      <c r="AJ322" s="66">
        <f t="shared" si="227"/>
        <v>1.1270369069993182</v>
      </c>
      <c r="AK322" s="61">
        <v>14700</v>
      </c>
      <c r="AL322" s="61">
        <v>47569</v>
      </c>
      <c r="AM322" s="66">
        <f t="shared" si="228"/>
        <v>2.2359863945578233</v>
      </c>
      <c r="AN322" s="61">
        <f t="shared" si="229"/>
        <v>111538</v>
      </c>
      <c r="AO322" s="61">
        <f t="shared" si="229"/>
        <v>253547</v>
      </c>
      <c r="AP322" s="66">
        <f t="shared" si="230"/>
        <v>1.2731894063009914</v>
      </c>
      <c r="AQ322" s="67">
        <v>24650</v>
      </c>
      <c r="AR322" s="67">
        <v>8027</v>
      </c>
      <c r="AS322" s="66">
        <f t="shared" si="231"/>
        <v>-0.67436105476673425</v>
      </c>
      <c r="AT322" s="67">
        <f t="shared" si="232"/>
        <v>136188</v>
      </c>
      <c r="AU322" s="67">
        <f t="shared" si="232"/>
        <v>261574</v>
      </c>
      <c r="AV322" s="66">
        <f t="shared" si="233"/>
        <v>0.92068317326049276</v>
      </c>
      <c r="AW322" s="61">
        <v>7800</v>
      </c>
      <c r="AX322" s="61">
        <v>18191</v>
      </c>
      <c r="AY322" s="66">
        <f t="shared" si="234"/>
        <v>1.332179487179487</v>
      </c>
      <c r="AZ322" s="61">
        <f t="shared" si="235"/>
        <v>143988</v>
      </c>
      <c r="BA322" s="61">
        <f t="shared" si="235"/>
        <v>279765</v>
      </c>
      <c r="BB322" s="66">
        <f t="shared" si="236"/>
        <v>0.94297441453454445</v>
      </c>
      <c r="BC322" s="61">
        <v>78325</v>
      </c>
      <c r="BD322" s="61">
        <v>7936</v>
      </c>
      <c r="BE322" s="66">
        <f t="shared" si="237"/>
        <v>-0.89867858282796043</v>
      </c>
      <c r="BF322" s="61">
        <f t="shared" si="238"/>
        <v>222313</v>
      </c>
      <c r="BG322" s="61">
        <f t="shared" si="238"/>
        <v>287701</v>
      </c>
      <c r="BH322" s="66">
        <f t="shared" si="239"/>
        <v>0.29412584959044241</v>
      </c>
      <c r="BI322" s="70">
        <v>155793</v>
      </c>
      <c r="BJ322" s="61">
        <v>68760</v>
      </c>
      <c r="BK322" s="61">
        <v>115959</v>
      </c>
      <c r="BL322" s="61">
        <v>562825</v>
      </c>
      <c r="BM322" s="71">
        <f t="shared" si="240"/>
        <v>0.38360133333333335</v>
      </c>
    </row>
    <row r="323" spans="1:65" ht="42">
      <c r="A323" s="52" t="s">
        <v>414</v>
      </c>
      <c r="B323" s="53" t="s">
        <v>414</v>
      </c>
      <c r="C323" s="58" t="s">
        <v>447</v>
      </c>
      <c r="D323" s="55" t="s">
        <v>61</v>
      </c>
      <c r="E323" s="55" t="s">
        <v>61</v>
      </c>
      <c r="F323" s="55" t="s">
        <v>428</v>
      </c>
      <c r="G323" s="182" t="s">
        <v>448</v>
      </c>
      <c r="H323" s="53" t="s">
        <v>417</v>
      </c>
      <c r="I323" s="53"/>
      <c r="J323" s="61"/>
      <c r="K323" s="61"/>
      <c r="L323" s="66" t="e">
        <f t="shared" si="215"/>
        <v>#DIV/0!</v>
      </c>
      <c r="M323" s="61"/>
      <c r="N323" s="61"/>
      <c r="O323" s="66" t="e">
        <f t="shared" si="216"/>
        <v>#DIV/0!</v>
      </c>
      <c r="P323" s="61">
        <f t="shared" si="217"/>
        <v>0</v>
      </c>
      <c r="Q323" s="61">
        <f t="shared" si="217"/>
        <v>0</v>
      </c>
      <c r="R323" s="66" t="e">
        <f t="shared" si="218"/>
        <v>#DIV/0!</v>
      </c>
      <c r="S323" s="67"/>
      <c r="T323" s="67"/>
      <c r="U323" s="66" t="e">
        <f t="shared" si="219"/>
        <v>#DIV/0!</v>
      </c>
      <c r="V323" s="68">
        <f t="shared" si="220"/>
        <v>0</v>
      </c>
      <c r="W323" s="68">
        <f t="shared" si="220"/>
        <v>0</v>
      </c>
      <c r="X323" s="66" t="e">
        <f t="shared" si="221"/>
        <v>#DIV/0!</v>
      </c>
      <c r="Y323" s="61"/>
      <c r="Z323" s="61"/>
      <c r="AA323" s="66" t="e">
        <f t="shared" si="222"/>
        <v>#DIV/0!</v>
      </c>
      <c r="AB323" s="61">
        <f t="shared" si="223"/>
        <v>0</v>
      </c>
      <c r="AC323" s="61">
        <f t="shared" si="223"/>
        <v>0</v>
      </c>
      <c r="AD323" s="66" t="e">
        <f t="shared" si="224"/>
        <v>#DIV/0!</v>
      </c>
      <c r="AE323" s="61"/>
      <c r="AF323" s="61"/>
      <c r="AG323" s="66" t="e">
        <f t="shared" si="225"/>
        <v>#DIV/0!</v>
      </c>
      <c r="AH323" s="61">
        <f t="shared" si="226"/>
        <v>0</v>
      </c>
      <c r="AI323" s="61">
        <f t="shared" si="226"/>
        <v>0</v>
      </c>
      <c r="AJ323" s="66" t="e">
        <f t="shared" si="227"/>
        <v>#DIV/0!</v>
      </c>
      <c r="AK323" s="61"/>
      <c r="AL323" s="61"/>
      <c r="AM323" s="66" t="e">
        <f t="shared" si="228"/>
        <v>#DIV/0!</v>
      </c>
      <c r="AN323" s="61">
        <f t="shared" si="229"/>
        <v>0</v>
      </c>
      <c r="AO323" s="61">
        <f t="shared" si="229"/>
        <v>0</v>
      </c>
      <c r="AP323" s="66" t="e">
        <f t="shared" si="230"/>
        <v>#DIV/0!</v>
      </c>
      <c r="AQ323" s="67"/>
      <c r="AR323" s="67"/>
      <c r="AS323" s="66" t="e">
        <f t="shared" si="231"/>
        <v>#DIV/0!</v>
      </c>
      <c r="AT323" s="67">
        <f t="shared" si="232"/>
        <v>0</v>
      </c>
      <c r="AU323" s="67">
        <f t="shared" si="232"/>
        <v>0</v>
      </c>
      <c r="AV323" s="66" t="e">
        <f t="shared" si="233"/>
        <v>#DIV/0!</v>
      </c>
      <c r="AW323" s="61"/>
      <c r="AX323" s="61"/>
      <c r="AY323" s="66" t="e">
        <f t="shared" si="234"/>
        <v>#DIV/0!</v>
      </c>
      <c r="AZ323" s="61">
        <f t="shared" si="235"/>
        <v>0</v>
      </c>
      <c r="BA323" s="61">
        <f t="shared" si="235"/>
        <v>0</v>
      </c>
      <c r="BB323" s="66" t="e">
        <f t="shared" si="236"/>
        <v>#DIV/0!</v>
      </c>
      <c r="BC323" s="61"/>
      <c r="BD323" s="61"/>
      <c r="BE323" s="66" t="e">
        <f t="shared" si="237"/>
        <v>#DIV/0!</v>
      </c>
      <c r="BF323" s="61">
        <f t="shared" si="238"/>
        <v>0</v>
      </c>
      <c r="BG323" s="61">
        <f t="shared" si="238"/>
        <v>0</v>
      </c>
      <c r="BH323" s="66" t="e">
        <f t="shared" si="239"/>
        <v>#DIV/0!</v>
      </c>
      <c r="BI323" s="70"/>
      <c r="BJ323" s="61"/>
      <c r="BK323" s="61"/>
      <c r="BL323" s="61">
        <v>0</v>
      </c>
      <c r="BM323" s="71" t="e">
        <f t="shared" si="240"/>
        <v>#DIV/0!</v>
      </c>
    </row>
    <row r="324" spans="1:65" ht="28">
      <c r="A324" s="52" t="s">
        <v>414</v>
      </c>
      <c r="B324" s="53" t="s">
        <v>414</v>
      </c>
      <c r="C324" s="58" t="s">
        <v>449</v>
      </c>
      <c r="D324" s="55" t="s">
        <v>84</v>
      </c>
      <c r="E324" s="55" t="s">
        <v>84</v>
      </c>
      <c r="F324" s="55" t="s">
        <v>428</v>
      </c>
      <c r="G324" s="182" t="s">
        <v>448</v>
      </c>
      <c r="H324" s="53" t="s">
        <v>417</v>
      </c>
      <c r="I324" s="53">
        <v>110</v>
      </c>
      <c r="J324" s="61">
        <v>17400</v>
      </c>
      <c r="K324" s="61"/>
      <c r="L324" s="66">
        <f t="shared" si="215"/>
        <v>-1</v>
      </c>
      <c r="M324" s="61">
        <v>3300</v>
      </c>
      <c r="N324" s="61">
        <v>62580</v>
      </c>
      <c r="O324" s="66">
        <f t="shared" si="216"/>
        <v>17.963636363636365</v>
      </c>
      <c r="P324" s="61">
        <f t="shared" si="217"/>
        <v>20700</v>
      </c>
      <c r="Q324" s="61">
        <f t="shared" si="217"/>
        <v>62580</v>
      </c>
      <c r="R324" s="66">
        <f t="shared" si="218"/>
        <v>2.0231884057971015</v>
      </c>
      <c r="S324" s="67">
        <v>58298</v>
      </c>
      <c r="T324" s="67">
        <v>122189</v>
      </c>
      <c r="U324" s="66">
        <f t="shared" si="219"/>
        <v>1.0959381110844282</v>
      </c>
      <c r="V324" s="68">
        <f t="shared" si="220"/>
        <v>78998</v>
      </c>
      <c r="W324" s="68">
        <f t="shared" si="220"/>
        <v>184769</v>
      </c>
      <c r="X324" s="66">
        <f t="shared" si="221"/>
        <v>1.338907314109218</v>
      </c>
      <c r="Y324" s="61">
        <v>67034</v>
      </c>
      <c r="Z324" s="61">
        <v>103708</v>
      </c>
      <c r="AA324" s="66">
        <f t="shared" si="222"/>
        <v>0.54709550377420424</v>
      </c>
      <c r="AB324" s="61">
        <f t="shared" si="223"/>
        <v>146032</v>
      </c>
      <c r="AC324" s="61">
        <f t="shared" si="223"/>
        <v>288477</v>
      </c>
      <c r="AD324" s="66">
        <f t="shared" si="224"/>
        <v>0.97543689054453808</v>
      </c>
      <c r="AE324" s="61">
        <v>67348</v>
      </c>
      <c r="AF324" s="61">
        <v>118753</v>
      </c>
      <c r="AG324" s="66">
        <f t="shared" si="225"/>
        <v>0.76327433628318575</v>
      </c>
      <c r="AH324" s="61">
        <f t="shared" si="226"/>
        <v>213380</v>
      </c>
      <c r="AI324" s="61">
        <f t="shared" si="226"/>
        <v>407230</v>
      </c>
      <c r="AJ324" s="66">
        <f t="shared" si="227"/>
        <v>0.9084731464992033</v>
      </c>
      <c r="AK324" s="61">
        <v>72780</v>
      </c>
      <c r="AL324" s="61">
        <v>180556</v>
      </c>
      <c r="AM324" s="66">
        <f t="shared" si="228"/>
        <v>1.480846386369882</v>
      </c>
      <c r="AN324" s="61">
        <f t="shared" si="229"/>
        <v>286160</v>
      </c>
      <c r="AO324" s="61">
        <f t="shared" si="229"/>
        <v>587786</v>
      </c>
      <c r="AP324" s="66">
        <f t="shared" si="230"/>
        <v>1.0540466871680181</v>
      </c>
      <c r="AQ324" s="67">
        <v>15500</v>
      </c>
      <c r="AR324" s="67">
        <v>30071</v>
      </c>
      <c r="AS324" s="66">
        <f t="shared" si="231"/>
        <v>0.94006451612903219</v>
      </c>
      <c r="AT324" s="67">
        <f t="shared" si="232"/>
        <v>301660</v>
      </c>
      <c r="AU324" s="67">
        <f t="shared" si="232"/>
        <v>617857</v>
      </c>
      <c r="AV324" s="66">
        <f t="shared" si="233"/>
        <v>1.0481900152489558</v>
      </c>
      <c r="AW324" s="61">
        <v>59910</v>
      </c>
      <c r="AX324" s="61">
        <v>53234</v>
      </c>
      <c r="AY324" s="66">
        <f t="shared" si="234"/>
        <v>-0.11143381739275582</v>
      </c>
      <c r="AZ324" s="61">
        <f t="shared" si="235"/>
        <v>361570</v>
      </c>
      <c r="BA324" s="61">
        <f t="shared" si="235"/>
        <v>671091</v>
      </c>
      <c r="BB324" s="66">
        <f t="shared" si="236"/>
        <v>0.85604723843239205</v>
      </c>
      <c r="BC324" s="61">
        <v>73542</v>
      </c>
      <c r="BD324" s="61">
        <v>9777</v>
      </c>
      <c r="BE324" s="66">
        <f t="shared" si="237"/>
        <v>-0.86705556008811291</v>
      </c>
      <c r="BF324" s="61">
        <f t="shared" si="238"/>
        <v>435112</v>
      </c>
      <c r="BG324" s="61">
        <f t="shared" si="238"/>
        <v>680868</v>
      </c>
      <c r="BH324" s="66">
        <f t="shared" si="239"/>
        <v>0.56481089926271855</v>
      </c>
      <c r="BI324" s="70">
        <v>220523</v>
      </c>
      <c r="BJ324" s="61">
        <v>158890</v>
      </c>
      <c r="BK324" s="61">
        <v>64510</v>
      </c>
      <c r="BL324" s="61">
        <v>879035</v>
      </c>
      <c r="BM324" s="71">
        <f t="shared" si="240"/>
        <v>0.61897090909090902</v>
      </c>
    </row>
    <row r="325" spans="1:65">
      <c r="A325" s="52" t="s">
        <v>414</v>
      </c>
      <c r="B325" s="53" t="s">
        <v>414</v>
      </c>
      <c r="C325" s="54" t="s">
        <v>450</v>
      </c>
      <c r="D325" s="55" t="s">
        <v>88</v>
      </c>
      <c r="E325" s="55" t="s">
        <v>88</v>
      </c>
      <c r="F325" s="55" t="s">
        <v>428</v>
      </c>
      <c r="G325" s="182" t="s">
        <v>448</v>
      </c>
      <c r="H325" s="53" t="s">
        <v>451</v>
      </c>
      <c r="I325" s="53"/>
      <c r="J325" s="61">
        <v>5270</v>
      </c>
      <c r="K325" s="61">
        <v>30721.94</v>
      </c>
      <c r="L325" s="66">
        <f t="shared" si="215"/>
        <v>4.8295901328273239</v>
      </c>
      <c r="M325" s="61">
        <v>19220</v>
      </c>
      <c r="N325" s="61">
        <v>3251.56</v>
      </c>
      <c r="O325" s="66">
        <f t="shared" si="216"/>
        <v>-0.83082414151925077</v>
      </c>
      <c r="P325" s="61">
        <f t="shared" si="217"/>
        <v>24490</v>
      </c>
      <c r="Q325" s="61">
        <f t="shared" si="217"/>
        <v>33973.5</v>
      </c>
      <c r="R325" s="66">
        <f t="shared" si="218"/>
        <v>0.38723968966925271</v>
      </c>
      <c r="S325" s="67">
        <v>6350</v>
      </c>
      <c r="T325" s="67">
        <v>17977.560000000001</v>
      </c>
      <c r="U325" s="66">
        <f t="shared" si="219"/>
        <v>1.8311118110236224</v>
      </c>
      <c r="V325" s="68">
        <f t="shared" si="220"/>
        <v>30840</v>
      </c>
      <c r="W325" s="68">
        <f t="shared" si="220"/>
        <v>51951.06</v>
      </c>
      <c r="X325" s="66">
        <f t="shared" si="221"/>
        <v>0.68453501945525286</v>
      </c>
      <c r="Y325" s="61">
        <v>11488.2</v>
      </c>
      <c r="Z325" s="61">
        <v>20480.060000000001</v>
      </c>
      <c r="AA325" s="66">
        <f t="shared" si="222"/>
        <v>0.78270399192214613</v>
      </c>
      <c r="AB325" s="61">
        <f t="shared" si="223"/>
        <v>42328.2</v>
      </c>
      <c r="AC325" s="61">
        <f t="shared" si="223"/>
        <v>72431.12</v>
      </c>
      <c r="AD325" s="66">
        <f t="shared" si="224"/>
        <v>0.71117883585883646</v>
      </c>
      <c r="AE325" s="61">
        <v>5121</v>
      </c>
      <c r="AF325" s="61"/>
      <c r="AG325" s="66">
        <f t="shared" si="225"/>
        <v>-1</v>
      </c>
      <c r="AH325" s="61">
        <f t="shared" si="226"/>
        <v>47449.2</v>
      </c>
      <c r="AI325" s="61">
        <f t="shared" si="226"/>
        <v>72431.12</v>
      </c>
      <c r="AJ325" s="66">
        <f t="shared" si="227"/>
        <v>0.52649823390067696</v>
      </c>
      <c r="AK325" s="61">
        <v>15150</v>
      </c>
      <c r="AL325" s="61">
        <v>40700.9</v>
      </c>
      <c r="AM325" s="66">
        <f t="shared" si="228"/>
        <v>1.6865280528052806</v>
      </c>
      <c r="AN325" s="61">
        <f t="shared" si="229"/>
        <v>62599.199999999997</v>
      </c>
      <c r="AO325" s="61">
        <f t="shared" si="229"/>
        <v>113132.01999999999</v>
      </c>
      <c r="AP325" s="66">
        <f t="shared" si="230"/>
        <v>0.80724386254137426</v>
      </c>
      <c r="AQ325" s="67">
        <v>101.3</v>
      </c>
      <c r="AR325" s="67">
        <v>309</v>
      </c>
      <c r="AS325" s="66">
        <f t="shared" si="231"/>
        <v>2.0503455083909183</v>
      </c>
      <c r="AT325" s="67">
        <f t="shared" si="232"/>
        <v>62700.5</v>
      </c>
      <c r="AU325" s="67">
        <f t="shared" si="232"/>
        <v>113441.01999999999</v>
      </c>
      <c r="AV325" s="66">
        <f t="shared" si="233"/>
        <v>0.809252238817872</v>
      </c>
      <c r="AW325" s="61">
        <v>0</v>
      </c>
      <c r="AX325" s="61">
        <v>7749.56</v>
      </c>
      <c r="AY325" s="66" t="e">
        <f t="shared" si="234"/>
        <v>#DIV/0!</v>
      </c>
      <c r="AZ325" s="61">
        <f t="shared" si="235"/>
        <v>62700.5</v>
      </c>
      <c r="BA325" s="61">
        <f t="shared" si="235"/>
        <v>121190.57999999999</v>
      </c>
      <c r="BB325" s="66">
        <f t="shared" si="236"/>
        <v>0.93284870136601761</v>
      </c>
      <c r="BC325" s="61">
        <v>18676</v>
      </c>
      <c r="BD325" s="61">
        <v>8980</v>
      </c>
      <c r="BE325" s="66">
        <f t="shared" si="237"/>
        <v>-0.51916898693510394</v>
      </c>
      <c r="BF325" s="61">
        <f t="shared" si="238"/>
        <v>81376.5</v>
      </c>
      <c r="BG325" s="61">
        <f t="shared" si="238"/>
        <v>130170.57999999999</v>
      </c>
      <c r="BH325" s="66">
        <f t="shared" si="239"/>
        <v>0.59960897802191027</v>
      </c>
      <c r="BI325" s="70">
        <v>62574.2</v>
      </c>
      <c r="BJ325" s="61">
        <v>14270.76</v>
      </c>
      <c r="BK325" s="61">
        <v>71901.240000000005</v>
      </c>
      <c r="BL325" s="61">
        <v>230122.7</v>
      </c>
      <c r="BM325" s="71" t="e">
        <f t="shared" si="240"/>
        <v>#DIV/0!</v>
      </c>
    </row>
    <row r="326" spans="1:65">
      <c r="A326" s="52" t="s">
        <v>414</v>
      </c>
      <c r="B326" s="53" t="s">
        <v>414</v>
      </c>
      <c r="C326" s="54" t="s">
        <v>452</v>
      </c>
      <c r="D326" s="55" t="s">
        <v>65</v>
      </c>
      <c r="E326" s="55" t="s">
        <v>65</v>
      </c>
      <c r="F326" s="181" t="s">
        <v>443</v>
      </c>
      <c r="G326" s="182" t="s">
        <v>443</v>
      </c>
      <c r="H326" s="53" t="s">
        <v>435</v>
      </c>
      <c r="I326" s="53">
        <v>70</v>
      </c>
      <c r="J326" s="61">
        <v>66035</v>
      </c>
      <c r="K326" s="61"/>
      <c r="L326" s="66">
        <f t="shared" si="215"/>
        <v>-1</v>
      </c>
      <c r="M326" s="61">
        <v>7715</v>
      </c>
      <c r="N326" s="61">
        <v>12400</v>
      </c>
      <c r="O326" s="66">
        <f t="shared" si="216"/>
        <v>0.60725858716785486</v>
      </c>
      <c r="P326" s="61">
        <f t="shared" si="217"/>
        <v>73750</v>
      </c>
      <c r="Q326" s="61">
        <f t="shared" si="217"/>
        <v>12400</v>
      </c>
      <c r="R326" s="66">
        <f t="shared" si="218"/>
        <v>-0.831864406779661</v>
      </c>
      <c r="S326" s="67">
        <v>45495</v>
      </c>
      <c r="T326" s="67">
        <v>10831</v>
      </c>
      <c r="U326" s="66">
        <f t="shared" si="219"/>
        <v>-0.76192988240465986</v>
      </c>
      <c r="V326" s="68">
        <f t="shared" si="220"/>
        <v>119245</v>
      </c>
      <c r="W326" s="68">
        <f t="shared" si="220"/>
        <v>23231</v>
      </c>
      <c r="X326" s="66">
        <f t="shared" si="221"/>
        <v>-0.8051826072372007</v>
      </c>
      <c r="Y326" s="61">
        <v>7084</v>
      </c>
      <c r="Z326" s="61">
        <v>35125</v>
      </c>
      <c r="AA326" s="66">
        <f t="shared" si="222"/>
        <v>3.958356860530774</v>
      </c>
      <c r="AB326" s="61">
        <f t="shared" si="223"/>
        <v>126329</v>
      </c>
      <c r="AC326" s="61">
        <f t="shared" si="223"/>
        <v>58356</v>
      </c>
      <c r="AD326" s="66">
        <f t="shared" si="224"/>
        <v>-0.53806331087873727</v>
      </c>
      <c r="AE326" s="61">
        <v>28101</v>
      </c>
      <c r="AF326" s="61">
        <v>11948</v>
      </c>
      <c r="AG326" s="66">
        <f t="shared" si="225"/>
        <v>-0.57481940144478849</v>
      </c>
      <c r="AH326" s="61">
        <f t="shared" si="226"/>
        <v>154430</v>
      </c>
      <c r="AI326" s="61">
        <f t="shared" si="226"/>
        <v>70304</v>
      </c>
      <c r="AJ326" s="66">
        <f t="shared" si="227"/>
        <v>-0.54475166742213299</v>
      </c>
      <c r="AK326" s="61">
        <v>18286</v>
      </c>
      <c r="AL326" s="61">
        <v>117838.5</v>
      </c>
      <c r="AM326" s="66">
        <f t="shared" si="228"/>
        <v>5.4441922782456524</v>
      </c>
      <c r="AN326" s="61">
        <f t="shared" si="229"/>
        <v>172716</v>
      </c>
      <c r="AO326" s="61">
        <f t="shared" si="229"/>
        <v>188142.5</v>
      </c>
      <c r="AP326" s="66">
        <f t="shared" si="230"/>
        <v>8.9317144908404478E-2</v>
      </c>
      <c r="AQ326" s="67">
        <v>14715</v>
      </c>
      <c r="AR326" s="67">
        <v>23451.46</v>
      </c>
      <c r="AS326" s="66">
        <f t="shared" si="231"/>
        <v>0.59371117906897708</v>
      </c>
      <c r="AT326" s="67">
        <f t="shared" si="232"/>
        <v>187431</v>
      </c>
      <c r="AU326" s="67">
        <f t="shared" si="232"/>
        <v>211593.96</v>
      </c>
      <c r="AV326" s="66">
        <f t="shared" si="233"/>
        <v>0.12891656129455642</v>
      </c>
      <c r="AW326" s="61">
        <v>26645</v>
      </c>
      <c r="AX326" s="61">
        <v>23450</v>
      </c>
      <c r="AY326" s="66">
        <f t="shared" si="234"/>
        <v>-0.11990992681553758</v>
      </c>
      <c r="AZ326" s="61">
        <f t="shared" si="235"/>
        <v>214076</v>
      </c>
      <c r="BA326" s="61">
        <f t="shared" si="235"/>
        <v>235043.96</v>
      </c>
      <c r="BB326" s="66">
        <f t="shared" si="236"/>
        <v>9.7946336814962898E-2</v>
      </c>
      <c r="BC326" s="61">
        <v>45576</v>
      </c>
      <c r="BD326" s="61">
        <v>10678</v>
      </c>
      <c r="BE326" s="66">
        <f t="shared" si="237"/>
        <v>-0.76571002281902756</v>
      </c>
      <c r="BF326" s="61">
        <f t="shared" si="238"/>
        <v>259652</v>
      </c>
      <c r="BG326" s="61">
        <f t="shared" si="238"/>
        <v>245721.96</v>
      </c>
      <c r="BH326" s="66">
        <f t="shared" si="239"/>
        <v>-5.3648883890746069E-2</v>
      </c>
      <c r="BI326" s="70">
        <v>117631</v>
      </c>
      <c r="BJ326" s="61">
        <v>102421.75</v>
      </c>
      <c r="BK326" s="61">
        <v>129488</v>
      </c>
      <c r="BL326" s="61">
        <v>609192.75</v>
      </c>
      <c r="BM326" s="71">
        <f t="shared" si="240"/>
        <v>0.35103137142857138</v>
      </c>
    </row>
    <row r="327" spans="1:65">
      <c r="A327" s="52" t="s">
        <v>414</v>
      </c>
      <c r="B327" s="53" t="s">
        <v>453</v>
      </c>
      <c r="C327" s="54" t="s">
        <v>454</v>
      </c>
      <c r="D327" s="55" t="s">
        <v>61</v>
      </c>
      <c r="E327" s="55" t="s">
        <v>61</v>
      </c>
      <c r="F327" s="55" t="s">
        <v>455</v>
      </c>
      <c r="G327" s="53" t="s">
        <v>456</v>
      </c>
      <c r="H327" s="53" t="s">
        <v>457</v>
      </c>
      <c r="I327" s="53"/>
      <c r="J327" s="61"/>
      <c r="K327" s="61"/>
      <c r="L327" s="66" t="e">
        <f t="shared" si="215"/>
        <v>#DIV/0!</v>
      </c>
      <c r="M327" s="61"/>
      <c r="N327" s="61"/>
      <c r="O327" s="66" t="e">
        <f t="shared" si="216"/>
        <v>#DIV/0!</v>
      </c>
      <c r="P327" s="61">
        <f t="shared" si="217"/>
        <v>0</v>
      </c>
      <c r="Q327" s="61">
        <f t="shared" si="217"/>
        <v>0</v>
      </c>
      <c r="R327" s="66" t="e">
        <f t="shared" si="218"/>
        <v>#DIV/0!</v>
      </c>
      <c r="S327" s="67"/>
      <c r="T327" s="67"/>
      <c r="U327" s="66" t="e">
        <f t="shared" si="219"/>
        <v>#DIV/0!</v>
      </c>
      <c r="V327" s="68">
        <f t="shared" si="220"/>
        <v>0</v>
      </c>
      <c r="W327" s="68">
        <f t="shared" si="220"/>
        <v>0</v>
      </c>
      <c r="X327" s="66" t="e">
        <f t="shared" si="221"/>
        <v>#DIV/0!</v>
      </c>
      <c r="Y327" s="61"/>
      <c r="Z327" s="61"/>
      <c r="AA327" s="66" t="e">
        <f t="shared" si="222"/>
        <v>#DIV/0!</v>
      </c>
      <c r="AB327" s="61">
        <f t="shared" si="223"/>
        <v>0</v>
      </c>
      <c r="AC327" s="61">
        <f t="shared" si="223"/>
        <v>0</v>
      </c>
      <c r="AD327" s="66" t="e">
        <f t="shared" si="224"/>
        <v>#DIV/0!</v>
      </c>
      <c r="AE327" s="61"/>
      <c r="AF327" s="61"/>
      <c r="AG327" s="66" t="e">
        <f t="shared" si="225"/>
        <v>#DIV/0!</v>
      </c>
      <c r="AH327" s="61">
        <f t="shared" si="226"/>
        <v>0</v>
      </c>
      <c r="AI327" s="61">
        <f t="shared" si="226"/>
        <v>0</v>
      </c>
      <c r="AJ327" s="66" t="e">
        <f t="shared" si="227"/>
        <v>#DIV/0!</v>
      </c>
      <c r="AK327" s="61"/>
      <c r="AL327" s="61"/>
      <c r="AM327" s="66" t="e">
        <f t="shared" si="228"/>
        <v>#DIV/0!</v>
      </c>
      <c r="AN327" s="61">
        <f t="shared" si="229"/>
        <v>0</v>
      </c>
      <c r="AO327" s="61">
        <f t="shared" si="229"/>
        <v>0</v>
      </c>
      <c r="AP327" s="66" t="e">
        <f t="shared" si="230"/>
        <v>#DIV/0!</v>
      </c>
      <c r="AQ327" s="67"/>
      <c r="AR327" s="67"/>
      <c r="AS327" s="66" t="e">
        <f t="shared" si="231"/>
        <v>#DIV/0!</v>
      </c>
      <c r="AT327" s="67">
        <f t="shared" si="232"/>
        <v>0</v>
      </c>
      <c r="AU327" s="67">
        <f t="shared" si="232"/>
        <v>0</v>
      </c>
      <c r="AV327" s="66" t="e">
        <f t="shared" si="233"/>
        <v>#DIV/0!</v>
      </c>
      <c r="AW327" s="61"/>
      <c r="AX327" s="61"/>
      <c r="AY327" s="66" t="e">
        <f t="shared" si="234"/>
        <v>#DIV/0!</v>
      </c>
      <c r="AZ327" s="61">
        <f t="shared" si="235"/>
        <v>0</v>
      </c>
      <c r="BA327" s="61">
        <f t="shared" si="235"/>
        <v>0</v>
      </c>
      <c r="BB327" s="66" t="e">
        <f t="shared" si="236"/>
        <v>#DIV/0!</v>
      </c>
      <c r="BC327" s="61"/>
      <c r="BD327" s="61"/>
      <c r="BE327" s="66" t="e">
        <f t="shared" si="237"/>
        <v>#DIV/0!</v>
      </c>
      <c r="BF327" s="61">
        <f t="shared" si="238"/>
        <v>0</v>
      </c>
      <c r="BG327" s="61">
        <f t="shared" si="238"/>
        <v>0</v>
      </c>
      <c r="BH327" s="66" t="e">
        <f t="shared" si="239"/>
        <v>#DIV/0!</v>
      </c>
      <c r="BI327" s="70"/>
      <c r="BJ327" s="61"/>
      <c r="BK327" s="61"/>
      <c r="BL327" s="61">
        <v>0</v>
      </c>
      <c r="BM327" s="71" t="e">
        <f t="shared" si="240"/>
        <v>#DIV/0!</v>
      </c>
    </row>
    <row r="328" spans="1:65">
      <c r="A328" s="52" t="s">
        <v>414</v>
      </c>
      <c r="B328" s="53" t="s">
        <v>453</v>
      </c>
      <c r="C328" s="54" t="s">
        <v>458</v>
      </c>
      <c r="D328" s="55" t="s">
        <v>61</v>
      </c>
      <c r="E328" s="55" t="s">
        <v>61</v>
      </c>
      <c r="F328" s="55" t="s">
        <v>455</v>
      </c>
      <c r="G328" s="53" t="s">
        <v>456</v>
      </c>
      <c r="H328" s="53" t="s">
        <v>457</v>
      </c>
      <c r="I328" s="53"/>
      <c r="J328" s="61"/>
      <c r="K328" s="61"/>
      <c r="L328" s="66" t="e">
        <f t="shared" si="215"/>
        <v>#DIV/0!</v>
      </c>
      <c r="M328" s="61"/>
      <c r="N328" s="61"/>
      <c r="O328" s="66" t="e">
        <f t="shared" si="216"/>
        <v>#DIV/0!</v>
      </c>
      <c r="P328" s="61">
        <f t="shared" si="217"/>
        <v>0</v>
      </c>
      <c r="Q328" s="61">
        <f t="shared" si="217"/>
        <v>0</v>
      </c>
      <c r="R328" s="66" t="e">
        <f t="shared" si="218"/>
        <v>#DIV/0!</v>
      </c>
      <c r="S328" s="67"/>
      <c r="T328" s="67"/>
      <c r="U328" s="66" t="e">
        <f t="shared" si="219"/>
        <v>#DIV/0!</v>
      </c>
      <c r="V328" s="68">
        <f t="shared" si="220"/>
        <v>0</v>
      </c>
      <c r="W328" s="68">
        <f t="shared" si="220"/>
        <v>0</v>
      </c>
      <c r="X328" s="66" t="e">
        <f t="shared" si="221"/>
        <v>#DIV/0!</v>
      </c>
      <c r="Y328" s="61"/>
      <c r="Z328" s="61"/>
      <c r="AA328" s="66" t="e">
        <f t="shared" si="222"/>
        <v>#DIV/0!</v>
      </c>
      <c r="AB328" s="61">
        <f t="shared" si="223"/>
        <v>0</v>
      </c>
      <c r="AC328" s="61">
        <f t="shared" si="223"/>
        <v>0</v>
      </c>
      <c r="AD328" s="66" t="e">
        <f t="shared" si="224"/>
        <v>#DIV/0!</v>
      </c>
      <c r="AE328" s="61"/>
      <c r="AF328" s="61"/>
      <c r="AG328" s="66" t="e">
        <f t="shared" si="225"/>
        <v>#DIV/0!</v>
      </c>
      <c r="AH328" s="61">
        <f t="shared" si="226"/>
        <v>0</v>
      </c>
      <c r="AI328" s="61">
        <f t="shared" si="226"/>
        <v>0</v>
      </c>
      <c r="AJ328" s="66" t="e">
        <f t="shared" si="227"/>
        <v>#DIV/0!</v>
      </c>
      <c r="AK328" s="61"/>
      <c r="AL328" s="61"/>
      <c r="AM328" s="66" t="e">
        <f t="shared" si="228"/>
        <v>#DIV/0!</v>
      </c>
      <c r="AN328" s="61">
        <f t="shared" si="229"/>
        <v>0</v>
      </c>
      <c r="AO328" s="61">
        <f t="shared" si="229"/>
        <v>0</v>
      </c>
      <c r="AP328" s="66" t="e">
        <f t="shared" si="230"/>
        <v>#DIV/0!</v>
      </c>
      <c r="AQ328" s="67"/>
      <c r="AR328" s="67"/>
      <c r="AS328" s="66" t="e">
        <f t="shared" si="231"/>
        <v>#DIV/0!</v>
      </c>
      <c r="AT328" s="67">
        <f t="shared" si="232"/>
        <v>0</v>
      </c>
      <c r="AU328" s="67">
        <f t="shared" si="232"/>
        <v>0</v>
      </c>
      <c r="AV328" s="66" t="e">
        <f t="shared" si="233"/>
        <v>#DIV/0!</v>
      </c>
      <c r="AW328" s="61"/>
      <c r="AX328" s="61"/>
      <c r="AY328" s="66" t="e">
        <f t="shared" si="234"/>
        <v>#DIV/0!</v>
      </c>
      <c r="AZ328" s="61">
        <f t="shared" si="235"/>
        <v>0</v>
      </c>
      <c r="BA328" s="61">
        <f t="shared" si="235"/>
        <v>0</v>
      </c>
      <c r="BB328" s="66" t="e">
        <f t="shared" si="236"/>
        <v>#DIV/0!</v>
      </c>
      <c r="BC328" s="61"/>
      <c r="BD328" s="61"/>
      <c r="BE328" s="66" t="e">
        <f t="shared" si="237"/>
        <v>#DIV/0!</v>
      </c>
      <c r="BF328" s="61">
        <f t="shared" si="238"/>
        <v>0</v>
      </c>
      <c r="BG328" s="61">
        <f t="shared" si="238"/>
        <v>0</v>
      </c>
      <c r="BH328" s="66" t="e">
        <f t="shared" si="239"/>
        <v>#DIV/0!</v>
      </c>
      <c r="BI328" s="70"/>
      <c r="BJ328" s="61"/>
      <c r="BK328" s="61"/>
      <c r="BL328" s="61">
        <v>0</v>
      </c>
      <c r="BM328" s="71" t="e">
        <f t="shared" si="240"/>
        <v>#DIV/0!</v>
      </c>
    </row>
    <row r="329" spans="1:65">
      <c r="A329" s="52" t="s">
        <v>414</v>
      </c>
      <c r="B329" s="53" t="s">
        <v>414</v>
      </c>
      <c r="C329" s="60" t="s">
        <v>459</v>
      </c>
      <c r="D329" s="55" t="s">
        <v>61</v>
      </c>
      <c r="E329" s="55" t="s">
        <v>61</v>
      </c>
      <c r="F329" s="55" t="s">
        <v>420</v>
      </c>
      <c r="G329" s="53" t="s">
        <v>420</v>
      </c>
      <c r="H329" s="53" t="s">
        <v>421</v>
      </c>
      <c r="I329" s="53"/>
      <c r="J329" s="61">
        <v>43775</v>
      </c>
      <c r="K329" s="61">
        <v>15899</v>
      </c>
      <c r="L329" s="66">
        <f t="shared" si="215"/>
        <v>-0.63680182752712733</v>
      </c>
      <c r="M329" s="61">
        <v>6740</v>
      </c>
      <c r="N329" s="61">
        <v>59967</v>
      </c>
      <c r="O329" s="66">
        <f t="shared" si="216"/>
        <v>7.8971810089020771</v>
      </c>
      <c r="P329" s="61">
        <f t="shared" si="217"/>
        <v>50515</v>
      </c>
      <c r="Q329" s="61">
        <f t="shared" si="217"/>
        <v>75866</v>
      </c>
      <c r="R329" s="66">
        <f t="shared" si="218"/>
        <v>0.501850935365733</v>
      </c>
      <c r="S329" s="67">
        <v>7780</v>
      </c>
      <c r="T329" s="67">
        <v>21038</v>
      </c>
      <c r="U329" s="66">
        <f t="shared" si="219"/>
        <v>1.7041131105398457</v>
      </c>
      <c r="V329" s="68">
        <f t="shared" si="220"/>
        <v>58295</v>
      </c>
      <c r="W329" s="68">
        <f t="shared" si="220"/>
        <v>96904</v>
      </c>
      <c r="X329" s="66">
        <f t="shared" si="221"/>
        <v>0.66230379963976338</v>
      </c>
      <c r="Y329" s="61">
        <v>243032</v>
      </c>
      <c r="Z329" s="61"/>
      <c r="AA329" s="66">
        <f t="shared" si="222"/>
        <v>-1</v>
      </c>
      <c r="AB329" s="61">
        <f t="shared" si="223"/>
        <v>301327</v>
      </c>
      <c r="AC329" s="61">
        <f t="shared" si="223"/>
        <v>96904</v>
      </c>
      <c r="AD329" s="66">
        <f t="shared" si="224"/>
        <v>-0.67840917010423896</v>
      </c>
      <c r="AE329" s="61">
        <v>209</v>
      </c>
      <c r="AF329" s="61">
        <v>12061</v>
      </c>
      <c r="AG329" s="66">
        <f t="shared" si="225"/>
        <v>56.708133971291865</v>
      </c>
      <c r="AH329" s="61">
        <f t="shared" si="226"/>
        <v>301536</v>
      </c>
      <c r="AI329" s="61">
        <f t="shared" si="226"/>
        <v>108965</v>
      </c>
      <c r="AJ329" s="66">
        <f t="shared" si="227"/>
        <v>-0.63863352966146669</v>
      </c>
      <c r="AK329" s="61">
        <v>56327</v>
      </c>
      <c r="AL329" s="61"/>
      <c r="AM329" s="66">
        <f t="shared" si="228"/>
        <v>-1</v>
      </c>
      <c r="AN329" s="61">
        <f t="shared" si="229"/>
        <v>357863</v>
      </c>
      <c r="AO329" s="61">
        <f t="shared" si="229"/>
        <v>108965</v>
      </c>
      <c r="AP329" s="66">
        <f t="shared" si="230"/>
        <v>-0.69551196966436879</v>
      </c>
      <c r="AQ329" s="67">
        <v>79445</v>
      </c>
      <c r="AR329" s="67">
        <v>2270</v>
      </c>
      <c r="AS329" s="66">
        <f t="shared" si="231"/>
        <v>-0.97142677323934801</v>
      </c>
      <c r="AT329" s="67">
        <f t="shared" si="232"/>
        <v>437308</v>
      </c>
      <c r="AU329" s="67">
        <f t="shared" si="232"/>
        <v>111235</v>
      </c>
      <c r="AV329" s="66">
        <f t="shared" si="233"/>
        <v>-0.74563694238385758</v>
      </c>
      <c r="AW329" s="61">
        <v>72244</v>
      </c>
      <c r="AX329" s="61">
        <v>13489</v>
      </c>
      <c r="AY329" s="66">
        <f t="shared" si="234"/>
        <v>-0.81328553236254919</v>
      </c>
      <c r="AZ329" s="61">
        <f t="shared" si="235"/>
        <v>509552</v>
      </c>
      <c r="BA329" s="61">
        <f t="shared" si="235"/>
        <v>124724</v>
      </c>
      <c r="BB329" s="66">
        <f t="shared" si="236"/>
        <v>-0.75522812195811229</v>
      </c>
      <c r="BC329" s="61">
        <v>34820</v>
      </c>
      <c r="BD329" s="61">
        <v>13066</v>
      </c>
      <c r="BE329" s="66">
        <f t="shared" si="237"/>
        <v>-0.62475588742102239</v>
      </c>
      <c r="BF329" s="61">
        <f t="shared" si="238"/>
        <v>544372</v>
      </c>
      <c r="BG329" s="61">
        <f t="shared" si="238"/>
        <v>137790</v>
      </c>
      <c r="BH329" s="66">
        <f t="shared" si="239"/>
        <v>-0.74688264642560598</v>
      </c>
      <c r="BI329" s="70">
        <v>83150</v>
      </c>
      <c r="BJ329" s="61">
        <v>32470</v>
      </c>
      <c r="BK329" s="61">
        <v>80053</v>
      </c>
      <c r="BL329" s="61">
        <v>740045</v>
      </c>
      <c r="BM329" s="71" t="e">
        <f t="shared" si="240"/>
        <v>#DIV/0!</v>
      </c>
    </row>
    <row r="330" spans="1:65">
      <c r="A330" s="52" t="s">
        <v>414</v>
      </c>
      <c r="B330" s="53" t="s">
        <v>453</v>
      </c>
      <c r="C330" s="60" t="s">
        <v>460</v>
      </c>
      <c r="D330" s="55" t="s">
        <v>61</v>
      </c>
      <c r="E330" s="55" t="s">
        <v>61</v>
      </c>
      <c r="F330" s="55" t="s">
        <v>455</v>
      </c>
      <c r="G330" s="53" t="s">
        <v>455</v>
      </c>
      <c r="H330" s="53" t="s">
        <v>457</v>
      </c>
      <c r="I330" s="53"/>
      <c r="J330" s="61">
        <v>14850</v>
      </c>
      <c r="K330" s="61">
        <v>62800</v>
      </c>
      <c r="L330" s="66">
        <f t="shared" si="215"/>
        <v>3.2289562289562292</v>
      </c>
      <c r="M330" s="61">
        <v>43687</v>
      </c>
      <c r="N330" s="61">
        <v>57110</v>
      </c>
      <c r="O330" s="66">
        <f t="shared" si="216"/>
        <v>0.30725387415020489</v>
      </c>
      <c r="P330" s="61">
        <f t="shared" si="217"/>
        <v>58537</v>
      </c>
      <c r="Q330" s="61">
        <f t="shared" si="217"/>
        <v>119910</v>
      </c>
      <c r="R330" s="66">
        <f t="shared" si="218"/>
        <v>1.0484479901600698</v>
      </c>
      <c r="S330" s="67">
        <v>9390</v>
      </c>
      <c r="T330" s="67">
        <v>77505</v>
      </c>
      <c r="U330" s="66">
        <f t="shared" si="219"/>
        <v>7.2539936102236418</v>
      </c>
      <c r="V330" s="68">
        <f t="shared" si="220"/>
        <v>67927</v>
      </c>
      <c r="W330" s="68">
        <f t="shared" si="220"/>
        <v>197415</v>
      </c>
      <c r="X330" s="66">
        <f t="shared" si="221"/>
        <v>1.9062817436365509</v>
      </c>
      <c r="Y330" s="61">
        <v>35538</v>
      </c>
      <c r="Z330" s="61">
        <v>141075</v>
      </c>
      <c r="AA330" s="66">
        <f t="shared" si="222"/>
        <v>2.9696944116157353</v>
      </c>
      <c r="AB330" s="61">
        <f t="shared" si="223"/>
        <v>103465</v>
      </c>
      <c r="AC330" s="61">
        <f t="shared" si="223"/>
        <v>338490</v>
      </c>
      <c r="AD330" s="66">
        <f t="shared" si="224"/>
        <v>2.2715411008553619</v>
      </c>
      <c r="AE330" s="61">
        <v>78386</v>
      </c>
      <c r="AF330" s="61">
        <v>86370</v>
      </c>
      <c r="AG330" s="66">
        <f t="shared" si="225"/>
        <v>0.10185492307299771</v>
      </c>
      <c r="AH330" s="61">
        <f t="shared" si="226"/>
        <v>181851</v>
      </c>
      <c r="AI330" s="61">
        <f t="shared" si="226"/>
        <v>424860</v>
      </c>
      <c r="AJ330" s="66">
        <f t="shared" si="227"/>
        <v>1.3363082963525086</v>
      </c>
      <c r="AK330" s="61">
        <v>54614</v>
      </c>
      <c r="AL330" s="61">
        <v>69086</v>
      </c>
      <c r="AM330" s="66">
        <f t="shared" si="228"/>
        <v>0.26498699967041417</v>
      </c>
      <c r="AN330" s="61">
        <f t="shared" si="229"/>
        <v>236465</v>
      </c>
      <c r="AO330" s="61">
        <f t="shared" si="229"/>
        <v>493946</v>
      </c>
      <c r="AP330" s="66">
        <f t="shared" si="230"/>
        <v>1.0888757321379487</v>
      </c>
      <c r="AQ330" s="67">
        <v>52200</v>
      </c>
      <c r="AR330" s="67">
        <v>-201288</v>
      </c>
      <c r="AS330" s="66">
        <f t="shared" si="231"/>
        <v>-4.8560919540229879</v>
      </c>
      <c r="AT330" s="67">
        <f t="shared" si="232"/>
        <v>288665</v>
      </c>
      <c r="AU330" s="67">
        <f t="shared" si="232"/>
        <v>292658</v>
      </c>
      <c r="AV330" s="66">
        <f t="shared" si="233"/>
        <v>1.3832643375539133E-2</v>
      </c>
      <c r="AW330" s="61">
        <v>29350</v>
      </c>
      <c r="AX330" s="61"/>
      <c r="AY330" s="66">
        <f t="shared" si="234"/>
        <v>-1</v>
      </c>
      <c r="AZ330" s="61">
        <f t="shared" si="235"/>
        <v>318015</v>
      </c>
      <c r="BA330" s="61">
        <f t="shared" si="235"/>
        <v>292658</v>
      </c>
      <c r="BB330" s="66">
        <f t="shared" si="236"/>
        <v>-7.9735232614813745E-2</v>
      </c>
      <c r="BC330" s="61">
        <v>146789</v>
      </c>
      <c r="BD330" s="61">
        <v>32136</v>
      </c>
      <c r="BE330" s="66">
        <f t="shared" si="237"/>
        <v>-0.78107351368290545</v>
      </c>
      <c r="BF330" s="61">
        <f t="shared" si="238"/>
        <v>464804</v>
      </c>
      <c r="BG330" s="61">
        <f t="shared" si="238"/>
        <v>324794</v>
      </c>
      <c r="BH330" s="66">
        <f t="shared" si="239"/>
        <v>-0.30122374162012377</v>
      </c>
      <c r="BI330" s="70">
        <v>67280</v>
      </c>
      <c r="BJ330" s="61">
        <v>98050</v>
      </c>
      <c r="BK330" s="61">
        <v>192540</v>
      </c>
      <c r="BL330" s="61">
        <v>822674</v>
      </c>
      <c r="BM330" s="71" t="e">
        <f t="shared" si="240"/>
        <v>#DIV/0!</v>
      </c>
    </row>
    <row r="331" spans="1:65">
      <c r="A331" s="52" t="s">
        <v>414</v>
      </c>
      <c r="B331" s="53" t="s">
        <v>414</v>
      </c>
      <c r="C331" s="60" t="s">
        <v>461</v>
      </c>
      <c r="D331" s="55" t="s">
        <v>84</v>
      </c>
      <c r="E331" s="55" t="s">
        <v>84</v>
      </c>
      <c r="F331" s="55" t="s">
        <v>420</v>
      </c>
      <c r="G331" s="53" t="s">
        <v>420</v>
      </c>
      <c r="H331" s="53" t="s">
        <v>421</v>
      </c>
      <c r="I331" s="53"/>
      <c r="J331" s="61">
        <v>3462</v>
      </c>
      <c r="K331" s="61"/>
      <c r="L331" s="66">
        <f t="shared" si="215"/>
        <v>-1</v>
      </c>
      <c r="M331" s="61"/>
      <c r="N331" s="61"/>
      <c r="O331" s="66" t="e">
        <f t="shared" si="216"/>
        <v>#DIV/0!</v>
      </c>
      <c r="P331" s="61">
        <f t="shared" si="217"/>
        <v>3462</v>
      </c>
      <c r="Q331" s="61">
        <f t="shared" si="217"/>
        <v>0</v>
      </c>
      <c r="R331" s="66">
        <f t="shared" si="218"/>
        <v>-1</v>
      </c>
      <c r="S331" s="67">
        <v>8942</v>
      </c>
      <c r="T331" s="67"/>
      <c r="U331" s="66">
        <f t="shared" si="219"/>
        <v>-1</v>
      </c>
      <c r="V331" s="68">
        <f t="shared" si="220"/>
        <v>12404</v>
      </c>
      <c r="W331" s="68">
        <f t="shared" si="220"/>
        <v>0</v>
      </c>
      <c r="X331" s="66">
        <f t="shared" si="221"/>
        <v>-1</v>
      </c>
      <c r="Y331" s="61">
        <v>12270</v>
      </c>
      <c r="Z331" s="61"/>
      <c r="AA331" s="66">
        <f t="shared" si="222"/>
        <v>-1</v>
      </c>
      <c r="AB331" s="61">
        <f t="shared" si="223"/>
        <v>24674</v>
      </c>
      <c r="AC331" s="61">
        <f t="shared" si="223"/>
        <v>0</v>
      </c>
      <c r="AD331" s="66">
        <f t="shared" si="224"/>
        <v>-1</v>
      </c>
      <c r="AE331" s="61"/>
      <c r="AF331" s="61"/>
      <c r="AG331" s="66" t="e">
        <f t="shared" si="225"/>
        <v>#DIV/0!</v>
      </c>
      <c r="AH331" s="61">
        <f t="shared" si="226"/>
        <v>24674</v>
      </c>
      <c r="AI331" s="61">
        <f t="shared" si="226"/>
        <v>0</v>
      </c>
      <c r="AJ331" s="66">
        <f t="shared" si="227"/>
        <v>-1</v>
      </c>
      <c r="AK331" s="61"/>
      <c r="AL331" s="61"/>
      <c r="AM331" s="66" t="e">
        <f t="shared" si="228"/>
        <v>#DIV/0!</v>
      </c>
      <c r="AN331" s="61">
        <f t="shared" si="229"/>
        <v>24674</v>
      </c>
      <c r="AO331" s="61">
        <f t="shared" si="229"/>
        <v>0</v>
      </c>
      <c r="AP331" s="66">
        <f t="shared" si="230"/>
        <v>-1</v>
      </c>
      <c r="AQ331" s="67"/>
      <c r="AR331" s="67"/>
      <c r="AS331" s="66" t="e">
        <f t="shared" si="231"/>
        <v>#DIV/0!</v>
      </c>
      <c r="AT331" s="67">
        <f t="shared" si="232"/>
        <v>24674</v>
      </c>
      <c r="AU331" s="67">
        <f t="shared" si="232"/>
        <v>0</v>
      </c>
      <c r="AV331" s="66">
        <f t="shared" si="233"/>
        <v>-1</v>
      </c>
      <c r="AW331" s="61"/>
      <c r="AX331" s="61"/>
      <c r="AY331" s="66" t="e">
        <f t="shared" si="234"/>
        <v>#DIV/0!</v>
      </c>
      <c r="AZ331" s="61">
        <f t="shared" si="235"/>
        <v>24674</v>
      </c>
      <c r="BA331" s="61">
        <f t="shared" si="235"/>
        <v>0</v>
      </c>
      <c r="BB331" s="66">
        <f t="shared" si="236"/>
        <v>-1</v>
      </c>
      <c r="BC331" s="61"/>
      <c r="BD331" s="61"/>
      <c r="BE331" s="66" t="e">
        <f t="shared" si="237"/>
        <v>#DIV/0!</v>
      </c>
      <c r="BF331" s="61">
        <f t="shared" si="238"/>
        <v>24674</v>
      </c>
      <c r="BG331" s="61">
        <f t="shared" si="238"/>
        <v>0</v>
      </c>
      <c r="BH331" s="66">
        <f t="shared" si="239"/>
        <v>-1</v>
      </c>
      <c r="BI331" s="70"/>
      <c r="BJ331" s="61"/>
      <c r="BK331" s="61"/>
      <c r="BL331" s="61">
        <v>24674</v>
      </c>
      <c r="BM331" s="71" t="e">
        <f t="shared" si="240"/>
        <v>#DIV/0!</v>
      </c>
    </row>
    <row r="332" spans="1:65">
      <c r="A332" s="52" t="s">
        <v>414</v>
      </c>
      <c r="B332" s="53" t="s">
        <v>414</v>
      </c>
      <c r="C332" s="60" t="s">
        <v>462</v>
      </c>
      <c r="D332" s="55" t="s">
        <v>61</v>
      </c>
      <c r="E332" s="55" t="s">
        <v>61</v>
      </c>
      <c r="F332" s="55" t="s">
        <v>443</v>
      </c>
      <c r="G332" s="53" t="s">
        <v>443</v>
      </c>
      <c r="H332" s="53" t="s">
        <v>435</v>
      </c>
      <c r="I332" s="53"/>
      <c r="J332" s="61">
        <v>7660</v>
      </c>
      <c r="K332" s="61"/>
      <c r="L332" s="66">
        <f t="shared" si="215"/>
        <v>-1</v>
      </c>
      <c r="M332" s="61">
        <v>11541</v>
      </c>
      <c r="N332" s="61"/>
      <c r="O332" s="66">
        <f t="shared" si="216"/>
        <v>-1</v>
      </c>
      <c r="P332" s="61">
        <f t="shared" si="217"/>
        <v>19201</v>
      </c>
      <c r="Q332" s="61">
        <f t="shared" si="217"/>
        <v>0</v>
      </c>
      <c r="R332" s="66">
        <f t="shared" si="218"/>
        <v>-1</v>
      </c>
      <c r="S332" s="67"/>
      <c r="T332" s="67"/>
      <c r="U332" s="66" t="e">
        <f t="shared" si="219"/>
        <v>#DIV/0!</v>
      </c>
      <c r="V332" s="68">
        <f t="shared" si="220"/>
        <v>19201</v>
      </c>
      <c r="W332" s="68">
        <f t="shared" si="220"/>
        <v>0</v>
      </c>
      <c r="X332" s="66">
        <f t="shared" si="221"/>
        <v>-1</v>
      </c>
      <c r="Y332" s="61">
        <v>4450</v>
      </c>
      <c r="Z332" s="61"/>
      <c r="AA332" s="66">
        <f t="shared" si="222"/>
        <v>-1</v>
      </c>
      <c r="AB332" s="61">
        <f t="shared" si="223"/>
        <v>23651</v>
      </c>
      <c r="AC332" s="61">
        <f t="shared" si="223"/>
        <v>0</v>
      </c>
      <c r="AD332" s="66">
        <f t="shared" si="224"/>
        <v>-1</v>
      </c>
      <c r="AE332" s="61">
        <v>10832</v>
      </c>
      <c r="AF332" s="61"/>
      <c r="AG332" s="66">
        <f t="shared" si="225"/>
        <v>-1</v>
      </c>
      <c r="AH332" s="61">
        <f t="shared" si="226"/>
        <v>34483</v>
      </c>
      <c r="AI332" s="61">
        <f t="shared" si="226"/>
        <v>0</v>
      </c>
      <c r="AJ332" s="66">
        <f t="shared" si="227"/>
        <v>-1</v>
      </c>
      <c r="AK332" s="61"/>
      <c r="AL332" s="61"/>
      <c r="AM332" s="66" t="e">
        <f t="shared" si="228"/>
        <v>#DIV/0!</v>
      </c>
      <c r="AN332" s="61">
        <f t="shared" si="229"/>
        <v>34483</v>
      </c>
      <c r="AO332" s="61">
        <f t="shared" si="229"/>
        <v>0</v>
      </c>
      <c r="AP332" s="66">
        <f t="shared" si="230"/>
        <v>-1</v>
      </c>
      <c r="AQ332" s="67"/>
      <c r="AR332" s="67"/>
      <c r="AS332" s="66" t="e">
        <f t="shared" si="231"/>
        <v>#DIV/0!</v>
      </c>
      <c r="AT332" s="67">
        <f t="shared" si="232"/>
        <v>34483</v>
      </c>
      <c r="AU332" s="67">
        <f t="shared" si="232"/>
        <v>0</v>
      </c>
      <c r="AV332" s="66">
        <f t="shared" si="233"/>
        <v>-1</v>
      </c>
      <c r="AW332" s="61">
        <v>3500</v>
      </c>
      <c r="AX332" s="61"/>
      <c r="AY332" s="66">
        <f t="shared" si="234"/>
        <v>-1</v>
      </c>
      <c r="AZ332" s="61">
        <f t="shared" si="235"/>
        <v>37983</v>
      </c>
      <c r="BA332" s="61">
        <f t="shared" si="235"/>
        <v>0</v>
      </c>
      <c r="BB332" s="66">
        <f t="shared" si="236"/>
        <v>-1</v>
      </c>
      <c r="BC332" s="61">
        <v>12400</v>
      </c>
      <c r="BD332" s="61"/>
      <c r="BE332" s="66">
        <f t="shared" si="237"/>
        <v>-1</v>
      </c>
      <c r="BF332" s="61">
        <f t="shared" si="238"/>
        <v>50383</v>
      </c>
      <c r="BG332" s="61">
        <f t="shared" si="238"/>
        <v>0</v>
      </c>
      <c r="BH332" s="66">
        <f t="shared" si="239"/>
        <v>-1</v>
      </c>
      <c r="BI332" s="70">
        <v>1600</v>
      </c>
      <c r="BJ332" s="61"/>
      <c r="BK332" s="61"/>
      <c r="BL332" s="61">
        <v>51983</v>
      </c>
      <c r="BM332" s="71" t="e">
        <f t="shared" si="240"/>
        <v>#DIV/0!</v>
      </c>
    </row>
    <row r="333" spans="1:65">
      <c r="A333" s="52" t="s">
        <v>414</v>
      </c>
      <c r="B333" s="53" t="s">
        <v>414</v>
      </c>
      <c r="C333" s="60" t="s">
        <v>463</v>
      </c>
      <c r="D333" s="55" t="s">
        <v>84</v>
      </c>
      <c r="E333" s="55" t="s">
        <v>84</v>
      </c>
      <c r="F333" s="55" t="s">
        <v>464</v>
      </c>
      <c r="G333" s="53" t="s">
        <v>464</v>
      </c>
      <c r="H333" s="53" t="s">
        <v>435</v>
      </c>
      <c r="I333" s="53">
        <v>100</v>
      </c>
      <c r="J333" s="61">
        <v>61750</v>
      </c>
      <c r="K333" s="61">
        <v>-2200</v>
      </c>
      <c r="L333" s="66">
        <f t="shared" si="215"/>
        <v>-1.0356275303643725</v>
      </c>
      <c r="M333" s="61"/>
      <c r="N333" s="61"/>
      <c r="O333" s="66" t="e">
        <f t="shared" si="216"/>
        <v>#DIV/0!</v>
      </c>
      <c r="P333" s="61">
        <f t="shared" si="217"/>
        <v>61750</v>
      </c>
      <c r="Q333" s="61">
        <f t="shared" si="217"/>
        <v>-2200</v>
      </c>
      <c r="R333" s="66">
        <f t="shared" si="218"/>
        <v>-1.0356275303643725</v>
      </c>
      <c r="S333" s="67">
        <v>58058</v>
      </c>
      <c r="T333" s="67">
        <v>55310</v>
      </c>
      <c r="U333" s="66">
        <f t="shared" si="219"/>
        <v>-4.733197836646108E-2</v>
      </c>
      <c r="V333" s="68">
        <f t="shared" si="220"/>
        <v>119808</v>
      </c>
      <c r="W333" s="68">
        <f t="shared" si="220"/>
        <v>53110</v>
      </c>
      <c r="X333" s="66">
        <f t="shared" si="221"/>
        <v>-0.55670739850427353</v>
      </c>
      <c r="Y333" s="61">
        <v>50146</v>
      </c>
      <c r="Z333" s="61">
        <v>48806</v>
      </c>
      <c r="AA333" s="66">
        <f t="shared" si="222"/>
        <v>-2.6721971842220693E-2</v>
      </c>
      <c r="AB333" s="61">
        <f t="shared" si="223"/>
        <v>169954</v>
      </c>
      <c r="AC333" s="61">
        <f t="shared" si="223"/>
        <v>101916</v>
      </c>
      <c r="AD333" s="66">
        <f t="shared" si="224"/>
        <v>-0.40033185450180642</v>
      </c>
      <c r="AE333" s="61"/>
      <c r="AF333" s="61">
        <v>32645</v>
      </c>
      <c r="AG333" s="66" t="e">
        <f t="shared" si="225"/>
        <v>#DIV/0!</v>
      </c>
      <c r="AH333" s="61">
        <f t="shared" si="226"/>
        <v>169954</v>
      </c>
      <c r="AI333" s="61">
        <f t="shared" si="226"/>
        <v>134561</v>
      </c>
      <c r="AJ333" s="66">
        <f t="shared" si="227"/>
        <v>-0.20825046777363287</v>
      </c>
      <c r="AK333" s="61">
        <v>4500</v>
      </c>
      <c r="AL333" s="61">
        <v>48676</v>
      </c>
      <c r="AM333" s="66">
        <f t="shared" si="228"/>
        <v>9.8168888888888883</v>
      </c>
      <c r="AN333" s="61">
        <f t="shared" si="229"/>
        <v>174454</v>
      </c>
      <c r="AO333" s="61">
        <f t="shared" si="229"/>
        <v>183237</v>
      </c>
      <c r="AP333" s="66">
        <f t="shared" si="230"/>
        <v>5.0345649856122554E-2</v>
      </c>
      <c r="AQ333" s="67">
        <v>21264</v>
      </c>
      <c r="AR333" s="67">
        <v>6788</v>
      </c>
      <c r="AS333" s="66">
        <f t="shared" si="231"/>
        <v>-0.68077501881113611</v>
      </c>
      <c r="AT333" s="67">
        <f t="shared" si="232"/>
        <v>195718</v>
      </c>
      <c r="AU333" s="67">
        <f t="shared" si="232"/>
        <v>190025</v>
      </c>
      <c r="AV333" s="66">
        <f t="shared" si="233"/>
        <v>-2.9087769137228103E-2</v>
      </c>
      <c r="AW333" s="61">
        <v>75899</v>
      </c>
      <c r="AX333" s="61">
        <v>8075</v>
      </c>
      <c r="AY333" s="66">
        <f t="shared" si="234"/>
        <v>-0.89360861144415604</v>
      </c>
      <c r="AZ333" s="61">
        <f t="shared" si="235"/>
        <v>271617</v>
      </c>
      <c r="BA333" s="61">
        <f t="shared" si="235"/>
        <v>198100</v>
      </c>
      <c r="BB333" s="66">
        <f t="shared" si="236"/>
        <v>-0.27066420732133856</v>
      </c>
      <c r="BC333" s="61">
        <v>98871</v>
      </c>
      <c r="BD333" s="61">
        <v>18255.599999999999</v>
      </c>
      <c r="BE333" s="66">
        <f t="shared" si="237"/>
        <v>-0.81535940771308069</v>
      </c>
      <c r="BF333" s="61">
        <f t="shared" si="238"/>
        <v>370488</v>
      </c>
      <c r="BG333" s="61">
        <f t="shared" si="238"/>
        <v>216355.6</v>
      </c>
      <c r="BH333" s="66">
        <f t="shared" si="239"/>
        <v>-0.41602535034872923</v>
      </c>
      <c r="BI333" s="70">
        <v>200035.20000000001</v>
      </c>
      <c r="BJ333" s="61">
        <v>93493</v>
      </c>
      <c r="BK333" s="61">
        <v>114731</v>
      </c>
      <c r="BL333" s="61">
        <v>778747.2</v>
      </c>
      <c r="BM333" s="71">
        <f t="shared" si="240"/>
        <v>0.21635560000000001</v>
      </c>
    </row>
    <row r="334" spans="1:65">
      <c r="A334" s="52" t="s">
        <v>414</v>
      </c>
      <c r="B334" s="53" t="s">
        <v>414</v>
      </c>
      <c r="C334" s="60" t="s">
        <v>465</v>
      </c>
      <c r="D334" s="55" t="s">
        <v>61</v>
      </c>
      <c r="E334" s="55" t="s">
        <v>61</v>
      </c>
      <c r="F334" s="55" t="s">
        <v>464</v>
      </c>
      <c r="G334" s="53" t="s">
        <v>464</v>
      </c>
      <c r="H334" s="53" t="s">
        <v>435</v>
      </c>
      <c r="I334" s="53"/>
      <c r="J334" s="61"/>
      <c r="K334" s="61"/>
      <c r="L334" s="66" t="e">
        <f t="shared" si="215"/>
        <v>#DIV/0!</v>
      </c>
      <c r="M334" s="61"/>
      <c r="N334" s="61"/>
      <c r="O334" s="66" t="e">
        <f t="shared" si="216"/>
        <v>#DIV/0!</v>
      </c>
      <c r="P334" s="61">
        <f t="shared" si="217"/>
        <v>0</v>
      </c>
      <c r="Q334" s="61">
        <f t="shared" si="217"/>
        <v>0</v>
      </c>
      <c r="R334" s="66" t="e">
        <f t="shared" si="218"/>
        <v>#DIV/0!</v>
      </c>
      <c r="S334" s="67"/>
      <c r="T334" s="67"/>
      <c r="U334" s="66" t="e">
        <f t="shared" si="219"/>
        <v>#DIV/0!</v>
      </c>
      <c r="V334" s="68">
        <f t="shared" si="220"/>
        <v>0</v>
      </c>
      <c r="W334" s="68">
        <f t="shared" si="220"/>
        <v>0</v>
      </c>
      <c r="X334" s="66" t="e">
        <f t="shared" si="221"/>
        <v>#DIV/0!</v>
      </c>
      <c r="Y334" s="61"/>
      <c r="Z334" s="61"/>
      <c r="AA334" s="66" t="e">
        <f t="shared" si="222"/>
        <v>#DIV/0!</v>
      </c>
      <c r="AB334" s="61">
        <f t="shared" si="223"/>
        <v>0</v>
      </c>
      <c r="AC334" s="61">
        <f t="shared" si="223"/>
        <v>0</v>
      </c>
      <c r="AD334" s="66" t="e">
        <f t="shared" si="224"/>
        <v>#DIV/0!</v>
      </c>
      <c r="AE334" s="61"/>
      <c r="AF334" s="61"/>
      <c r="AG334" s="66" t="e">
        <f t="shared" si="225"/>
        <v>#DIV/0!</v>
      </c>
      <c r="AH334" s="61">
        <f t="shared" si="226"/>
        <v>0</v>
      </c>
      <c r="AI334" s="61">
        <f t="shared" si="226"/>
        <v>0</v>
      </c>
      <c r="AJ334" s="66" t="e">
        <f t="shared" si="227"/>
        <v>#DIV/0!</v>
      </c>
      <c r="AK334" s="61"/>
      <c r="AL334" s="61"/>
      <c r="AM334" s="66" t="e">
        <f t="shared" si="228"/>
        <v>#DIV/0!</v>
      </c>
      <c r="AN334" s="61">
        <f t="shared" si="229"/>
        <v>0</v>
      </c>
      <c r="AO334" s="61">
        <f t="shared" si="229"/>
        <v>0</v>
      </c>
      <c r="AP334" s="66" t="e">
        <f t="shared" si="230"/>
        <v>#DIV/0!</v>
      </c>
      <c r="AQ334" s="67"/>
      <c r="AR334" s="67"/>
      <c r="AS334" s="66" t="e">
        <f t="shared" si="231"/>
        <v>#DIV/0!</v>
      </c>
      <c r="AT334" s="67">
        <f t="shared" si="232"/>
        <v>0</v>
      </c>
      <c r="AU334" s="67">
        <f t="shared" si="232"/>
        <v>0</v>
      </c>
      <c r="AV334" s="66" t="e">
        <f t="shared" si="233"/>
        <v>#DIV/0!</v>
      </c>
      <c r="AW334" s="61"/>
      <c r="AX334" s="61"/>
      <c r="AY334" s="66" t="e">
        <f t="shared" si="234"/>
        <v>#DIV/0!</v>
      </c>
      <c r="AZ334" s="61">
        <f t="shared" si="235"/>
        <v>0</v>
      </c>
      <c r="BA334" s="61">
        <f t="shared" si="235"/>
        <v>0</v>
      </c>
      <c r="BB334" s="66" t="e">
        <f t="shared" si="236"/>
        <v>#DIV/0!</v>
      </c>
      <c r="BC334" s="61"/>
      <c r="BD334" s="61"/>
      <c r="BE334" s="66" t="e">
        <f t="shared" si="237"/>
        <v>#DIV/0!</v>
      </c>
      <c r="BF334" s="61">
        <f t="shared" si="238"/>
        <v>0</v>
      </c>
      <c r="BG334" s="61">
        <f t="shared" si="238"/>
        <v>0</v>
      </c>
      <c r="BH334" s="66" t="e">
        <f t="shared" si="239"/>
        <v>#DIV/0!</v>
      </c>
      <c r="BI334" s="70"/>
      <c r="BJ334" s="61"/>
      <c r="BK334" s="61"/>
      <c r="BL334" s="61">
        <v>0</v>
      </c>
      <c r="BM334" s="71" t="e">
        <f t="shared" si="240"/>
        <v>#DIV/0!</v>
      </c>
    </row>
    <row r="335" spans="1:65">
      <c r="A335" s="52" t="s">
        <v>414</v>
      </c>
      <c r="B335" s="53" t="s">
        <v>414</v>
      </c>
      <c r="C335" s="60" t="s">
        <v>466</v>
      </c>
      <c r="D335" s="55" t="s">
        <v>61</v>
      </c>
      <c r="E335" s="55" t="s">
        <v>61</v>
      </c>
      <c r="F335" s="55" t="s">
        <v>428</v>
      </c>
      <c r="G335" s="53" t="s">
        <v>448</v>
      </c>
      <c r="H335" s="53" t="s">
        <v>417</v>
      </c>
      <c r="I335" s="53"/>
      <c r="J335" s="61">
        <v>34839</v>
      </c>
      <c r="K335" s="61">
        <v>8829</v>
      </c>
      <c r="L335" s="66">
        <f t="shared" si="215"/>
        <v>-0.74657711185740117</v>
      </c>
      <c r="M335" s="61">
        <v>11479</v>
      </c>
      <c r="N335" s="61">
        <v>6210</v>
      </c>
      <c r="O335" s="66">
        <f t="shared" si="216"/>
        <v>-0.45901210906873424</v>
      </c>
      <c r="P335" s="61">
        <f t="shared" si="217"/>
        <v>46318</v>
      </c>
      <c r="Q335" s="61">
        <f t="shared" si="217"/>
        <v>15039</v>
      </c>
      <c r="R335" s="66">
        <f t="shared" si="218"/>
        <v>-0.675309814758841</v>
      </c>
      <c r="S335" s="67">
        <v>22740</v>
      </c>
      <c r="T335" s="67"/>
      <c r="U335" s="66">
        <f t="shared" si="219"/>
        <v>-1</v>
      </c>
      <c r="V335" s="68">
        <f t="shared" si="220"/>
        <v>69058</v>
      </c>
      <c r="W335" s="68">
        <f t="shared" si="220"/>
        <v>15039</v>
      </c>
      <c r="X335" s="66">
        <f t="shared" si="221"/>
        <v>-0.78222653421761423</v>
      </c>
      <c r="Y335" s="61">
        <v>20780</v>
      </c>
      <c r="Z335" s="61"/>
      <c r="AA335" s="66">
        <f t="shared" si="222"/>
        <v>-1</v>
      </c>
      <c r="AB335" s="61">
        <f t="shared" ref="AB335:AC364" si="241">Y335+V335</f>
        <v>89838</v>
      </c>
      <c r="AC335" s="61">
        <f t="shared" si="241"/>
        <v>15039</v>
      </c>
      <c r="AD335" s="66">
        <f t="shared" si="224"/>
        <v>-0.83259867761971551</v>
      </c>
      <c r="AE335" s="61">
        <v>26850</v>
      </c>
      <c r="AF335" s="61">
        <v>700</v>
      </c>
      <c r="AG335" s="66">
        <f t="shared" si="225"/>
        <v>-0.97392923649906893</v>
      </c>
      <c r="AH335" s="61">
        <f t="shared" ref="AH335:AI375" si="242">AE335+AB335</f>
        <v>116688</v>
      </c>
      <c r="AI335" s="61">
        <f t="shared" si="242"/>
        <v>15739</v>
      </c>
      <c r="AJ335" s="66">
        <f t="shared" si="227"/>
        <v>-0.86511894967777314</v>
      </c>
      <c r="AK335" s="61">
        <v>10134</v>
      </c>
      <c r="AL335" s="61">
        <v>4603</v>
      </c>
      <c r="AM335" s="66">
        <f t="shared" si="228"/>
        <v>-0.54578646141701204</v>
      </c>
      <c r="AN335" s="61">
        <f t="shared" ref="AN335:AO377" si="243">AK335+AH335</f>
        <v>126822</v>
      </c>
      <c r="AO335" s="61">
        <f t="shared" si="243"/>
        <v>20342</v>
      </c>
      <c r="AP335" s="66">
        <f t="shared" si="230"/>
        <v>-0.83960196180473423</v>
      </c>
      <c r="AQ335" s="67">
        <v>16340</v>
      </c>
      <c r="AR335" s="67">
        <v>3678</v>
      </c>
      <c r="AS335" s="66">
        <f t="shared" si="231"/>
        <v>-0.77490820073439415</v>
      </c>
      <c r="AT335" s="67">
        <f t="shared" ref="AT335:AU366" si="244">AQ335+AN335</f>
        <v>143162</v>
      </c>
      <c r="AU335" s="67">
        <f t="shared" si="244"/>
        <v>24020</v>
      </c>
      <c r="AV335" s="66">
        <f t="shared" si="233"/>
        <v>-0.83221804668836707</v>
      </c>
      <c r="AW335" s="61">
        <v>790</v>
      </c>
      <c r="AX335" s="61">
        <v>0</v>
      </c>
      <c r="AY335" s="66">
        <f t="shared" si="234"/>
        <v>-1</v>
      </c>
      <c r="AZ335" s="61">
        <f t="shared" ref="AZ335:BA366" si="245">AW335+AT335</f>
        <v>143952</v>
      </c>
      <c r="BA335" s="61">
        <f t="shared" si="245"/>
        <v>24020</v>
      </c>
      <c r="BB335" s="66">
        <f t="shared" si="236"/>
        <v>-0.83313882405246198</v>
      </c>
      <c r="BC335" s="61">
        <v>16200</v>
      </c>
      <c r="BD335" s="61"/>
      <c r="BE335" s="66">
        <f t="shared" si="237"/>
        <v>-1</v>
      </c>
      <c r="BF335" s="61">
        <f t="shared" ref="BF335:BG366" si="246">BC335+AZ335</f>
        <v>160152</v>
      </c>
      <c r="BG335" s="61">
        <f t="shared" si="246"/>
        <v>24020</v>
      </c>
      <c r="BH335" s="66">
        <f t="shared" si="239"/>
        <v>-0.85001748339077876</v>
      </c>
      <c r="BI335" s="70">
        <v>69670</v>
      </c>
      <c r="BJ335" s="61">
        <v>729</v>
      </c>
      <c r="BK335" s="61">
        <v>7310</v>
      </c>
      <c r="BL335" s="61">
        <v>237861</v>
      </c>
      <c r="BM335" s="71" t="e">
        <f t="shared" si="240"/>
        <v>#DIV/0!</v>
      </c>
    </row>
    <row r="336" spans="1:65">
      <c r="A336" s="52" t="s">
        <v>414</v>
      </c>
      <c r="B336" s="53" t="s">
        <v>414</v>
      </c>
      <c r="C336" s="60" t="s">
        <v>467</v>
      </c>
      <c r="D336" s="55" t="s">
        <v>61</v>
      </c>
      <c r="E336" s="55" t="s">
        <v>61</v>
      </c>
      <c r="F336" s="55" t="s">
        <v>428</v>
      </c>
      <c r="G336" s="53" t="s">
        <v>448</v>
      </c>
      <c r="H336" s="53" t="s">
        <v>417</v>
      </c>
      <c r="I336" s="53">
        <v>140</v>
      </c>
      <c r="J336" s="61">
        <v>207903</v>
      </c>
      <c r="K336" s="61">
        <v>76400</v>
      </c>
      <c r="L336" s="66">
        <f t="shared" si="215"/>
        <v>-0.63252093524383968</v>
      </c>
      <c r="M336" s="61">
        <v>25890</v>
      </c>
      <c r="N336" s="61">
        <v>25970</v>
      </c>
      <c r="O336" s="66">
        <f t="shared" si="216"/>
        <v>3.0899961375048246E-3</v>
      </c>
      <c r="P336" s="61">
        <f t="shared" si="217"/>
        <v>233793</v>
      </c>
      <c r="Q336" s="61">
        <f t="shared" si="217"/>
        <v>102370</v>
      </c>
      <c r="R336" s="66">
        <f t="shared" si="218"/>
        <v>-0.5621340245430787</v>
      </c>
      <c r="S336" s="67">
        <v>281469</v>
      </c>
      <c r="T336" s="67">
        <v>97837</v>
      </c>
      <c r="U336" s="66">
        <f t="shared" si="219"/>
        <v>-0.6524057711506418</v>
      </c>
      <c r="V336" s="68">
        <f t="shared" si="220"/>
        <v>515262</v>
      </c>
      <c r="W336" s="68">
        <f t="shared" si="220"/>
        <v>200207</v>
      </c>
      <c r="X336" s="66">
        <f t="shared" si="221"/>
        <v>-0.6114462157116185</v>
      </c>
      <c r="Y336" s="61">
        <v>106769</v>
      </c>
      <c r="Z336" s="61">
        <v>93504</v>
      </c>
      <c r="AA336" s="66">
        <f t="shared" si="222"/>
        <v>-0.1242401820753215</v>
      </c>
      <c r="AB336" s="61">
        <f t="shared" si="241"/>
        <v>622031</v>
      </c>
      <c r="AC336" s="61">
        <f t="shared" si="241"/>
        <v>293711</v>
      </c>
      <c r="AD336" s="66">
        <f t="shared" si="224"/>
        <v>-0.52781935305475125</v>
      </c>
      <c r="AE336" s="61">
        <v>72586</v>
      </c>
      <c r="AF336" s="61">
        <v>109555.5</v>
      </c>
      <c r="AG336" s="66">
        <f t="shared" si="225"/>
        <v>0.5093199790593228</v>
      </c>
      <c r="AH336" s="61">
        <f t="shared" si="242"/>
        <v>694617</v>
      </c>
      <c r="AI336" s="61">
        <f t="shared" si="242"/>
        <v>403266.5</v>
      </c>
      <c r="AJ336" s="66">
        <f t="shared" si="227"/>
        <v>-0.41944049742519973</v>
      </c>
      <c r="AK336" s="61">
        <v>72556</v>
      </c>
      <c r="AL336" s="61">
        <v>95211</v>
      </c>
      <c r="AM336" s="66">
        <f t="shared" si="228"/>
        <v>0.3122415789183528</v>
      </c>
      <c r="AN336" s="61">
        <f t="shared" si="243"/>
        <v>767173</v>
      </c>
      <c r="AO336" s="61">
        <f t="shared" si="243"/>
        <v>498477.5</v>
      </c>
      <c r="AP336" s="66">
        <f t="shared" si="230"/>
        <v>-0.3502410799128749</v>
      </c>
      <c r="AQ336" s="67">
        <v>137409</v>
      </c>
      <c r="AR336" s="67">
        <v>80792</v>
      </c>
      <c r="AS336" s="66">
        <f t="shared" si="231"/>
        <v>-0.41203269072622606</v>
      </c>
      <c r="AT336" s="67">
        <f t="shared" si="244"/>
        <v>904582</v>
      </c>
      <c r="AU336" s="67">
        <f t="shared" si="244"/>
        <v>579269.5</v>
      </c>
      <c r="AV336" s="66">
        <f t="shared" si="233"/>
        <v>-0.35962743012794862</v>
      </c>
      <c r="AW336" s="61">
        <v>101648</v>
      </c>
      <c r="AX336" s="61">
        <v>69864</v>
      </c>
      <c r="AY336" s="66">
        <f t="shared" si="234"/>
        <v>-0.31268691956555961</v>
      </c>
      <c r="AZ336" s="61">
        <f t="shared" si="245"/>
        <v>1006230</v>
      </c>
      <c r="BA336" s="61">
        <f t="shared" si="245"/>
        <v>649133.5</v>
      </c>
      <c r="BB336" s="66">
        <f t="shared" si="236"/>
        <v>-0.354885562942866</v>
      </c>
      <c r="BC336" s="61">
        <v>112500</v>
      </c>
      <c r="BD336" s="61">
        <v>72851</v>
      </c>
      <c r="BE336" s="66">
        <f t="shared" si="237"/>
        <v>-0.3524355555555555</v>
      </c>
      <c r="BF336" s="61">
        <f t="shared" si="246"/>
        <v>1118730</v>
      </c>
      <c r="BG336" s="61">
        <f t="shared" si="246"/>
        <v>721984.5</v>
      </c>
      <c r="BH336" s="66">
        <f t="shared" si="239"/>
        <v>-0.3546391890804752</v>
      </c>
      <c r="BI336" s="70">
        <v>121825</v>
      </c>
      <c r="BJ336" s="61">
        <v>76845</v>
      </c>
      <c r="BK336" s="61">
        <v>98590</v>
      </c>
      <c r="BL336" s="61">
        <v>1415990</v>
      </c>
      <c r="BM336" s="71">
        <f t="shared" si="240"/>
        <v>0.5157032142857142</v>
      </c>
    </row>
    <row r="337" spans="1:65">
      <c r="A337" s="52" t="s">
        <v>414</v>
      </c>
      <c r="B337" s="53" t="s">
        <v>414</v>
      </c>
      <c r="C337" s="60" t="s">
        <v>468</v>
      </c>
      <c r="D337" s="55" t="s">
        <v>84</v>
      </c>
      <c r="E337" s="55" t="s">
        <v>84</v>
      </c>
      <c r="F337" s="55" t="s">
        <v>431</v>
      </c>
      <c r="G337" s="53" t="s">
        <v>431</v>
      </c>
      <c r="H337" s="53" t="s">
        <v>417</v>
      </c>
      <c r="I337" s="53"/>
      <c r="J337" s="61">
        <v>12000</v>
      </c>
      <c r="K337" s="61"/>
      <c r="L337" s="66">
        <f t="shared" si="215"/>
        <v>-1</v>
      </c>
      <c r="M337" s="61">
        <v>7398</v>
      </c>
      <c r="N337" s="61"/>
      <c r="O337" s="66">
        <f t="shared" si="216"/>
        <v>-1</v>
      </c>
      <c r="P337" s="61">
        <f t="shared" si="217"/>
        <v>19398</v>
      </c>
      <c r="Q337" s="61">
        <f t="shared" si="217"/>
        <v>0</v>
      </c>
      <c r="R337" s="66">
        <f t="shared" si="218"/>
        <v>-1</v>
      </c>
      <c r="S337" s="67">
        <v>15850</v>
      </c>
      <c r="T337" s="67"/>
      <c r="U337" s="66">
        <f t="shared" si="219"/>
        <v>-1</v>
      </c>
      <c r="V337" s="68">
        <f t="shared" si="220"/>
        <v>35248</v>
      </c>
      <c r="W337" s="68">
        <f t="shared" si="220"/>
        <v>0</v>
      </c>
      <c r="X337" s="66">
        <f t="shared" si="221"/>
        <v>-1</v>
      </c>
      <c r="Y337" s="61"/>
      <c r="Z337" s="61"/>
      <c r="AA337" s="66" t="e">
        <f t="shared" si="222"/>
        <v>#DIV/0!</v>
      </c>
      <c r="AB337" s="61">
        <f t="shared" si="241"/>
        <v>35248</v>
      </c>
      <c r="AC337" s="61">
        <f t="shared" si="241"/>
        <v>0</v>
      </c>
      <c r="AD337" s="66">
        <f t="shared" si="224"/>
        <v>-1</v>
      </c>
      <c r="AE337" s="61"/>
      <c r="AF337" s="61"/>
      <c r="AG337" s="66" t="e">
        <f t="shared" si="225"/>
        <v>#DIV/0!</v>
      </c>
      <c r="AH337" s="61">
        <f t="shared" si="242"/>
        <v>35248</v>
      </c>
      <c r="AI337" s="61">
        <f t="shared" si="242"/>
        <v>0</v>
      </c>
      <c r="AJ337" s="66">
        <f t="shared" si="227"/>
        <v>-1</v>
      </c>
      <c r="AK337" s="61"/>
      <c r="AL337" s="61"/>
      <c r="AM337" s="66" t="e">
        <f t="shared" si="228"/>
        <v>#DIV/0!</v>
      </c>
      <c r="AN337" s="61">
        <f t="shared" si="243"/>
        <v>35248</v>
      </c>
      <c r="AO337" s="61">
        <f t="shared" si="243"/>
        <v>0</v>
      </c>
      <c r="AP337" s="66">
        <f t="shared" si="230"/>
        <v>-1</v>
      </c>
      <c r="AQ337" s="67"/>
      <c r="AR337" s="67"/>
      <c r="AS337" s="66" t="e">
        <f t="shared" si="231"/>
        <v>#DIV/0!</v>
      </c>
      <c r="AT337" s="67">
        <f t="shared" si="244"/>
        <v>35248</v>
      </c>
      <c r="AU337" s="67">
        <f t="shared" si="244"/>
        <v>0</v>
      </c>
      <c r="AV337" s="66">
        <f t="shared" si="233"/>
        <v>-1</v>
      </c>
      <c r="AW337" s="61"/>
      <c r="AX337" s="61"/>
      <c r="AY337" s="66" t="e">
        <f t="shared" si="234"/>
        <v>#DIV/0!</v>
      </c>
      <c r="AZ337" s="61">
        <f t="shared" si="245"/>
        <v>35248</v>
      </c>
      <c r="BA337" s="61">
        <f t="shared" si="245"/>
        <v>0</v>
      </c>
      <c r="BB337" s="66">
        <f t="shared" si="236"/>
        <v>-1</v>
      </c>
      <c r="BC337" s="61"/>
      <c r="BD337" s="61"/>
      <c r="BE337" s="66" t="e">
        <f t="shared" si="237"/>
        <v>#DIV/0!</v>
      </c>
      <c r="BF337" s="61">
        <f t="shared" si="246"/>
        <v>35248</v>
      </c>
      <c r="BG337" s="61">
        <f t="shared" si="246"/>
        <v>0</v>
      </c>
      <c r="BH337" s="66">
        <f t="shared" si="239"/>
        <v>-1</v>
      </c>
      <c r="BI337" s="70"/>
      <c r="BJ337" s="61"/>
      <c r="BK337" s="61"/>
      <c r="BL337" s="61">
        <v>35248</v>
      </c>
      <c r="BM337" s="71" t="e">
        <f t="shared" si="240"/>
        <v>#DIV/0!</v>
      </c>
    </row>
    <row r="338" spans="1:65">
      <c r="A338" s="52" t="s">
        <v>414</v>
      </c>
      <c r="B338" s="53" t="s">
        <v>414</v>
      </c>
      <c r="C338" s="60" t="s">
        <v>469</v>
      </c>
      <c r="D338" s="55" t="s">
        <v>61</v>
      </c>
      <c r="E338" s="55" t="s">
        <v>61</v>
      </c>
      <c r="F338" s="55" t="s">
        <v>464</v>
      </c>
      <c r="G338" s="53" t="s">
        <v>464</v>
      </c>
      <c r="H338" s="53" t="s">
        <v>435</v>
      </c>
      <c r="I338" s="53"/>
      <c r="J338" s="61">
        <v>19719</v>
      </c>
      <c r="K338" s="61">
        <v>7500</v>
      </c>
      <c r="L338" s="66">
        <f t="shared" si="215"/>
        <v>-0.619656169176936</v>
      </c>
      <c r="M338" s="61">
        <v>8260</v>
      </c>
      <c r="N338" s="61"/>
      <c r="O338" s="66">
        <f t="shared" si="216"/>
        <v>-1</v>
      </c>
      <c r="P338" s="61">
        <f t="shared" si="217"/>
        <v>27979</v>
      </c>
      <c r="Q338" s="61">
        <f t="shared" si="217"/>
        <v>7500</v>
      </c>
      <c r="R338" s="66">
        <f t="shared" si="218"/>
        <v>-0.73194181350298437</v>
      </c>
      <c r="S338" s="67">
        <v>8576</v>
      </c>
      <c r="T338" s="67">
        <v>7496</v>
      </c>
      <c r="U338" s="66">
        <f t="shared" si="219"/>
        <v>-0.12593283582089554</v>
      </c>
      <c r="V338" s="68">
        <f t="shared" si="220"/>
        <v>36555</v>
      </c>
      <c r="W338" s="68">
        <f t="shared" si="220"/>
        <v>14996</v>
      </c>
      <c r="X338" s="66">
        <f t="shared" si="221"/>
        <v>-0.5897688414717549</v>
      </c>
      <c r="Y338" s="61"/>
      <c r="Z338" s="61"/>
      <c r="AA338" s="66" t="e">
        <f t="shared" si="222"/>
        <v>#DIV/0!</v>
      </c>
      <c r="AB338" s="61">
        <f t="shared" si="241"/>
        <v>36555</v>
      </c>
      <c r="AC338" s="61">
        <f t="shared" si="241"/>
        <v>14996</v>
      </c>
      <c r="AD338" s="66">
        <f t="shared" si="224"/>
        <v>-0.5897688414717549</v>
      </c>
      <c r="AE338" s="61">
        <v>3500</v>
      </c>
      <c r="AF338" s="61">
        <v>7728</v>
      </c>
      <c r="AG338" s="66">
        <f t="shared" si="225"/>
        <v>1.2080000000000002</v>
      </c>
      <c r="AH338" s="61">
        <f t="shared" si="242"/>
        <v>40055</v>
      </c>
      <c r="AI338" s="61">
        <f t="shared" si="242"/>
        <v>22724</v>
      </c>
      <c r="AJ338" s="66">
        <f t="shared" si="227"/>
        <v>-0.43268006491074773</v>
      </c>
      <c r="AK338" s="61">
        <v>13500</v>
      </c>
      <c r="AL338" s="61">
        <v>6281</v>
      </c>
      <c r="AM338" s="66">
        <f t="shared" si="228"/>
        <v>-0.53474074074074074</v>
      </c>
      <c r="AN338" s="61">
        <f t="shared" si="243"/>
        <v>53555</v>
      </c>
      <c r="AO338" s="61">
        <f t="shared" si="243"/>
        <v>29005</v>
      </c>
      <c r="AP338" s="66">
        <f t="shared" si="230"/>
        <v>-0.45840724488843243</v>
      </c>
      <c r="AQ338" s="67">
        <v>0</v>
      </c>
      <c r="AR338" s="67">
        <v>868</v>
      </c>
      <c r="AS338" s="66" t="e">
        <f t="shared" si="231"/>
        <v>#DIV/0!</v>
      </c>
      <c r="AT338" s="67">
        <f t="shared" si="244"/>
        <v>53555</v>
      </c>
      <c r="AU338" s="67">
        <f t="shared" si="244"/>
        <v>29873</v>
      </c>
      <c r="AV338" s="66">
        <f t="shared" si="233"/>
        <v>-0.44219960787974977</v>
      </c>
      <c r="AW338" s="61">
        <v>41500</v>
      </c>
      <c r="AX338" s="61">
        <v>1900</v>
      </c>
      <c r="AY338" s="66">
        <f t="shared" si="234"/>
        <v>-0.95421686746987955</v>
      </c>
      <c r="AZ338" s="61">
        <f t="shared" si="245"/>
        <v>95055</v>
      </c>
      <c r="BA338" s="61">
        <f t="shared" si="245"/>
        <v>31773</v>
      </c>
      <c r="BB338" s="66">
        <f t="shared" si="236"/>
        <v>-0.66574088685497868</v>
      </c>
      <c r="BC338" s="61">
        <v>12930</v>
      </c>
      <c r="BD338" s="61">
        <v>12050</v>
      </c>
      <c r="BE338" s="66">
        <f t="shared" si="237"/>
        <v>-6.805877803557614E-2</v>
      </c>
      <c r="BF338" s="61">
        <f t="shared" si="246"/>
        <v>107985</v>
      </c>
      <c r="BG338" s="61">
        <f t="shared" si="246"/>
        <v>43823</v>
      </c>
      <c r="BH338" s="66">
        <f t="shared" si="239"/>
        <v>-0.59417511691438629</v>
      </c>
      <c r="BI338" s="70">
        <v>11288</v>
      </c>
      <c r="BJ338" s="61">
        <v>9500</v>
      </c>
      <c r="BK338" s="61">
        <v>8438</v>
      </c>
      <c r="BL338" s="61">
        <v>137211</v>
      </c>
      <c r="BM338" s="71" t="e">
        <f t="shared" si="240"/>
        <v>#DIV/0!</v>
      </c>
    </row>
    <row r="339" spans="1:65">
      <c r="A339" s="52" t="s">
        <v>414</v>
      </c>
      <c r="B339" s="53" t="s">
        <v>414</v>
      </c>
      <c r="C339" s="60" t="s">
        <v>470</v>
      </c>
      <c r="D339" s="55" t="s">
        <v>61</v>
      </c>
      <c r="E339" s="55" t="s">
        <v>61</v>
      </c>
      <c r="F339" s="55" t="s">
        <v>471</v>
      </c>
      <c r="G339" s="53" t="s">
        <v>471</v>
      </c>
      <c r="H339" s="53" t="s">
        <v>435</v>
      </c>
      <c r="I339" s="53"/>
      <c r="J339" s="61"/>
      <c r="K339" s="61"/>
      <c r="L339" s="66" t="e">
        <f t="shared" si="215"/>
        <v>#DIV/0!</v>
      </c>
      <c r="M339" s="61"/>
      <c r="N339" s="61"/>
      <c r="O339" s="66" t="e">
        <f t="shared" si="216"/>
        <v>#DIV/0!</v>
      </c>
      <c r="P339" s="61">
        <f t="shared" si="217"/>
        <v>0</v>
      </c>
      <c r="Q339" s="61">
        <f t="shared" si="217"/>
        <v>0</v>
      </c>
      <c r="R339" s="66" t="e">
        <f t="shared" si="218"/>
        <v>#DIV/0!</v>
      </c>
      <c r="S339" s="67"/>
      <c r="T339" s="67"/>
      <c r="U339" s="66" t="e">
        <f t="shared" si="219"/>
        <v>#DIV/0!</v>
      </c>
      <c r="V339" s="68">
        <f t="shared" si="220"/>
        <v>0</v>
      </c>
      <c r="W339" s="68">
        <f t="shared" si="220"/>
        <v>0</v>
      </c>
      <c r="X339" s="66" t="e">
        <f t="shared" si="221"/>
        <v>#DIV/0!</v>
      </c>
      <c r="Y339" s="61"/>
      <c r="Z339" s="61"/>
      <c r="AA339" s="66" t="e">
        <f t="shared" si="222"/>
        <v>#DIV/0!</v>
      </c>
      <c r="AB339" s="61">
        <f t="shared" si="241"/>
        <v>0</v>
      </c>
      <c r="AC339" s="61">
        <f t="shared" si="241"/>
        <v>0</v>
      </c>
      <c r="AD339" s="66" t="e">
        <f t="shared" si="224"/>
        <v>#DIV/0!</v>
      </c>
      <c r="AE339" s="61"/>
      <c r="AF339" s="61"/>
      <c r="AG339" s="66" t="e">
        <f t="shared" si="225"/>
        <v>#DIV/0!</v>
      </c>
      <c r="AH339" s="61">
        <f t="shared" si="242"/>
        <v>0</v>
      </c>
      <c r="AI339" s="61">
        <f t="shared" si="242"/>
        <v>0</v>
      </c>
      <c r="AJ339" s="66" t="e">
        <f t="shared" si="227"/>
        <v>#DIV/0!</v>
      </c>
      <c r="AK339" s="61"/>
      <c r="AL339" s="61"/>
      <c r="AM339" s="66" t="e">
        <f t="shared" si="228"/>
        <v>#DIV/0!</v>
      </c>
      <c r="AN339" s="61">
        <f t="shared" si="243"/>
        <v>0</v>
      </c>
      <c r="AO339" s="61">
        <f t="shared" si="243"/>
        <v>0</v>
      </c>
      <c r="AP339" s="66" t="e">
        <f t="shared" si="230"/>
        <v>#DIV/0!</v>
      </c>
      <c r="AQ339" s="67"/>
      <c r="AR339" s="67"/>
      <c r="AS339" s="66" t="e">
        <f t="shared" si="231"/>
        <v>#DIV/0!</v>
      </c>
      <c r="AT339" s="67">
        <f t="shared" si="244"/>
        <v>0</v>
      </c>
      <c r="AU339" s="67">
        <f t="shared" si="244"/>
        <v>0</v>
      </c>
      <c r="AV339" s="66" t="e">
        <f t="shared" si="233"/>
        <v>#DIV/0!</v>
      </c>
      <c r="AW339" s="61"/>
      <c r="AX339" s="61"/>
      <c r="AY339" s="66" t="e">
        <f t="shared" si="234"/>
        <v>#DIV/0!</v>
      </c>
      <c r="AZ339" s="61">
        <f t="shared" si="245"/>
        <v>0</v>
      </c>
      <c r="BA339" s="61">
        <f t="shared" si="245"/>
        <v>0</v>
      </c>
      <c r="BB339" s="66" t="e">
        <f t="shared" si="236"/>
        <v>#DIV/0!</v>
      </c>
      <c r="BC339" s="61"/>
      <c r="BD339" s="61"/>
      <c r="BE339" s="66" t="e">
        <f t="shared" si="237"/>
        <v>#DIV/0!</v>
      </c>
      <c r="BF339" s="61">
        <f t="shared" si="246"/>
        <v>0</v>
      </c>
      <c r="BG339" s="61">
        <f t="shared" si="246"/>
        <v>0</v>
      </c>
      <c r="BH339" s="66" t="e">
        <f t="shared" si="239"/>
        <v>#DIV/0!</v>
      </c>
      <c r="BI339" s="70"/>
      <c r="BJ339" s="61"/>
      <c r="BK339" s="61"/>
      <c r="BL339" s="61">
        <v>0</v>
      </c>
      <c r="BM339" s="71" t="e">
        <f t="shared" si="240"/>
        <v>#DIV/0!</v>
      </c>
    </row>
    <row r="340" spans="1:65">
      <c r="A340" s="52" t="s">
        <v>414</v>
      </c>
      <c r="B340" s="53" t="s">
        <v>414</v>
      </c>
      <c r="C340" s="60" t="s">
        <v>472</v>
      </c>
      <c r="D340" s="55" t="s">
        <v>102</v>
      </c>
      <c r="E340" s="55" t="s">
        <v>102</v>
      </c>
      <c r="F340" s="55" t="s">
        <v>471</v>
      </c>
      <c r="G340" s="53" t="s">
        <v>471</v>
      </c>
      <c r="H340" s="53" t="s">
        <v>435</v>
      </c>
      <c r="I340" s="53"/>
      <c r="J340" s="61"/>
      <c r="K340" s="61"/>
      <c r="L340" s="66" t="e">
        <f t="shared" si="215"/>
        <v>#DIV/0!</v>
      </c>
      <c r="M340" s="61"/>
      <c r="N340" s="61"/>
      <c r="O340" s="66" t="e">
        <f t="shared" si="216"/>
        <v>#DIV/0!</v>
      </c>
      <c r="P340" s="61">
        <f t="shared" si="217"/>
        <v>0</v>
      </c>
      <c r="Q340" s="61">
        <f t="shared" si="217"/>
        <v>0</v>
      </c>
      <c r="R340" s="66" t="e">
        <f t="shared" si="218"/>
        <v>#DIV/0!</v>
      </c>
      <c r="S340" s="67"/>
      <c r="T340" s="67"/>
      <c r="U340" s="66" t="e">
        <f t="shared" si="219"/>
        <v>#DIV/0!</v>
      </c>
      <c r="V340" s="68">
        <f t="shared" si="220"/>
        <v>0</v>
      </c>
      <c r="W340" s="68">
        <f t="shared" si="220"/>
        <v>0</v>
      </c>
      <c r="X340" s="66" t="e">
        <f t="shared" si="221"/>
        <v>#DIV/0!</v>
      </c>
      <c r="Y340" s="61"/>
      <c r="Z340" s="61"/>
      <c r="AA340" s="66" t="e">
        <f t="shared" si="222"/>
        <v>#DIV/0!</v>
      </c>
      <c r="AB340" s="61">
        <f t="shared" si="241"/>
        <v>0</v>
      </c>
      <c r="AC340" s="61">
        <f t="shared" si="241"/>
        <v>0</v>
      </c>
      <c r="AD340" s="66" t="e">
        <f t="shared" si="224"/>
        <v>#DIV/0!</v>
      </c>
      <c r="AE340" s="61"/>
      <c r="AF340" s="61"/>
      <c r="AG340" s="66" t="e">
        <f t="shared" si="225"/>
        <v>#DIV/0!</v>
      </c>
      <c r="AH340" s="61">
        <f t="shared" si="242"/>
        <v>0</v>
      </c>
      <c r="AI340" s="61">
        <f t="shared" si="242"/>
        <v>0</v>
      </c>
      <c r="AJ340" s="66" t="e">
        <f t="shared" si="227"/>
        <v>#DIV/0!</v>
      </c>
      <c r="AK340" s="61"/>
      <c r="AL340" s="61"/>
      <c r="AM340" s="66" t="e">
        <f t="shared" si="228"/>
        <v>#DIV/0!</v>
      </c>
      <c r="AN340" s="61">
        <f t="shared" si="243"/>
        <v>0</v>
      </c>
      <c r="AO340" s="61">
        <f t="shared" si="243"/>
        <v>0</v>
      </c>
      <c r="AP340" s="66" t="e">
        <f t="shared" si="230"/>
        <v>#DIV/0!</v>
      </c>
      <c r="AQ340" s="67"/>
      <c r="AR340" s="67"/>
      <c r="AS340" s="66" t="e">
        <f t="shared" si="231"/>
        <v>#DIV/0!</v>
      </c>
      <c r="AT340" s="67">
        <f t="shared" si="244"/>
        <v>0</v>
      </c>
      <c r="AU340" s="67">
        <f t="shared" si="244"/>
        <v>0</v>
      </c>
      <c r="AV340" s="66" t="e">
        <f t="shared" si="233"/>
        <v>#DIV/0!</v>
      </c>
      <c r="AW340" s="61"/>
      <c r="AX340" s="61"/>
      <c r="AY340" s="66" t="e">
        <f t="shared" si="234"/>
        <v>#DIV/0!</v>
      </c>
      <c r="AZ340" s="61">
        <f t="shared" si="245"/>
        <v>0</v>
      </c>
      <c r="BA340" s="61">
        <f t="shared" si="245"/>
        <v>0</v>
      </c>
      <c r="BB340" s="66" t="e">
        <f t="shared" si="236"/>
        <v>#DIV/0!</v>
      </c>
      <c r="BC340" s="61"/>
      <c r="BD340" s="61"/>
      <c r="BE340" s="66" t="e">
        <f t="shared" si="237"/>
        <v>#DIV/0!</v>
      </c>
      <c r="BF340" s="61">
        <f t="shared" si="246"/>
        <v>0</v>
      </c>
      <c r="BG340" s="61">
        <f t="shared" si="246"/>
        <v>0</v>
      </c>
      <c r="BH340" s="66" t="e">
        <f t="shared" si="239"/>
        <v>#DIV/0!</v>
      </c>
      <c r="BI340" s="70"/>
      <c r="BJ340" s="61"/>
      <c r="BK340" s="61"/>
      <c r="BL340" s="61">
        <v>0</v>
      </c>
      <c r="BM340" s="71" t="e">
        <f t="shared" si="240"/>
        <v>#DIV/0!</v>
      </c>
    </row>
    <row r="341" spans="1:65">
      <c r="A341" s="52" t="s">
        <v>414</v>
      </c>
      <c r="B341" s="53" t="s">
        <v>453</v>
      </c>
      <c r="C341" s="60" t="s">
        <v>473</v>
      </c>
      <c r="D341" s="55" t="s">
        <v>61</v>
      </c>
      <c r="E341" s="55" t="s">
        <v>61</v>
      </c>
      <c r="F341" s="55" t="s">
        <v>474</v>
      </c>
      <c r="G341" s="53" t="s">
        <v>474</v>
      </c>
      <c r="H341" s="53" t="s">
        <v>457</v>
      </c>
      <c r="I341" s="53">
        <v>10</v>
      </c>
      <c r="J341" s="61">
        <v>12950</v>
      </c>
      <c r="K341" s="61"/>
      <c r="L341" s="66">
        <f t="shared" si="215"/>
        <v>-1</v>
      </c>
      <c r="M341" s="61"/>
      <c r="N341" s="61"/>
      <c r="O341" s="66" t="e">
        <f t="shared" si="216"/>
        <v>#DIV/0!</v>
      </c>
      <c r="P341" s="61">
        <f t="shared" si="217"/>
        <v>12950</v>
      </c>
      <c r="Q341" s="61">
        <f t="shared" si="217"/>
        <v>0</v>
      </c>
      <c r="R341" s="66">
        <f t="shared" si="218"/>
        <v>-1</v>
      </c>
      <c r="S341" s="67"/>
      <c r="T341" s="67"/>
      <c r="U341" s="66" t="e">
        <f t="shared" si="219"/>
        <v>#DIV/0!</v>
      </c>
      <c r="V341" s="68">
        <f t="shared" si="220"/>
        <v>12950</v>
      </c>
      <c r="W341" s="68">
        <f t="shared" si="220"/>
        <v>0</v>
      </c>
      <c r="X341" s="66">
        <f t="shared" si="221"/>
        <v>-1</v>
      </c>
      <c r="Y341" s="61">
        <v>5718</v>
      </c>
      <c r="Z341" s="61"/>
      <c r="AA341" s="66">
        <f t="shared" si="222"/>
        <v>-1</v>
      </c>
      <c r="AB341" s="61">
        <f t="shared" si="241"/>
        <v>18668</v>
      </c>
      <c r="AC341" s="61">
        <f t="shared" si="241"/>
        <v>0</v>
      </c>
      <c r="AD341" s="66">
        <f t="shared" si="224"/>
        <v>-1</v>
      </c>
      <c r="AE341" s="61">
        <v>23000</v>
      </c>
      <c r="AF341" s="61"/>
      <c r="AG341" s="66">
        <f t="shared" si="225"/>
        <v>-1</v>
      </c>
      <c r="AH341" s="61">
        <f t="shared" si="242"/>
        <v>41668</v>
      </c>
      <c r="AI341" s="61">
        <f t="shared" si="242"/>
        <v>0</v>
      </c>
      <c r="AJ341" s="66">
        <f t="shared" si="227"/>
        <v>-1</v>
      </c>
      <c r="AK341" s="61"/>
      <c r="AL341" s="61"/>
      <c r="AM341" s="66" t="e">
        <f t="shared" si="228"/>
        <v>#DIV/0!</v>
      </c>
      <c r="AN341" s="61">
        <f t="shared" si="243"/>
        <v>41668</v>
      </c>
      <c r="AO341" s="61">
        <f t="shared" si="243"/>
        <v>0</v>
      </c>
      <c r="AP341" s="66">
        <f t="shared" si="230"/>
        <v>-1</v>
      </c>
      <c r="AQ341" s="67"/>
      <c r="AR341" s="67">
        <v>15400</v>
      </c>
      <c r="AS341" s="66" t="e">
        <f t="shared" si="231"/>
        <v>#DIV/0!</v>
      </c>
      <c r="AT341" s="67">
        <f t="shared" si="244"/>
        <v>41668</v>
      </c>
      <c r="AU341" s="67">
        <f t="shared" si="244"/>
        <v>15400</v>
      </c>
      <c r="AV341" s="66">
        <f t="shared" si="233"/>
        <v>-0.63041182682154173</v>
      </c>
      <c r="AW341" s="61"/>
      <c r="AX341" s="61">
        <v>6743</v>
      </c>
      <c r="AY341" s="66" t="e">
        <f t="shared" si="234"/>
        <v>#DIV/0!</v>
      </c>
      <c r="AZ341" s="61">
        <f t="shared" si="245"/>
        <v>41668</v>
      </c>
      <c r="BA341" s="61">
        <f t="shared" si="245"/>
        <v>22143</v>
      </c>
      <c r="BB341" s="66">
        <f t="shared" si="236"/>
        <v>-0.46858500527983105</v>
      </c>
      <c r="BC341" s="61"/>
      <c r="BD341" s="61"/>
      <c r="BE341" s="66" t="e">
        <f t="shared" si="237"/>
        <v>#DIV/0!</v>
      </c>
      <c r="BF341" s="61">
        <f t="shared" si="246"/>
        <v>41668</v>
      </c>
      <c r="BG341" s="61">
        <f t="shared" si="246"/>
        <v>22143</v>
      </c>
      <c r="BH341" s="66">
        <f t="shared" si="239"/>
        <v>-0.46858500527983105</v>
      </c>
      <c r="BI341" s="70"/>
      <c r="BJ341" s="61"/>
      <c r="BK341" s="61"/>
      <c r="BL341" s="61">
        <v>41668</v>
      </c>
      <c r="BM341" s="71">
        <f t="shared" si="240"/>
        <v>0.22143000000000002</v>
      </c>
    </row>
    <row r="342" spans="1:65">
      <c r="A342" s="52" t="s">
        <v>414</v>
      </c>
      <c r="B342" s="53" t="s">
        <v>414</v>
      </c>
      <c r="C342" s="60" t="s">
        <v>475</v>
      </c>
      <c r="D342" s="55" t="s">
        <v>61</v>
      </c>
      <c r="E342" s="55" t="s">
        <v>61</v>
      </c>
      <c r="F342" s="55" t="s">
        <v>420</v>
      </c>
      <c r="G342" s="53" t="s">
        <v>420</v>
      </c>
      <c r="H342" s="53" t="s">
        <v>421</v>
      </c>
      <c r="I342" s="53"/>
      <c r="J342" s="61"/>
      <c r="K342" s="61"/>
      <c r="L342" s="66" t="e">
        <f t="shared" si="215"/>
        <v>#DIV/0!</v>
      </c>
      <c r="M342" s="61"/>
      <c r="N342" s="61"/>
      <c r="O342" s="66" t="e">
        <f t="shared" si="216"/>
        <v>#DIV/0!</v>
      </c>
      <c r="P342" s="61">
        <f t="shared" si="217"/>
        <v>0</v>
      </c>
      <c r="Q342" s="61">
        <f t="shared" si="217"/>
        <v>0</v>
      </c>
      <c r="R342" s="66" t="e">
        <f t="shared" si="218"/>
        <v>#DIV/0!</v>
      </c>
      <c r="S342" s="67"/>
      <c r="T342" s="67"/>
      <c r="U342" s="66" t="e">
        <f t="shared" si="219"/>
        <v>#DIV/0!</v>
      </c>
      <c r="V342" s="68">
        <f t="shared" si="220"/>
        <v>0</v>
      </c>
      <c r="W342" s="68">
        <f t="shared" si="220"/>
        <v>0</v>
      </c>
      <c r="X342" s="66" t="e">
        <f t="shared" si="221"/>
        <v>#DIV/0!</v>
      </c>
      <c r="Y342" s="61"/>
      <c r="Z342" s="61"/>
      <c r="AA342" s="66" t="e">
        <f t="shared" si="222"/>
        <v>#DIV/0!</v>
      </c>
      <c r="AB342" s="61">
        <f t="shared" si="241"/>
        <v>0</v>
      </c>
      <c r="AC342" s="61">
        <f t="shared" si="241"/>
        <v>0</v>
      </c>
      <c r="AD342" s="66" t="e">
        <f t="shared" si="224"/>
        <v>#DIV/0!</v>
      </c>
      <c r="AE342" s="61"/>
      <c r="AF342" s="61"/>
      <c r="AG342" s="66" t="e">
        <f t="shared" si="225"/>
        <v>#DIV/0!</v>
      </c>
      <c r="AH342" s="61">
        <f t="shared" si="242"/>
        <v>0</v>
      </c>
      <c r="AI342" s="61">
        <f t="shared" si="242"/>
        <v>0</v>
      </c>
      <c r="AJ342" s="66" t="e">
        <f t="shared" si="227"/>
        <v>#DIV/0!</v>
      </c>
      <c r="AK342" s="61"/>
      <c r="AL342" s="61"/>
      <c r="AM342" s="66" t="e">
        <f t="shared" si="228"/>
        <v>#DIV/0!</v>
      </c>
      <c r="AN342" s="61">
        <f t="shared" si="243"/>
        <v>0</v>
      </c>
      <c r="AO342" s="61">
        <f t="shared" si="243"/>
        <v>0</v>
      </c>
      <c r="AP342" s="66" t="e">
        <f t="shared" si="230"/>
        <v>#DIV/0!</v>
      </c>
      <c r="AQ342" s="67"/>
      <c r="AR342" s="67"/>
      <c r="AS342" s="66" t="e">
        <f t="shared" si="231"/>
        <v>#DIV/0!</v>
      </c>
      <c r="AT342" s="67">
        <f t="shared" si="244"/>
        <v>0</v>
      </c>
      <c r="AU342" s="67">
        <f t="shared" si="244"/>
        <v>0</v>
      </c>
      <c r="AV342" s="66" t="e">
        <f t="shared" si="233"/>
        <v>#DIV/0!</v>
      </c>
      <c r="AW342" s="61"/>
      <c r="AX342" s="61"/>
      <c r="AY342" s="66" t="e">
        <f t="shared" si="234"/>
        <v>#DIV/0!</v>
      </c>
      <c r="AZ342" s="61">
        <f t="shared" si="245"/>
        <v>0</v>
      </c>
      <c r="BA342" s="61">
        <f t="shared" si="245"/>
        <v>0</v>
      </c>
      <c r="BB342" s="66" t="e">
        <f t="shared" si="236"/>
        <v>#DIV/0!</v>
      </c>
      <c r="BC342" s="61"/>
      <c r="BD342" s="61"/>
      <c r="BE342" s="66" t="e">
        <f t="shared" si="237"/>
        <v>#DIV/0!</v>
      </c>
      <c r="BF342" s="61">
        <f t="shared" si="246"/>
        <v>0</v>
      </c>
      <c r="BG342" s="61">
        <f t="shared" si="246"/>
        <v>0</v>
      </c>
      <c r="BH342" s="66" t="e">
        <f t="shared" si="239"/>
        <v>#DIV/0!</v>
      </c>
      <c r="BI342" s="70"/>
      <c r="BJ342" s="61"/>
      <c r="BK342" s="61"/>
      <c r="BL342" s="61">
        <v>0</v>
      </c>
      <c r="BM342" s="71" t="e">
        <f t="shared" si="240"/>
        <v>#DIV/0!</v>
      </c>
    </row>
    <row r="343" spans="1:65">
      <c r="A343" s="52" t="s">
        <v>414</v>
      </c>
      <c r="B343" s="53" t="s">
        <v>414</v>
      </c>
      <c r="C343" s="60" t="s">
        <v>476</v>
      </c>
      <c r="D343" s="55" t="s">
        <v>61</v>
      </c>
      <c r="E343" s="55" t="s">
        <v>61</v>
      </c>
      <c r="F343" s="55" t="s">
        <v>443</v>
      </c>
      <c r="G343" s="53" t="s">
        <v>443</v>
      </c>
      <c r="H343" s="53" t="s">
        <v>435</v>
      </c>
      <c r="I343" s="53"/>
      <c r="J343" s="61"/>
      <c r="K343" s="61"/>
      <c r="L343" s="66" t="e">
        <f t="shared" si="215"/>
        <v>#DIV/0!</v>
      </c>
      <c r="M343" s="61"/>
      <c r="N343" s="61"/>
      <c r="O343" s="66" t="e">
        <f t="shared" si="216"/>
        <v>#DIV/0!</v>
      </c>
      <c r="P343" s="61">
        <f t="shared" si="217"/>
        <v>0</v>
      </c>
      <c r="Q343" s="61">
        <f t="shared" si="217"/>
        <v>0</v>
      </c>
      <c r="R343" s="66" t="e">
        <f t="shared" si="218"/>
        <v>#DIV/0!</v>
      </c>
      <c r="S343" s="67"/>
      <c r="T343" s="67"/>
      <c r="U343" s="66" t="e">
        <f t="shared" si="219"/>
        <v>#DIV/0!</v>
      </c>
      <c r="V343" s="68">
        <f t="shared" si="220"/>
        <v>0</v>
      </c>
      <c r="W343" s="68">
        <f t="shared" si="220"/>
        <v>0</v>
      </c>
      <c r="X343" s="66" t="e">
        <f t="shared" si="221"/>
        <v>#DIV/0!</v>
      </c>
      <c r="Y343" s="61"/>
      <c r="Z343" s="61"/>
      <c r="AA343" s="66" t="e">
        <f t="shared" si="222"/>
        <v>#DIV/0!</v>
      </c>
      <c r="AB343" s="61">
        <f t="shared" si="241"/>
        <v>0</v>
      </c>
      <c r="AC343" s="61">
        <f t="shared" si="241"/>
        <v>0</v>
      </c>
      <c r="AD343" s="66" t="e">
        <f t="shared" si="224"/>
        <v>#DIV/0!</v>
      </c>
      <c r="AE343" s="61"/>
      <c r="AF343" s="61"/>
      <c r="AG343" s="66" t="e">
        <f t="shared" si="225"/>
        <v>#DIV/0!</v>
      </c>
      <c r="AH343" s="61">
        <f t="shared" si="242"/>
        <v>0</v>
      </c>
      <c r="AI343" s="61">
        <f t="shared" si="242"/>
        <v>0</v>
      </c>
      <c r="AJ343" s="66" t="e">
        <f t="shared" si="227"/>
        <v>#DIV/0!</v>
      </c>
      <c r="AK343" s="61"/>
      <c r="AL343" s="61"/>
      <c r="AM343" s="66" t="e">
        <f t="shared" si="228"/>
        <v>#DIV/0!</v>
      </c>
      <c r="AN343" s="61">
        <f t="shared" si="243"/>
        <v>0</v>
      </c>
      <c r="AO343" s="61">
        <f t="shared" si="243"/>
        <v>0</v>
      </c>
      <c r="AP343" s="66" t="e">
        <f t="shared" si="230"/>
        <v>#DIV/0!</v>
      </c>
      <c r="AQ343" s="67"/>
      <c r="AR343" s="67"/>
      <c r="AS343" s="66" t="e">
        <f t="shared" si="231"/>
        <v>#DIV/0!</v>
      </c>
      <c r="AT343" s="67">
        <f t="shared" si="244"/>
        <v>0</v>
      </c>
      <c r="AU343" s="67">
        <f t="shared" si="244"/>
        <v>0</v>
      </c>
      <c r="AV343" s="66" t="e">
        <f t="shared" si="233"/>
        <v>#DIV/0!</v>
      </c>
      <c r="AW343" s="61"/>
      <c r="AX343" s="61"/>
      <c r="AY343" s="66" t="e">
        <f t="shared" si="234"/>
        <v>#DIV/0!</v>
      </c>
      <c r="AZ343" s="61">
        <f t="shared" si="245"/>
        <v>0</v>
      </c>
      <c r="BA343" s="61">
        <f t="shared" si="245"/>
        <v>0</v>
      </c>
      <c r="BB343" s="66" t="e">
        <f t="shared" si="236"/>
        <v>#DIV/0!</v>
      </c>
      <c r="BC343" s="61"/>
      <c r="BD343" s="61"/>
      <c r="BE343" s="66" t="e">
        <f t="shared" si="237"/>
        <v>#DIV/0!</v>
      </c>
      <c r="BF343" s="61">
        <f t="shared" si="246"/>
        <v>0</v>
      </c>
      <c r="BG343" s="61">
        <f t="shared" si="246"/>
        <v>0</v>
      </c>
      <c r="BH343" s="66" t="e">
        <f t="shared" si="239"/>
        <v>#DIV/0!</v>
      </c>
      <c r="BI343" s="70"/>
      <c r="BJ343" s="61"/>
      <c r="BK343" s="61"/>
      <c r="BL343" s="61">
        <v>0</v>
      </c>
      <c r="BM343" s="71" t="e">
        <f t="shared" si="240"/>
        <v>#DIV/0!</v>
      </c>
    </row>
    <row r="344" spans="1:65">
      <c r="A344" s="52" t="s">
        <v>414</v>
      </c>
      <c r="B344" s="53" t="s">
        <v>453</v>
      </c>
      <c r="C344" s="60" t="s">
        <v>477</v>
      </c>
      <c r="D344" s="55" t="s">
        <v>102</v>
      </c>
      <c r="E344" s="55" t="s">
        <v>102</v>
      </c>
      <c r="F344" s="55" t="s">
        <v>478</v>
      </c>
      <c r="G344" s="53" t="s">
        <v>478</v>
      </c>
      <c r="H344" s="53" t="s">
        <v>457</v>
      </c>
      <c r="I344" s="53"/>
      <c r="J344" s="61">
        <v>8000</v>
      </c>
      <c r="K344" s="61"/>
      <c r="L344" s="66">
        <f t="shared" si="215"/>
        <v>-1</v>
      </c>
      <c r="M344" s="61"/>
      <c r="N344" s="61"/>
      <c r="O344" s="66" t="e">
        <f t="shared" si="216"/>
        <v>#DIV/0!</v>
      </c>
      <c r="P344" s="61">
        <f t="shared" si="217"/>
        <v>8000</v>
      </c>
      <c r="Q344" s="61">
        <f t="shared" si="217"/>
        <v>0</v>
      </c>
      <c r="R344" s="66">
        <f t="shared" si="218"/>
        <v>-1</v>
      </c>
      <c r="S344" s="67">
        <v>21660</v>
      </c>
      <c r="T344" s="67"/>
      <c r="U344" s="66">
        <f t="shared" si="219"/>
        <v>-1</v>
      </c>
      <c r="V344" s="68">
        <f t="shared" si="220"/>
        <v>29660</v>
      </c>
      <c r="W344" s="68">
        <f t="shared" si="220"/>
        <v>0</v>
      </c>
      <c r="X344" s="66">
        <f t="shared" si="221"/>
        <v>-1</v>
      </c>
      <c r="Y344" s="61"/>
      <c r="Z344" s="61"/>
      <c r="AA344" s="66" t="e">
        <f t="shared" si="222"/>
        <v>#DIV/0!</v>
      </c>
      <c r="AB344" s="61">
        <f t="shared" si="241"/>
        <v>29660</v>
      </c>
      <c r="AC344" s="61">
        <f t="shared" si="241"/>
        <v>0</v>
      </c>
      <c r="AD344" s="66">
        <f t="shared" si="224"/>
        <v>-1</v>
      </c>
      <c r="AE344" s="61"/>
      <c r="AF344" s="61"/>
      <c r="AG344" s="66" t="e">
        <f t="shared" si="225"/>
        <v>#DIV/0!</v>
      </c>
      <c r="AH344" s="61">
        <f t="shared" si="242"/>
        <v>29660</v>
      </c>
      <c r="AI344" s="61">
        <f t="shared" si="242"/>
        <v>0</v>
      </c>
      <c r="AJ344" s="66">
        <f t="shared" si="227"/>
        <v>-1</v>
      </c>
      <c r="AK344" s="61"/>
      <c r="AL344" s="61"/>
      <c r="AM344" s="66" t="e">
        <f t="shared" si="228"/>
        <v>#DIV/0!</v>
      </c>
      <c r="AN344" s="61">
        <f t="shared" si="243"/>
        <v>29660</v>
      </c>
      <c r="AO344" s="61">
        <f t="shared" si="243"/>
        <v>0</v>
      </c>
      <c r="AP344" s="66">
        <f t="shared" si="230"/>
        <v>-1</v>
      </c>
      <c r="AQ344" s="67"/>
      <c r="AR344" s="67"/>
      <c r="AS344" s="66" t="e">
        <f t="shared" si="231"/>
        <v>#DIV/0!</v>
      </c>
      <c r="AT344" s="67">
        <f t="shared" si="244"/>
        <v>29660</v>
      </c>
      <c r="AU344" s="67">
        <f t="shared" si="244"/>
        <v>0</v>
      </c>
      <c r="AV344" s="66">
        <f t="shared" si="233"/>
        <v>-1</v>
      </c>
      <c r="AW344" s="61"/>
      <c r="AX344" s="61"/>
      <c r="AY344" s="66" t="e">
        <f t="shared" si="234"/>
        <v>#DIV/0!</v>
      </c>
      <c r="AZ344" s="61">
        <f t="shared" si="245"/>
        <v>29660</v>
      </c>
      <c r="BA344" s="61">
        <f t="shared" si="245"/>
        <v>0</v>
      </c>
      <c r="BB344" s="66">
        <f t="shared" si="236"/>
        <v>-1</v>
      </c>
      <c r="BC344" s="61"/>
      <c r="BD344" s="61"/>
      <c r="BE344" s="66" t="e">
        <f t="shared" si="237"/>
        <v>#DIV/0!</v>
      </c>
      <c r="BF344" s="61">
        <f t="shared" si="246"/>
        <v>29660</v>
      </c>
      <c r="BG344" s="61">
        <f t="shared" si="246"/>
        <v>0</v>
      </c>
      <c r="BH344" s="66">
        <f t="shared" si="239"/>
        <v>-1</v>
      </c>
      <c r="BI344" s="70"/>
      <c r="BJ344" s="61"/>
      <c r="BK344" s="61"/>
      <c r="BL344" s="61">
        <v>29660</v>
      </c>
      <c r="BM344" s="71" t="e">
        <f t="shared" si="240"/>
        <v>#DIV/0!</v>
      </c>
    </row>
    <row r="345" spans="1:65">
      <c r="A345" s="52" t="s">
        <v>414</v>
      </c>
      <c r="B345" s="53" t="s">
        <v>414</v>
      </c>
      <c r="C345" s="60" t="s">
        <v>479</v>
      </c>
      <c r="D345" s="55" t="s">
        <v>61</v>
      </c>
      <c r="E345" s="55" t="s">
        <v>61</v>
      </c>
      <c r="F345" s="55" t="s">
        <v>420</v>
      </c>
      <c r="G345" s="53" t="s">
        <v>420</v>
      </c>
      <c r="H345" s="53" t="s">
        <v>421</v>
      </c>
      <c r="I345" s="53"/>
      <c r="J345" s="61"/>
      <c r="K345" s="61"/>
      <c r="L345" s="66" t="e">
        <f t="shared" si="215"/>
        <v>#DIV/0!</v>
      </c>
      <c r="M345" s="61"/>
      <c r="N345" s="61"/>
      <c r="O345" s="66" t="e">
        <f t="shared" si="216"/>
        <v>#DIV/0!</v>
      </c>
      <c r="P345" s="61">
        <f t="shared" si="217"/>
        <v>0</v>
      </c>
      <c r="Q345" s="61">
        <f t="shared" si="217"/>
        <v>0</v>
      </c>
      <c r="R345" s="66" t="e">
        <f t="shared" si="218"/>
        <v>#DIV/0!</v>
      </c>
      <c r="S345" s="67">
        <v>1580</v>
      </c>
      <c r="T345" s="67"/>
      <c r="U345" s="66">
        <f t="shared" si="219"/>
        <v>-1</v>
      </c>
      <c r="V345" s="68">
        <f t="shared" si="220"/>
        <v>1580</v>
      </c>
      <c r="W345" s="68">
        <f t="shared" si="220"/>
        <v>0</v>
      </c>
      <c r="X345" s="66">
        <f t="shared" si="221"/>
        <v>-1</v>
      </c>
      <c r="Y345" s="61"/>
      <c r="Z345" s="61"/>
      <c r="AA345" s="66" t="e">
        <f t="shared" si="222"/>
        <v>#DIV/0!</v>
      </c>
      <c r="AB345" s="61">
        <f t="shared" si="241"/>
        <v>1580</v>
      </c>
      <c r="AC345" s="61">
        <f t="shared" si="241"/>
        <v>0</v>
      </c>
      <c r="AD345" s="66">
        <f t="shared" si="224"/>
        <v>-1</v>
      </c>
      <c r="AE345" s="61"/>
      <c r="AF345" s="61"/>
      <c r="AG345" s="66" t="e">
        <f t="shared" si="225"/>
        <v>#DIV/0!</v>
      </c>
      <c r="AH345" s="61">
        <f t="shared" si="242"/>
        <v>1580</v>
      </c>
      <c r="AI345" s="61">
        <f t="shared" si="242"/>
        <v>0</v>
      </c>
      <c r="AJ345" s="66">
        <f t="shared" si="227"/>
        <v>-1</v>
      </c>
      <c r="AK345" s="61"/>
      <c r="AL345" s="61"/>
      <c r="AM345" s="66" t="e">
        <f t="shared" si="228"/>
        <v>#DIV/0!</v>
      </c>
      <c r="AN345" s="61">
        <f t="shared" si="243"/>
        <v>1580</v>
      </c>
      <c r="AO345" s="61">
        <f t="shared" si="243"/>
        <v>0</v>
      </c>
      <c r="AP345" s="66">
        <f t="shared" si="230"/>
        <v>-1</v>
      </c>
      <c r="AQ345" s="67"/>
      <c r="AR345" s="67"/>
      <c r="AS345" s="66" t="e">
        <f t="shared" si="231"/>
        <v>#DIV/0!</v>
      </c>
      <c r="AT345" s="67">
        <f t="shared" si="244"/>
        <v>1580</v>
      </c>
      <c r="AU345" s="67">
        <f t="shared" si="244"/>
        <v>0</v>
      </c>
      <c r="AV345" s="66">
        <f t="shared" si="233"/>
        <v>-1</v>
      </c>
      <c r="AW345" s="61"/>
      <c r="AX345" s="61"/>
      <c r="AY345" s="66" t="e">
        <f t="shared" si="234"/>
        <v>#DIV/0!</v>
      </c>
      <c r="AZ345" s="61">
        <f t="shared" si="245"/>
        <v>1580</v>
      </c>
      <c r="BA345" s="61">
        <f t="shared" si="245"/>
        <v>0</v>
      </c>
      <c r="BB345" s="66">
        <f t="shared" si="236"/>
        <v>-1</v>
      </c>
      <c r="BC345" s="61"/>
      <c r="BD345" s="61"/>
      <c r="BE345" s="66" t="e">
        <f t="shared" si="237"/>
        <v>#DIV/0!</v>
      </c>
      <c r="BF345" s="61">
        <f t="shared" si="246"/>
        <v>1580</v>
      </c>
      <c r="BG345" s="61">
        <f t="shared" si="246"/>
        <v>0</v>
      </c>
      <c r="BH345" s="66">
        <f t="shared" si="239"/>
        <v>-1</v>
      </c>
      <c r="BI345" s="70"/>
      <c r="BJ345" s="61"/>
      <c r="BK345" s="61"/>
      <c r="BL345" s="61">
        <v>1580</v>
      </c>
      <c r="BM345" s="71" t="e">
        <f t="shared" si="240"/>
        <v>#DIV/0!</v>
      </c>
    </row>
    <row r="346" spans="1:65">
      <c r="A346" s="52" t="s">
        <v>414</v>
      </c>
      <c r="B346" s="53" t="s">
        <v>453</v>
      </c>
      <c r="C346" s="60" t="s">
        <v>480</v>
      </c>
      <c r="D346" s="55" t="s">
        <v>61</v>
      </c>
      <c r="E346" s="55" t="s">
        <v>61</v>
      </c>
      <c r="F346" s="55" t="s">
        <v>481</v>
      </c>
      <c r="G346" s="53" t="s">
        <v>481</v>
      </c>
      <c r="H346" s="53" t="s">
        <v>457</v>
      </c>
      <c r="I346" s="53"/>
      <c r="J346" s="61">
        <v>40000</v>
      </c>
      <c r="K346" s="61">
        <v>75850</v>
      </c>
      <c r="L346" s="66">
        <f t="shared" si="215"/>
        <v>0.89624999999999999</v>
      </c>
      <c r="M346" s="61"/>
      <c r="N346" s="61"/>
      <c r="O346" s="66" t="e">
        <f t="shared" si="216"/>
        <v>#DIV/0!</v>
      </c>
      <c r="P346" s="61">
        <f t="shared" si="217"/>
        <v>40000</v>
      </c>
      <c r="Q346" s="61">
        <f t="shared" si="217"/>
        <v>75850</v>
      </c>
      <c r="R346" s="66">
        <f t="shared" si="218"/>
        <v>0.89624999999999999</v>
      </c>
      <c r="S346" s="67"/>
      <c r="T346" s="67"/>
      <c r="U346" s="66" t="e">
        <f t="shared" si="219"/>
        <v>#DIV/0!</v>
      </c>
      <c r="V346" s="68">
        <f t="shared" si="220"/>
        <v>40000</v>
      </c>
      <c r="W346" s="68">
        <f t="shared" si="220"/>
        <v>75850</v>
      </c>
      <c r="X346" s="66">
        <f t="shared" si="221"/>
        <v>0.89624999999999999</v>
      </c>
      <c r="Y346" s="61"/>
      <c r="Z346" s="61">
        <v>36500</v>
      </c>
      <c r="AA346" s="66" t="e">
        <f t="shared" si="222"/>
        <v>#DIV/0!</v>
      </c>
      <c r="AB346" s="61">
        <f t="shared" si="241"/>
        <v>40000</v>
      </c>
      <c r="AC346" s="61">
        <f t="shared" si="241"/>
        <v>112350</v>
      </c>
      <c r="AD346" s="66">
        <f t="shared" si="224"/>
        <v>1.8087499999999999</v>
      </c>
      <c r="AE346" s="61"/>
      <c r="AF346" s="61">
        <v>73000</v>
      </c>
      <c r="AG346" s="66" t="e">
        <f t="shared" si="225"/>
        <v>#DIV/0!</v>
      </c>
      <c r="AH346" s="61">
        <f t="shared" si="242"/>
        <v>40000</v>
      </c>
      <c r="AI346" s="61">
        <f t="shared" si="242"/>
        <v>185350</v>
      </c>
      <c r="AJ346" s="66">
        <f t="shared" si="227"/>
        <v>3.63375</v>
      </c>
      <c r="AK346" s="61"/>
      <c r="AL346" s="61">
        <v>36500</v>
      </c>
      <c r="AM346" s="66" t="e">
        <f t="shared" si="228"/>
        <v>#DIV/0!</v>
      </c>
      <c r="AN346" s="61">
        <f t="shared" si="243"/>
        <v>40000</v>
      </c>
      <c r="AO346" s="61">
        <f t="shared" si="243"/>
        <v>221850</v>
      </c>
      <c r="AP346" s="66">
        <f t="shared" si="230"/>
        <v>4.5462499999999997</v>
      </c>
      <c r="AQ346" s="67"/>
      <c r="AR346" s="67">
        <v>219000</v>
      </c>
      <c r="AS346" s="66" t="e">
        <f t="shared" si="231"/>
        <v>#DIV/0!</v>
      </c>
      <c r="AT346" s="67">
        <f t="shared" si="244"/>
        <v>40000</v>
      </c>
      <c r="AU346" s="67">
        <f t="shared" si="244"/>
        <v>440850</v>
      </c>
      <c r="AV346" s="66">
        <f t="shared" si="233"/>
        <v>10.02125</v>
      </c>
      <c r="AW346" s="61"/>
      <c r="AX346" s="61"/>
      <c r="AY346" s="66" t="e">
        <f t="shared" si="234"/>
        <v>#DIV/0!</v>
      </c>
      <c r="AZ346" s="61">
        <f t="shared" si="245"/>
        <v>40000</v>
      </c>
      <c r="BA346" s="61">
        <f t="shared" si="245"/>
        <v>440850</v>
      </c>
      <c r="BB346" s="66">
        <f t="shared" si="236"/>
        <v>10.02125</v>
      </c>
      <c r="BC346" s="61">
        <v>54750</v>
      </c>
      <c r="BD346" s="61"/>
      <c r="BE346" s="66">
        <f t="shared" si="237"/>
        <v>-1</v>
      </c>
      <c r="BF346" s="61">
        <f t="shared" si="246"/>
        <v>94750</v>
      </c>
      <c r="BG346" s="61">
        <f t="shared" si="246"/>
        <v>440850</v>
      </c>
      <c r="BH346" s="66">
        <f t="shared" si="239"/>
        <v>3.6527704485488126</v>
      </c>
      <c r="BI346" s="70">
        <v>54750</v>
      </c>
      <c r="BJ346" s="61">
        <v>79350</v>
      </c>
      <c r="BK346" s="61">
        <v>73000</v>
      </c>
      <c r="BL346" s="61">
        <v>301850</v>
      </c>
      <c r="BM346" s="71" t="e">
        <f t="shared" si="240"/>
        <v>#DIV/0!</v>
      </c>
    </row>
    <row r="347" spans="1:65">
      <c r="A347" s="52" t="s">
        <v>414</v>
      </c>
      <c r="B347" s="53" t="s">
        <v>414</v>
      </c>
      <c r="C347" s="60" t="s">
        <v>482</v>
      </c>
      <c r="D347" s="55" t="s">
        <v>61</v>
      </c>
      <c r="E347" s="55" t="s">
        <v>61</v>
      </c>
      <c r="F347" s="55" t="s">
        <v>420</v>
      </c>
      <c r="G347" s="53" t="s">
        <v>420</v>
      </c>
      <c r="H347" s="53" t="s">
        <v>421</v>
      </c>
      <c r="I347" s="53"/>
      <c r="J347" s="61"/>
      <c r="K347" s="61"/>
      <c r="L347" s="66" t="e">
        <f t="shared" si="215"/>
        <v>#DIV/0!</v>
      </c>
      <c r="M347" s="61"/>
      <c r="N347" s="61"/>
      <c r="O347" s="66" t="e">
        <f t="shared" si="216"/>
        <v>#DIV/0!</v>
      </c>
      <c r="P347" s="61">
        <f t="shared" si="217"/>
        <v>0</v>
      </c>
      <c r="Q347" s="61">
        <f t="shared" si="217"/>
        <v>0</v>
      </c>
      <c r="R347" s="66" t="e">
        <f t="shared" si="218"/>
        <v>#DIV/0!</v>
      </c>
      <c r="S347" s="67"/>
      <c r="T347" s="67"/>
      <c r="U347" s="66" t="e">
        <f t="shared" si="219"/>
        <v>#DIV/0!</v>
      </c>
      <c r="V347" s="68">
        <f t="shared" si="220"/>
        <v>0</v>
      </c>
      <c r="W347" s="68">
        <f t="shared" si="220"/>
        <v>0</v>
      </c>
      <c r="X347" s="66" t="e">
        <f t="shared" si="221"/>
        <v>#DIV/0!</v>
      </c>
      <c r="Y347" s="61"/>
      <c r="Z347" s="61"/>
      <c r="AA347" s="66" t="e">
        <f t="shared" si="222"/>
        <v>#DIV/0!</v>
      </c>
      <c r="AB347" s="61">
        <f t="shared" si="241"/>
        <v>0</v>
      </c>
      <c r="AC347" s="61">
        <f t="shared" si="241"/>
        <v>0</v>
      </c>
      <c r="AD347" s="66" t="e">
        <f t="shared" si="224"/>
        <v>#DIV/0!</v>
      </c>
      <c r="AE347" s="61"/>
      <c r="AF347" s="61"/>
      <c r="AG347" s="66" t="e">
        <f t="shared" si="225"/>
        <v>#DIV/0!</v>
      </c>
      <c r="AH347" s="61">
        <f t="shared" si="242"/>
        <v>0</v>
      </c>
      <c r="AI347" s="61">
        <f t="shared" si="242"/>
        <v>0</v>
      </c>
      <c r="AJ347" s="66" t="e">
        <f t="shared" si="227"/>
        <v>#DIV/0!</v>
      </c>
      <c r="AK347" s="61"/>
      <c r="AL347" s="61"/>
      <c r="AM347" s="66" t="e">
        <f t="shared" si="228"/>
        <v>#DIV/0!</v>
      </c>
      <c r="AN347" s="61">
        <f t="shared" si="243"/>
        <v>0</v>
      </c>
      <c r="AO347" s="61">
        <f t="shared" si="243"/>
        <v>0</v>
      </c>
      <c r="AP347" s="66" t="e">
        <f t="shared" si="230"/>
        <v>#DIV/0!</v>
      </c>
      <c r="AQ347" s="67"/>
      <c r="AR347" s="67"/>
      <c r="AS347" s="66" t="e">
        <f t="shared" si="231"/>
        <v>#DIV/0!</v>
      </c>
      <c r="AT347" s="67">
        <f t="shared" si="244"/>
        <v>0</v>
      </c>
      <c r="AU347" s="67">
        <f t="shared" si="244"/>
        <v>0</v>
      </c>
      <c r="AV347" s="66" t="e">
        <f t="shared" si="233"/>
        <v>#DIV/0!</v>
      </c>
      <c r="AW347" s="61"/>
      <c r="AX347" s="61"/>
      <c r="AY347" s="66" t="e">
        <f t="shared" si="234"/>
        <v>#DIV/0!</v>
      </c>
      <c r="AZ347" s="61">
        <f t="shared" si="245"/>
        <v>0</v>
      </c>
      <c r="BA347" s="61">
        <f t="shared" si="245"/>
        <v>0</v>
      </c>
      <c r="BB347" s="66" t="e">
        <f t="shared" si="236"/>
        <v>#DIV/0!</v>
      </c>
      <c r="BC347" s="61"/>
      <c r="BD347" s="61"/>
      <c r="BE347" s="66" t="e">
        <f t="shared" si="237"/>
        <v>#DIV/0!</v>
      </c>
      <c r="BF347" s="61">
        <f t="shared" si="246"/>
        <v>0</v>
      </c>
      <c r="BG347" s="61">
        <f t="shared" si="246"/>
        <v>0</v>
      </c>
      <c r="BH347" s="66" t="e">
        <f t="shared" si="239"/>
        <v>#DIV/0!</v>
      </c>
      <c r="BI347" s="70"/>
      <c r="BJ347" s="61"/>
      <c r="BK347" s="61"/>
      <c r="BL347" s="61">
        <v>0</v>
      </c>
      <c r="BM347" s="71" t="e">
        <f t="shared" si="240"/>
        <v>#DIV/0!</v>
      </c>
    </row>
    <row r="348" spans="1:65">
      <c r="A348" s="52" t="s">
        <v>414</v>
      </c>
      <c r="B348" s="53" t="s">
        <v>414</v>
      </c>
      <c r="C348" s="60" t="s">
        <v>483</v>
      </c>
      <c r="D348" s="55" t="s">
        <v>61</v>
      </c>
      <c r="E348" s="55" t="s">
        <v>61</v>
      </c>
      <c r="F348" s="55" t="s">
        <v>428</v>
      </c>
      <c r="G348" s="53" t="s">
        <v>437</v>
      </c>
      <c r="H348" s="53" t="s">
        <v>417</v>
      </c>
      <c r="I348" s="53"/>
      <c r="J348" s="61"/>
      <c r="K348" s="61"/>
      <c r="L348" s="66" t="e">
        <f t="shared" si="215"/>
        <v>#DIV/0!</v>
      </c>
      <c r="M348" s="61"/>
      <c r="N348" s="61"/>
      <c r="O348" s="66" t="e">
        <f t="shared" si="216"/>
        <v>#DIV/0!</v>
      </c>
      <c r="P348" s="61">
        <f t="shared" si="217"/>
        <v>0</v>
      </c>
      <c r="Q348" s="61">
        <f t="shared" si="217"/>
        <v>0</v>
      </c>
      <c r="R348" s="66" t="e">
        <f t="shared" si="218"/>
        <v>#DIV/0!</v>
      </c>
      <c r="S348" s="67"/>
      <c r="T348" s="67"/>
      <c r="U348" s="66" t="e">
        <f t="shared" si="219"/>
        <v>#DIV/0!</v>
      </c>
      <c r="V348" s="68">
        <f t="shared" si="220"/>
        <v>0</v>
      </c>
      <c r="W348" s="68">
        <f t="shared" si="220"/>
        <v>0</v>
      </c>
      <c r="X348" s="66" t="e">
        <f t="shared" si="221"/>
        <v>#DIV/0!</v>
      </c>
      <c r="Y348" s="61"/>
      <c r="Z348" s="61"/>
      <c r="AA348" s="66" t="e">
        <f t="shared" si="222"/>
        <v>#DIV/0!</v>
      </c>
      <c r="AB348" s="61">
        <f t="shared" si="241"/>
        <v>0</v>
      </c>
      <c r="AC348" s="61">
        <f t="shared" si="241"/>
        <v>0</v>
      </c>
      <c r="AD348" s="66" t="e">
        <f t="shared" si="224"/>
        <v>#DIV/0!</v>
      </c>
      <c r="AE348" s="61"/>
      <c r="AF348" s="61"/>
      <c r="AG348" s="66" t="e">
        <f t="shared" si="225"/>
        <v>#DIV/0!</v>
      </c>
      <c r="AH348" s="61">
        <f t="shared" si="242"/>
        <v>0</v>
      </c>
      <c r="AI348" s="61">
        <f t="shared" si="242"/>
        <v>0</v>
      </c>
      <c r="AJ348" s="66" t="e">
        <f t="shared" si="227"/>
        <v>#DIV/0!</v>
      </c>
      <c r="AK348" s="61"/>
      <c r="AL348" s="61"/>
      <c r="AM348" s="66" t="e">
        <f t="shared" si="228"/>
        <v>#DIV/0!</v>
      </c>
      <c r="AN348" s="61">
        <f t="shared" si="243"/>
        <v>0</v>
      </c>
      <c r="AO348" s="61">
        <f t="shared" si="243"/>
        <v>0</v>
      </c>
      <c r="AP348" s="66" t="e">
        <f t="shared" si="230"/>
        <v>#DIV/0!</v>
      </c>
      <c r="AQ348" s="67"/>
      <c r="AR348" s="67"/>
      <c r="AS348" s="66" t="e">
        <f t="shared" si="231"/>
        <v>#DIV/0!</v>
      </c>
      <c r="AT348" s="67">
        <f t="shared" si="244"/>
        <v>0</v>
      </c>
      <c r="AU348" s="67">
        <f t="shared" si="244"/>
        <v>0</v>
      </c>
      <c r="AV348" s="66" t="e">
        <f t="shared" si="233"/>
        <v>#DIV/0!</v>
      </c>
      <c r="AW348" s="61"/>
      <c r="AX348" s="61"/>
      <c r="AY348" s="66" t="e">
        <f t="shared" si="234"/>
        <v>#DIV/0!</v>
      </c>
      <c r="AZ348" s="61">
        <f t="shared" si="245"/>
        <v>0</v>
      </c>
      <c r="BA348" s="61">
        <f t="shared" si="245"/>
        <v>0</v>
      </c>
      <c r="BB348" s="66" t="e">
        <f t="shared" si="236"/>
        <v>#DIV/0!</v>
      </c>
      <c r="BC348" s="61"/>
      <c r="BD348" s="61"/>
      <c r="BE348" s="66" t="e">
        <f t="shared" si="237"/>
        <v>#DIV/0!</v>
      </c>
      <c r="BF348" s="61">
        <f t="shared" si="246"/>
        <v>0</v>
      </c>
      <c r="BG348" s="61">
        <f t="shared" si="246"/>
        <v>0</v>
      </c>
      <c r="BH348" s="66" t="e">
        <f t="shared" si="239"/>
        <v>#DIV/0!</v>
      </c>
      <c r="BI348" s="70"/>
      <c r="BJ348" s="61"/>
      <c r="BK348" s="61"/>
      <c r="BL348" s="61">
        <v>0</v>
      </c>
      <c r="BM348" s="71" t="e">
        <f t="shared" si="240"/>
        <v>#DIV/0!</v>
      </c>
    </row>
    <row r="349" spans="1:65">
      <c r="A349" s="52" t="s">
        <v>414</v>
      </c>
      <c r="B349" s="53" t="s">
        <v>414</v>
      </c>
      <c r="C349" s="60" t="s">
        <v>484</v>
      </c>
      <c r="D349" s="55" t="s">
        <v>61</v>
      </c>
      <c r="E349" s="55" t="s">
        <v>61</v>
      </c>
      <c r="F349" s="55" t="s">
        <v>420</v>
      </c>
      <c r="G349" s="53" t="s">
        <v>420</v>
      </c>
      <c r="H349" s="53" t="s">
        <v>421</v>
      </c>
      <c r="I349" s="53">
        <v>60</v>
      </c>
      <c r="J349" s="61">
        <v>86284</v>
      </c>
      <c r="K349" s="61">
        <v>20594</v>
      </c>
      <c r="L349" s="66">
        <f t="shared" si="215"/>
        <v>-0.76132307264382737</v>
      </c>
      <c r="M349" s="61">
        <v>8940</v>
      </c>
      <c r="N349" s="61">
        <v>13850</v>
      </c>
      <c r="O349" s="66">
        <f t="shared" si="216"/>
        <v>0.54921700223713654</v>
      </c>
      <c r="P349" s="61">
        <f t="shared" si="217"/>
        <v>95224</v>
      </c>
      <c r="Q349" s="61">
        <f t="shared" si="217"/>
        <v>34444</v>
      </c>
      <c r="R349" s="66">
        <f t="shared" si="218"/>
        <v>-0.63828446610098299</v>
      </c>
      <c r="S349" s="67">
        <v>16110</v>
      </c>
      <c r="T349" s="67">
        <v>11560</v>
      </c>
      <c r="U349" s="66">
        <f t="shared" si="219"/>
        <v>-0.28243327126008688</v>
      </c>
      <c r="V349" s="68">
        <f t="shared" si="220"/>
        <v>111334</v>
      </c>
      <c r="W349" s="68">
        <f t="shared" si="220"/>
        <v>46004</v>
      </c>
      <c r="X349" s="66">
        <f t="shared" si="221"/>
        <v>-0.58679289345572783</v>
      </c>
      <c r="Y349" s="61">
        <v>15196</v>
      </c>
      <c r="Z349" s="61">
        <v>19443</v>
      </c>
      <c r="AA349" s="66">
        <f t="shared" si="222"/>
        <v>0.2794814424848644</v>
      </c>
      <c r="AB349" s="61">
        <f t="shared" si="241"/>
        <v>126530</v>
      </c>
      <c r="AC349" s="61">
        <f t="shared" si="241"/>
        <v>65447</v>
      </c>
      <c r="AD349" s="66">
        <f t="shared" si="224"/>
        <v>-0.48275507784715088</v>
      </c>
      <c r="AE349" s="61">
        <v>4500</v>
      </c>
      <c r="AF349" s="61">
        <v>19739</v>
      </c>
      <c r="AG349" s="66">
        <f t="shared" si="225"/>
        <v>3.3864444444444448</v>
      </c>
      <c r="AH349" s="61">
        <f t="shared" si="242"/>
        <v>131030</v>
      </c>
      <c r="AI349" s="61">
        <f t="shared" si="242"/>
        <v>85186</v>
      </c>
      <c r="AJ349" s="66">
        <f t="shared" si="227"/>
        <v>-0.34987407463939557</v>
      </c>
      <c r="AK349" s="61"/>
      <c r="AL349" s="61">
        <v>4650</v>
      </c>
      <c r="AM349" s="66" t="e">
        <f t="shared" si="228"/>
        <v>#DIV/0!</v>
      </c>
      <c r="AN349" s="61">
        <f t="shared" si="243"/>
        <v>131030</v>
      </c>
      <c r="AO349" s="61">
        <f t="shared" si="243"/>
        <v>89836</v>
      </c>
      <c r="AP349" s="66">
        <f t="shared" si="230"/>
        <v>-0.3143860184690529</v>
      </c>
      <c r="AQ349" s="67">
        <v>21812</v>
      </c>
      <c r="AR349" s="67">
        <v>19099</v>
      </c>
      <c r="AS349" s="66">
        <f t="shared" si="231"/>
        <v>-0.124381074637814</v>
      </c>
      <c r="AT349" s="67">
        <f t="shared" si="244"/>
        <v>152842</v>
      </c>
      <c r="AU349" s="67">
        <f t="shared" si="244"/>
        <v>108935</v>
      </c>
      <c r="AV349" s="66">
        <f t="shared" si="233"/>
        <v>-0.28727051464911479</v>
      </c>
      <c r="AW349" s="61">
        <v>15160</v>
      </c>
      <c r="AX349" s="61">
        <v>5190</v>
      </c>
      <c r="AY349" s="66">
        <f t="shared" si="234"/>
        <v>-0.65765171503957776</v>
      </c>
      <c r="AZ349" s="61">
        <f t="shared" si="245"/>
        <v>168002</v>
      </c>
      <c r="BA349" s="61">
        <f t="shared" si="245"/>
        <v>114125</v>
      </c>
      <c r="BB349" s="66">
        <f t="shared" si="236"/>
        <v>-0.32069261080225231</v>
      </c>
      <c r="BC349" s="61">
        <v>50210</v>
      </c>
      <c r="BD349" s="61">
        <v>62721</v>
      </c>
      <c r="BE349" s="66">
        <f t="shared" si="237"/>
        <v>0.24917347142003576</v>
      </c>
      <c r="BF349" s="61">
        <f t="shared" si="246"/>
        <v>218212</v>
      </c>
      <c r="BG349" s="61">
        <f t="shared" si="246"/>
        <v>176846</v>
      </c>
      <c r="BH349" s="66">
        <f t="shared" si="239"/>
        <v>-0.18956794310120428</v>
      </c>
      <c r="BI349" s="70">
        <v>177765</v>
      </c>
      <c r="BJ349" s="61">
        <v>39960</v>
      </c>
      <c r="BK349" s="61">
        <v>133158</v>
      </c>
      <c r="BL349" s="61">
        <v>569095</v>
      </c>
      <c r="BM349" s="71">
        <f t="shared" si="240"/>
        <v>0.2947433333333333</v>
      </c>
    </row>
    <row r="350" spans="1:65">
      <c r="A350" s="52" t="s">
        <v>414</v>
      </c>
      <c r="B350" s="53" t="s">
        <v>414</v>
      </c>
      <c r="C350" s="60" t="s">
        <v>485</v>
      </c>
      <c r="D350" s="55" t="s">
        <v>61</v>
      </c>
      <c r="E350" s="55" t="s">
        <v>61</v>
      </c>
      <c r="F350" s="55" t="s">
        <v>428</v>
      </c>
      <c r="G350" s="53" t="s">
        <v>445</v>
      </c>
      <c r="H350" s="53" t="s">
        <v>417</v>
      </c>
      <c r="I350" s="53">
        <v>0</v>
      </c>
      <c r="J350" s="61">
        <v>3892</v>
      </c>
      <c r="K350" s="61"/>
      <c r="L350" s="66">
        <f t="shared" si="215"/>
        <v>-1</v>
      </c>
      <c r="M350" s="61"/>
      <c r="N350" s="61"/>
      <c r="O350" s="66" t="e">
        <f t="shared" si="216"/>
        <v>#DIV/0!</v>
      </c>
      <c r="P350" s="61">
        <f t="shared" si="217"/>
        <v>3892</v>
      </c>
      <c r="Q350" s="61">
        <f t="shared" si="217"/>
        <v>0</v>
      </c>
      <c r="R350" s="66">
        <f t="shared" si="218"/>
        <v>-1</v>
      </c>
      <c r="S350" s="67"/>
      <c r="T350" s="67"/>
      <c r="U350" s="66" t="e">
        <f t="shared" si="219"/>
        <v>#DIV/0!</v>
      </c>
      <c r="V350" s="68">
        <f t="shared" si="220"/>
        <v>3892</v>
      </c>
      <c r="W350" s="68">
        <f t="shared" si="220"/>
        <v>0</v>
      </c>
      <c r="X350" s="66">
        <f t="shared" si="221"/>
        <v>-1</v>
      </c>
      <c r="Y350" s="61"/>
      <c r="Z350" s="61"/>
      <c r="AA350" s="66" t="e">
        <f t="shared" si="222"/>
        <v>#DIV/0!</v>
      </c>
      <c r="AB350" s="61">
        <f t="shared" si="241"/>
        <v>3892</v>
      </c>
      <c r="AC350" s="61">
        <f t="shared" si="241"/>
        <v>0</v>
      </c>
      <c r="AD350" s="66">
        <f t="shared" si="224"/>
        <v>-1</v>
      </c>
      <c r="AE350" s="61">
        <v>2240</v>
      </c>
      <c r="AF350" s="61"/>
      <c r="AG350" s="66">
        <f t="shared" si="225"/>
        <v>-1</v>
      </c>
      <c r="AH350" s="61">
        <f t="shared" si="242"/>
        <v>6132</v>
      </c>
      <c r="AI350" s="61">
        <f t="shared" si="242"/>
        <v>0</v>
      </c>
      <c r="AJ350" s="66">
        <f t="shared" si="227"/>
        <v>-1</v>
      </c>
      <c r="AK350" s="61"/>
      <c r="AL350" s="61"/>
      <c r="AM350" s="66" t="e">
        <f t="shared" si="228"/>
        <v>#DIV/0!</v>
      </c>
      <c r="AN350" s="61">
        <f t="shared" si="243"/>
        <v>6132</v>
      </c>
      <c r="AO350" s="61">
        <f t="shared" si="243"/>
        <v>0</v>
      </c>
      <c r="AP350" s="66">
        <f t="shared" si="230"/>
        <v>-1</v>
      </c>
      <c r="AQ350" s="67"/>
      <c r="AR350" s="67"/>
      <c r="AS350" s="66" t="e">
        <f t="shared" si="231"/>
        <v>#DIV/0!</v>
      </c>
      <c r="AT350" s="67">
        <f t="shared" si="244"/>
        <v>6132</v>
      </c>
      <c r="AU350" s="67">
        <f t="shared" si="244"/>
        <v>0</v>
      </c>
      <c r="AV350" s="66">
        <f t="shared" si="233"/>
        <v>-1</v>
      </c>
      <c r="AW350" s="61"/>
      <c r="AX350" s="61"/>
      <c r="AY350" s="66" t="e">
        <f t="shared" si="234"/>
        <v>#DIV/0!</v>
      </c>
      <c r="AZ350" s="61">
        <f t="shared" si="245"/>
        <v>6132</v>
      </c>
      <c r="BA350" s="61">
        <f t="shared" si="245"/>
        <v>0</v>
      </c>
      <c r="BB350" s="66">
        <f t="shared" si="236"/>
        <v>-1</v>
      </c>
      <c r="BC350" s="61"/>
      <c r="BD350" s="61"/>
      <c r="BE350" s="66" t="e">
        <f t="shared" si="237"/>
        <v>#DIV/0!</v>
      </c>
      <c r="BF350" s="61">
        <f t="shared" si="246"/>
        <v>6132</v>
      </c>
      <c r="BG350" s="61">
        <f t="shared" si="246"/>
        <v>0</v>
      </c>
      <c r="BH350" s="66">
        <f t="shared" si="239"/>
        <v>-1</v>
      </c>
      <c r="BI350" s="70"/>
      <c r="BJ350" s="61"/>
      <c r="BK350" s="61"/>
      <c r="BL350" s="61">
        <v>6132</v>
      </c>
      <c r="BM350" s="71" t="e">
        <f t="shared" si="240"/>
        <v>#DIV/0!</v>
      </c>
    </row>
    <row r="351" spans="1:65">
      <c r="A351" s="52" t="s">
        <v>414</v>
      </c>
      <c r="B351" s="53" t="s">
        <v>453</v>
      </c>
      <c r="C351" s="60" t="s">
        <v>486</v>
      </c>
      <c r="D351" s="61" t="s">
        <v>102</v>
      </c>
      <c r="E351" s="55" t="s">
        <v>102</v>
      </c>
      <c r="F351" s="55" t="s">
        <v>487</v>
      </c>
      <c r="G351" s="61" t="s">
        <v>487</v>
      </c>
      <c r="H351" s="53" t="s">
        <v>457</v>
      </c>
      <c r="I351" s="53">
        <v>0</v>
      </c>
      <c r="J351" s="61"/>
      <c r="K351" s="61"/>
      <c r="L351" s="66" t="e">
        <f t="shared" si="215"/>
        <v>#DIV/0!</v>
      </c>
      <c r="M351" s="61"/>
      <c r="N351" s="61"/>
      <c r="O351" s="66" t="e">
        <f t="shared" si="216"/>
        <v>#DIV/0!</v>
      </c>
      <c r="P351" s="61">
        <f t="shared" si="217"/>
        <v>0</v>
      </c>
      <c r="Q351" s="61">
        <f t="shared" si="217"/>
        <v>0</v>
      </c>
      <c r="R351" s="66" t="e">
        <f t="shared" si="218"/>
        <v>#DIV/0!</v>
      </c>
      <c r="S351" s="67"/>
      <c r="T351" s="67"/>
      <c r="U351" s="66" t="e">
        <f t="shared" si="219"/>
        <v>#DIV/0!</v>
      </c>
      <c r="V351" s="68">
        <f t="shared" si="220"/>
        <v>0</v>
      </c>
      <c r="W351" s="68">
        <f t="shared" si="220"/>
        <v>0</v>
      </c>
      <c r="X351" s="66" t="e">
        <f t="shared" si="221"/>
        <v>#DIV/0!</v>
      </c>
      <c r="Y351" s="61"/>
      <c r="Z351" s="61"/>
      <c r="AA351" s="66" t="e">
        <f t="shared" si="222"/>
        <v>#DIV/0!</v>
      </c>
      <c r="AB351" s="61">
        <f t="shared" si="241"/>
        <v>0</v>
      </c>
      <c r="AC351" s="61">
        <f t="shared" si="241"/>
        <v>0</v>
      </c>
      <c r="AD351" s="66" t="e">
        <f t="shared" si="224"/>
        <v>#DIV/0!</v>
      </c>
      <c r="AE351" s="61"/>
      <c r="AF351" s="61"/>
      <c r="AG351" s="66" t="e">
        <f t="shared" si="225"/>
        <v>#DIV/0!</v>
      </c>
      <c r="AH351" s="61">
        <f t="shared" si="242"/>
        <v>0</v>
      </c>
      <c r="AI351" s="61">
        <f t="shared" si="242"/>
        <v>0</v>
      </c>
      <c r="AJ351" s="66" t="e">
        <f t="shared" si="227"/>
        <v>#DIV/0!</v>
      </c>
      <c r="AK351" s="61"/>
      <c r="AL351" s="61"/>
      <c r="AM351" s="66" t="e">
        <f t="shared" si="228"/>
        <v>#DIV/0!</v>
      </c>
      <c r="AN351" s="61">
        <f t="shared" si="243"/>
        <v>0</v>
      </c>
      <c r="AO351" s="61">
        <f t="shared" si="243"/>
        <v>0</v>
      </c>
      <c r="AP351" s="66" t="e">
        <f t="shared" si="230"/>
        <v>#DIV/0!</v>
      </c>
      <c r="AQ351" s="67"/>
      <c r="AR351" s="67"/>
      <c r="AS351" s="66" t="e">
        <f t="shared" si="231"/>
        <v>#DIV/0!</v>
      </c>
      <c r="AT351" s="67">
        <f t="shared" si="244"/>
        <v>0</v>
      </c>
      <c r="AU351" s="67">
        <f t="shared" si="244"/>
        <v>0</v>
      </c>
      <c r="AV351" s="66" t="e">
        <f t="shared" si="233"/>
        <v>#DIV/0!</v>
      </c>
      <c r="AW351" s="61"/>
      <c r="AX351" s="61"/>
      <c r="AY351" s="66" t="e">
        <f t="shared" si="234"/>
        <v>#DIV/0!</v>
      </c>
      <c r="AZ351" s="61">
        <f t="shared" si="245"/>
        <v>0</v>
      </c>
      <c r="BA351" s="61">
        <f t="shared" si="245"/>
        <v>0</v>
      </c>
      <c r="BB351" s="66" t="e">
        <f t="shared" si="236"/>
        <v>#DIV/0!</v>
      </c>
      <c r="BC351" s="61"/>
      <c r="BD351" s="61"/>
      <c r="BE351" s="66" t="e">
        <f t="shared" si="237"/>
        <v>#DIV/0!</v>
      </c>
      <c r="BF351" s="61">
        <f t="shared" si="246"/>
        <v>0</v>
      </c>
      <c r="BG351" s="61">
        <f t="shared" si="246"/>
        <v>0</v>
      </c>
      <c r="BH351" s="66" t="e">
        <f t="shared" si="239"/>
        <v>#DIV/0!</v>
      </c>
      <c r="BI351" s="70"/>
      <c r="BJ351" s="61"/>
      <c r="BK351" s="61"/>
      <c r="BL351" s="61">
        <v>0</v>
      </c>
      <c r="BM351" s="71" t="e">
        <f t="shared" si="240"/>
        <v>#DIV/0!</v>
      </c>
    </row>
    <row r="352" spans="1:65">
      <c r="A352" s="52" t="s">
        <v>414</v>
      </c>
      <c r="B352" s="53" t="s">
        <v>453</v>
      </c>
      <c r="C352" s="60" t="s">
        <v>488</v>
      </c>
      <c r="D352" s="61" t="s">
        <v>102</v>
      </c>
      <c r="E352" s="55" t="s">
        <v>102</v>
      </c>
      <c r="F352" s="55" t="s">
        <v>455</v>
      </c>
      <c r="G352" s="61" t="s">
        <v>456</v>
      </c>
      <c r="H352" s="53" t="s">
        <v>457</v>
      </c>
      <c r="I352" s="53">
        <v>0</v>
      </c>
      <c r="J352" s="61"/>
      <c r="K352" s="61"/>
      <c r="L352" s="66" t="e">
        <f t="shared" si="215"/>
        <v>#DIV/0!</v>
      </c>
      <c r="M352" s="61"/>
      <c r="N352" s="61"/>
      <c r="O352" s="66" t="e">
        <f t="shared" si="216"/>
        <v>#DIV/0!</v>
      </c>
      <c r="P352" s="61">
        <f t="shared" si="217"/>
        <v>0</v>
      </c>
      <c r="Q352" s="61">
        <f t="shared" si="217"/>
        <v>0</v>
      </c>
      <c r="R352" s="66" t="e">
        <f t="shared" si="218"/>
        <v>#DIV/0!</v>
      </c>
      <c r="S352" s="67"/>
      <c r="T352" s="67"/>
      <c r="U352" s="66" t="e">
        <f t="shared" si="219"/>
        <v>#DIV/0!</v>
      </c>
      <c r="V352" s="68">
        <f t="shared" si="220"/>
        <v>0</v>
      </c>
      <c r="W352" s="68">
        <f t="shared" si="220"/>
        <v>0</v>
      </c>
      <c r="X352" s="66" t="e">
        <f t="shared" si="221"/>
        <v>#DIV/0!</v>
      </c>
      <c r="Y352" s="61"/>
      <c r="Z352" s="61"/>
      <c r="AA352" s="66" t="e">
        <f t="shared" si="222"/>
        <v>#DIV/0!</v>
      </c>
      <c r="AB352" s="61">
        <f t="shared" si="241"/>
        <v>0</v>
      </c>
      <c r="AC352" s="61">
        <f t="shared" si="241"/>
        <v>0</v>
      </c>
      <c r="AD352" s="66" t="e">
        <f t="shared" si="224"/>
        <v>#DIV/0!</v>
      </c>
      <c r="AE352" s="61"/>
      <c r="AF352" s="61"/>
      <c r="AG352" s="66" t="e">
        <f t="shared" si="225"/>
        <v>#DIV/0!</v>
      </c>
      <c r="AH352" s="61">
        <f t="shared" si="242"/>
        <v>0</v>
      </c>
      <c r="AI352" s="61">
        <f t="shared" si="242"/>
        <v>0</v>
      </c>
      <c r="AJ352" s="66" t="e">
        <f t="shared" si="227"/>
        <v>#DIV/0!</v>
      </c>
      <c r="AK352" s="61"/>
      <c r="AL352" s="61"/>
      <c r="AM352" s="66" t="e">
        <f t="shared" si="228"/>
        <v>#DIV/0!</v>
      </c>
      <c r="AN352" s="61">
        <f t="shared" si="243"/>
        <v>0</v>
      </c>
      <c r="AO352" s="61">
        <f t="shared" si="243"/>
        <v>0</v>
      </c>
      <c r="AP352" s="66" t="e">
        <f t="shared" si="230"/>
        <v>#DIV/0!</v>
      </c>
      <c r="AQ352" s="67"/>
      <c r="AR352" s="67"/>
      <c r="AS352" s="66" t="e">
        <f t="shared" si="231"/>
        <v>#DIV/0!</v>
      </c>
      <c r="AT352" s="67">
        <f t="shared" si="244"/>
        <v>0</v>
      </c>
      <c r="AU352" s="67">
        <f t="shared" si="244"/>
        <v>0</v>
      </c>
      <c r="AV352" s="66" t="e">
        <f t="shared" si="233"/>
        <v>#DIV/0!</v>
      </c>
      <c r="AW352" s="61"/>
      <c r="AX352" s="61"/>
      <c r="AY352" s="66" t="e">
        <f t="shared" si="234"/>
        <v>#DIV/0!</v>
      </c>
      <c r="AZ352" s="61">
        <f t="shared" si="245"/>
        <v>0</v>
      </c>
      <c r="BA352" s="61">
        <f t="shared" si="245"/>
        <v>0</v>
      </c>
      <c r="BB352" s="66" t="e">
        <f t="shared" si="236"/>
        <v>#DIV/0!</v>
      </c>
      <c r="BC352" s="61"/>
      <c r="BD352" s="61"/>
      <c r="BE352" s="66" t="e">
        <f t="shared" si="237"/>
        <v>#DIV/0!</v>
      </c>
      <c r="BF352" s="61">
        <f t="shared" si="246"/>
        <v>0</v>
      </c>
      <c r="BG352" s="61">
        <f t="shared" si="246"/>
        <v>0</v>
      </c>
      <c r="BH352" s="66" t="e">
        <f t="shared" si="239"/>
        <v>#DIV/0!</v>
      </c>
      <c r="BI352" s="70"/>
      <c r="BJ352" s="61"/>
      <c r="BK352" s="61"/>
      <c r="BL352" s="61">
        <v>0</v>
      </c>
      <c r="BM352" s="71" t="e">
        <f t="shared" si="240"/>
        <v>#DIV/0!</v>
      </c>
    </row>
    <row r="353" spans="1:65">
      <c r="A353" s="52" t="s">
        <v>414</v>
      </c>
      <c r="B353" s="53" t="s">
        <v>453</v>
      </c>
      <c r="C353" s="62" t="s">
        <v>489</v>
      </c>
      <c r="D353" s="61" t="s">
        <v>102</v>
      </c>
      <c r="E353" s="55" t="s">
        <v>102</v>
      </c>
      <c r="F353" s="55" t="s">
        <v>481</v>
      </c>
      <c r="G353" s="61" t="s">
        <v>481</v>
      </c>
      <c r="H353" s="53" t="s">
        <v>457</v>
      </c>
      <c r="I353" s="53"/>
      <c r="J353" s="61"/>
      <c r="K353" s="61"/>
      <c r="L353" s="66" t="e">
        <f t="shared" si="215"/>
        <v>#DIV/0!</v>
      </c>
      <c r="M353" s="61"/>
      <c r="N353" s="61"/>
      <c r="O353" s="66" t="e">
        <f t="shared" si="216"/>
        <v>#DIV/0!</v>
      </c>
      <c r="P353" s="61">
        <f t="shared" si="217"/>
        <v>0</v>
      </c>
      <c r="Q353" s="61">
        <f t="shared" si="217"/>
        <v>0</v>
      </c>
      <c r="R353" s="66" t="e">
        <f t="shared" si="218"/>
        <v>#DIV/0!</v>
      </c>
      <c r="S353" s="67">
        <v>43000</v>
      </c>
      <c r="T353" s="67"/>
      <c r="U353" s="66">
        <f t="shared" si="219"/>
        <v>-1</v>
      </c>
      <c r="V353" s="68">
        <f t="shared" si="220"/>
        <v>43000</v>
      </c>
      <c r="W353" s="68">
        <f t="shared" si="220"/>
        <v>0</v>
      </c>
      <c r="X353" s="66">
        <f t="shared" si="221"/>
        <v>-1</v>
      </c>
      <c r="Y353" s="61"/>
      <c r="Z353" s="61"/>
      <c r="AA353" s="66" t="e">
        <f t="shared" si="222"/>
        <v>#DIV/0!</v>
      </c>
      <c r="AB353" s="61">
        <f t="shared" si="241"/>
        <v>43000</v>
      </c>
      <c r="AC353" s="61">
        <f t="shared" si="241"/>
        <v>0</v>
      </c>
      <c r="AD353" s="66">
        <f t="shared" si="224"/>
        <v>-1</v>
      </c>
      <c r="AE353" s="61"/>
      <c r="AF353" s="61"/>
      <c r="AG353" s="66" t="e">
        <f t="shared" si="225"/>
        <v>#DIV/0!</v>
      </c>
      <c r="AH353" s="61">
        <f t="shared" si="242"/>
        <v>43000</v>
      </c>
      <c r="AI353" s="61">
        <f t="shared" si="242"/>
        <v>0</v>
      </c>
      <c r="AJ353" s="66">
        <f t="shared" si="227"/>
        <v>-1</v>
      </c>
      <c r="AK353" s="61"/>
      <c r="AL353" s="61"/>
      <c r="AM353" s="66" t="e">
        <f t="shared" si="228"/>
        <v>#DIV/0!</v>
      </c>
      <c r="AN353" s="61">
        <f t="shared" si="243"/>
        <v>43000</v>
      </c>
      <c r="AO353" s="61">
        <f t="shared" si="243"/>
        <v>0</v>
      </c>
      <c r="AP353" s="66">
        <f t="shared" si="230"/>
        <v>-1</v>
      </c>
      <c r="AQ353" s="67"/>
      <c r="AR353" s="67"/>
      <c r="AS353" s="66" t="e">
        <f t="shared" si="231"/>
        <v>#DIV/0!</v>
      </c>
      <c r="AT353" s="67">
        <f t="shared" si="244"/>
        <v>43000</v>
      </c>
      <c r="AU353" s="67">
        <f t="shared" si="244"/>
        <v>0</v>
      </c>
      <c r="AV353" s="66">
        <f t="shared" si="233"/>
        <v>-1</v>
      </c>
      <c r="AW353" s="61"/>
      <c r="AX353" s="61"/>
      <c r="AY353" s="66" t="e">
        <f t="shared" si="234"/>
        <v>#DIV/0!</v>
      </c>
      <c r="AZ353" s="61">
        <f t="shared" si="245"/>
        <v>43000</v>
      </c>
      <c r="BA353" s="61">
        <f t="shared" si="245"/>
        <v>0</v>
      </c>
      <c r="BB353" s="66">
        <f t="shared" si="236"/>
        <v>-1</v>
      </c>
      <c r="BC353" s="61"/>
      <c r="BD353" s="61"/>
      <c r="BE353" s="66" t="e">
        <f t="shared" si="237"/>
        <v>#DIV/0!</v>
      </c>
      <c r="BF353" s="61">
        <f t="shared" si="246"/>
        <v>43000</v>
      </c>
      <c r="BG353" s="61">
        <f t="shared" si="246"/>
        <v>0</v>
      </c>
      <c r="BH353" s="66">
        <f t="shared" si="239"/>
        <v>-1</v>
      </c>
      <c r="BI353" s="70"/>
      <c r="BJ353" s="61"/>
      <c r="BK353" s="61"/>
      <c r="BL353" s="61">
        <v>43000</v>
      </c>
      <c r="BM353" s="71" t="e">
        <f t="shared" si="240"/>
        <v>#DIV/0!</v>
      </c>
    </row>
    <row r="354" spans="1:65">
      <c r="A354" s="52" t="s">
        <v>414</v>
      </c>
      <c r="B354" s="53" t="s">
        <v>414</v>
      </c>
      <c r="C354" s="62" t="s">
        <v>490</v>
      </c>
      <c r="D354" s="61" t="s">
        <v>102</v>
      </c>
      <c r="E354" s="55" t="s">
        <v>102</v>
      </c>
      <c r="F354" s="55" t="s">
        <v>416</v>
      </c>
      <c r="G354" s="61" t="s">
        <v>416</v>
      </c>
      <c r="H354" s="53" t="s">
        <v>417</v>
      </c>
      <c r="I354" s="53">
        <v>11</v>
      </c>
      <c r="J354" s="61">
        <v>15920</v>
      </c>
      <c r="K354" s="61"/>
      <c r="L354" s="66">
        <f t="shared" si="215"/>
        <v>-1</v>
      </c>
      <c r="M354" s="61"/>
      <c r="N354" s="61"/>
      <c r="O354" s="66" t="e">
        <f t="shared" si="216"/>
        <v>#DIV/0!</v>
      </c>
      <c r="P354" s="61">
        <f t="shared" si="217"/>
        <v>15920</v>
      </c>
      <c r="Q354" s="61">
        <f t="shared" si="217"/>
        <v>0</v>
      </c>
      <c r="R354" s="66">
        <f t="shared" si="218"/>
        <v>-1</v>
      </c>
      <c r="S354" s="67"/>
      <c r="T354" s="67"/>
      <c r="U354" s="66" t="e">
        <f t="shared" si="219"/>
        <v>#DIV/0!</v>
      </c>
      <c r="V354" s="68">
        <f t="shared" si="220"/>
        <v>15920</v>
      </c>
      <c r="W354" s="68">
        <f t="shared" si="220"/>
        <v>0</v>
      </c>
      <c r="X354" s="66">
        <f t="shared" si="221"/>
        <v>-1</v>
      </c>
      <c r="Y354" s="61">
        <v>166</v>
      </c>
      <c r="Z354" s="61"/>
      <c r="AA354" s="66">
        <f t="shared" si="222"/>
        <v>-1</v>
      </c>
      <c r="AB354" s="61">
        <f t="shared" si="241"/>
        <v>16086</v>
      </c>
      <c r="AC354" s="61">
        <f t="shared" si="241"/>
        <v>0</v>
      </c>
      <c r="AD354" s="66">
        <f t="shared" si="224"/>
        <v>-1</v>
      </c>
      <c r="AE354" s="61">
        <v>14325</v>
      </c>
      <c r="AF354" s="61"/>
      <c r="AG354" s="66">
        <f t="shared" si="225"/>
        <v>-1</v>
      </c>
      <c r="AH354" s="61">
        <f t="shared" si="242"/>
        <v>30411</v>
      </c>
      <c r="AI354" s="61">
        <f t="shared" si="242"/>
        <v>0</v>
      </c>
      <c r="AJ354" s="66">
        <f t="shared" si="227"/>
        <v>-1</v>
      </c>
      <c r="AK354" s="61">
        <v>28545</v>
      </c>
      <c r="AL354" s="61"/>
      <c r="AM354" s="66">
        <f t="shared" si="228"/>
        <v>-1</v>
      </c>
      <c r="AN354" s="61">
        <f t="shared" si="243"/>
        <v>58956</v>
      </c>
      <c r="AO354" s="61">
        <f t="shared" si="243"/>
        <v>0</v>
      </c>
      <c r="AP354" s="66">
        <f t="shared" si="230"/>
        <v>-1</v>
      </c>
      <c r="AQ354" s="67">
        <v>24678</v>
      </c>
      <c r="AR354" s="67">
        <v>198</v>
      </c>
      <c r="AS354" s="66">
        <f t="shared" si="231"/>
        <v>-0.99197665937272061</v>
      </c>
      <c r="AT354" s="67">
        <f t="shared" si="244"/>
        <v>83634</v>
      </c>
      <c r="AU354" s="67">
        <f t="shared" si="244"/>
        <v>198</v>
      </c>
      <c r="AV354" s="66">
        <f t="shared" si="233"/>
        <v>-0.99763254178922445</v>
      </c>
      <c r="AW354" s="61"/>
      <c r="AX354" s="61"/>
      <c r="AY354" s="66" t="e">
        <f t="shared" si="234"/>
        <v>#DIV/0!</v>
      </c>
      <c r="AZ354" s="61">
        <f t="shared" si="245"/>
        <v>83634</v>
      </c>
      <c r="BA354" s="61">
        <f t="shared" si="245"/>
        <v>198</v>
      </c>
      <c r="BB354" s="66">
        <f t="shared" si="236"/>
        <v>-0.99763254178922445</v>
      </c>
      <c r="BC354" s="61">
        <v>16912</v>
      </c>
      <c r="BD354" s="61"/>
      <c r="BE354" s="66">
        <f t="shared" si="237"/>
        <v>-1</v>
      </c>
      <c r="BF354" s="61">
        <f t="shared" si="246"/>
        <v>100546</v>
      </c>
      <c r="BG354" s="61">
        <f t="shared" si="246"/>
        <v>198</v>
      </c>
      <c r="BH354" s="66">
        <f t="shared" si="239"/>
        <v>-0.99803075209356906</v>
      </c>
      <c r="BI354" s="70"/>
      <c r="BJ354" s="61"/>
      <c r="BK354" s="61"/>
      <c r="BL354" s="61">
        <v>100546</v>
      </c>
      <c r="BM354" s="71">
        <f t="shared" si="240"/>
        <v>1.8000000000000002E-3</v>
      </c>
    </row>
    <row r="355" spans="1:65">
      <c r="A355" s="52" t="s">
        <v>414</v>
      </c>
      <c r="B355" s="53" t="s">
        <v>453</v>
      </c>
      <c r="C355" s="62" t="s">
        <v>491</v>
      </c>
      <c r="D355" s="61" t="s">
        <v>61</v>
      </c>
      <c r="E355" s="55" t="s">
        <v>61</v>
      </c>
      <c r="F355" s="55" t="s">
        <v>492</v>
      </c>
      <c r="G355" s="61" t="s">
        <v>492</v>
      </c>
      <c r="H355" s="53" t="s">
        <v>457</v>
      </c>
      <c r="I355" s="53"/>
      <c r="J355" s="61">
        <v>8000</v>
      </c>
      <c r="K355" s="61"/>
      <c r="L355" s="66">
        <f t="shared" si="215"/>
        <v>-1</v>
      </c>
      <c r="M355" s="61"/>
      <c r="N355" s="61"/>
      <c r="O355" s="66" t="e">
        <f t="shared" si="216"/>
        <v>#DIV/0!</v>
      </c>
      <c r="P355" s="61">
        <f t="shared" si="217"/>
        <v>8000</v>
      </c>
      <c r="Q355" s="61">
        <f t="shared" si="217"/>
        <v>0</v>
      </c>
      <c r="R355" s="66">
        <f t="shared" si="218"/>
        <v>-1</v>
      </c>
      <c r="S355" s="67"/>
      <c r="T355" s="67"/>
      <c r="U355" s="66" t="e">
        <f t="shared" si="219"/>
        <v>#DIV/0!</v>
      </c>
      <c r="V355" s="68">
        <f t="shared" si="220"/>
        <v>8000</v>
      </c>
      <c r="W355" s="68">
        <f t="shared" si="220"/>
        <v>0</v>
      </c>
      <c r="X355" s="66">
        <f t="shared" si="221"/>
        <v>-1</v>
      </c>
      <c r="Y355" s="61"/>
      <c r="Z355" s="61"/>
      <c r="AA355" s="66" t="e">
        <f t="shared" si="222"/>
        <v>#DIV/0!</v>
      </c>
      <c r="AB355" s="61">
        <f t="shared" si="241"/>
        <v>8000</v>
      </c>
      <c r="AC355" s="61">
        <f t="shared" si="241"/>
        <v>0</v>
      </c>
      <c r="AD355" s="66">
        <f t="shared" si="224"/>
        <v>-1</v>
      </c>
      <c r="AE355" s="61"/>
      <c r="AF355" s="61"/>
      <c r="AG355" s="66" t="e">
        <f t="shared" si="225"/>
        <v>#DIV/0!</v>
      </c>
      <c r="AH355" s="61">
        <f t="shared" si="242"/>
        <v>8000</v>
      </c>
      <c r="AI355" s="61">
        <f t="shared" si="242"/>
        <v>0</v>
      </c>
      <c r="AJ355" s="66">
        <f t="shared" si="227"/>
        <v>-1</v>
      </c>
      <c r="AK355" s="61"/>
      <c r="AL355" s="61"/>
      <c r="AM355" s="66" t="e">
        <f t="shared" si="228"/>
        <v>#DIV/0!</v>
      </c>
      <c r="AN355" s="61">
        <f t="shared" si="243"/>
        <v>8000</v>
      </c>
      <c r="AO355" s="61">
        <f t="shared" si="243"/>
        <v>0</v>
      </c>
      <c r="AP355" s="66">
        <f t="shared" si="230"/>
        <v>-1</v>
      </c>
      <c r="AQ355" s="67"/>
      <c r="AR355" s="67"/>
      <c r="AS355" s="66" t="e">
        <f t="shared" si="231"/>
        <v>#DIV/0!</v>
      </c>
      <c r="AT355" s="67">
        <f t="shared" si="244"/>
        <v>8000</v>
      </c>
      <c r="AU355" s="67">
        <f t="shared" si="244"/>
        <v>0</v>
      </c>
      <c r="AV355" s="66">
        <f t="shared" si="233"/>
        <v>-1</v>
      </c>
      <c r="AW355" s="61"/>
      <c r="AX355" s="61"/>
      <c r="AY355" s="66" t="e">
        <f t="shared" si="234"/>
        <v>#DIV/0!</v>
      </c>
      <c r="AZ355" s="61">
        <f t="shared" si="245"/>
        <v>8000</v>
      </c>
      <c r="BA355" s="61">
        <f t="shared" si="245"/>
        <v>0</v>
      </c>
      <c r="BB355" s="66">
        <f t="shared" si="236"/>
        <v>-1</v>
      </c>
      <c r="BC355" s="61"/>
      <c r="BD355" s="61"/>
      <c r="BE355" s="66" t="e">
        <f t="shared" si="237"/>
        <v>#DIV/0!</v>
      </c>
      <c r="BF355" s="61">
        <f t="shared" si="246"/>
        <v>8000</v>
      </c>
      <c r="BG355" s="61">
        <f t="shared" si="246"/>
        <v>0</v>
      </c>
      <c r="BH355" s="66">
        <f t="shared" si="239"/>
        <v>-1</v>
      </c>
      <c r="BI355" s="70"/>
      <c r="BJ355" s="61"/>
      <c r="BK355" s="61"/>
      <c r="BL355" s="61">
        <v>8000</v>
      </c>
      <c r="BM355" s="71" t="e">
        <f t="shared" si="240"/>
        <v>#DIV/0!</v>
      </c>
    </row>
    <row r="356" spans="1:65">
      <c r="A356" s="52" t="s">
        <v>414</v>
      </c>
      <c r="B356" s="53" t="s">
        <v>414</v>
      </c>
      <c r="C356" s="62" t="s">
        <v>493</v>
      </c>
      <c r="D356" s="61" t="s">
        <v>102</v>
      </c>
      <c r="E356" s="55" t="s">
        <v>102</v>
      </c>
      <c r="F356" s="55" t="s">
        <v>420</v>
      </c>
      <c r="G356" s="61" t="s">
        <v>420</v>
      </c>
      <c r="H356" s="53" t="s">
        <v>417</v>
      </c>
      <c r="I356" s="53"/>
      <c r="J356" s="61"/>
      <c r="K356" s="61"/>
      <c r="L356" s="66" t="e">
        <f t="shared" si="215"/>
        <v>#DIV/0!</v>
      </c>
      <c r="M356" s="61"/>
      <c r="N356" s="61"/>
      <c r="O356" s="66" t="e">
        <f t="shared" si="216"/>
        <v>#DIV/0!</v>
      </c>
      <c r="P356" s="61">
        <f t="shared" si="217"/>
        <v>0</v>
      </c>
      <c r="Q356" s="61">
        <f t="shared" si="217"/>
        <v>0</v>
      </c>
      <c r="R356" s="66" t="e">
        <f t="shared" si="218"/>
        <v>#DIV/0!</v>
      </c>
      <c r="S356" s="67"/>
      <c r="T356" s="67"/>
      <c r="U356" s="66" t="e">
        <f t="shared" si="219"/>
        <v>#DIV/0!</v>
      </c>
      <c r="V356" s="68">
        <f t="shared" si="220"/>
        <v>0</v>
      </c>
      <c r="W356" s="68">
        <f t="shared" si="220"/>
        <v>0</v>
      </c>
      <c r="X356" s="66" t="e">
        <f t="shared" si="221"/>
        <v>#DIV/0!</v>
      </c>
      <c r="Y356" s="61"/>
      <c r="Z356" s="61"/>
      <c r="AA356" s="66" t="e">
        <f t="shared" si="222"/>
        <v>#DIV/0!</v>
      </c>
      <c r="AB356" s="61">
        <f t="shared" si="241"/>
        <v>0</v>
      </c>
      <c r="AC356" s="61">
        <f t="shared" si="241"/>
        <v>0</v>
      </c>
      <c r="AD356" s="66" t="e">
        <f t="shared" si="224"/>
        <v>#DIV/0!</v>
      </c>
      <c r="AE356" s="61"/>
      <c r="AF356" s="61"/>
      <c r="AG356" s="66" t="e">
        <f t="shared" si="225"/>
        <v>#DIV/0!</v>
      </c>
      <c r="AH356" s="61">
        <f t="shared" si="242"/>
        <v>0</v>
      </c>
      <c r="AI356" s="61">
        <f t="shared" si="242"/>
        <v>0</v>
      </c>
      <c r="AJ356" s="66" t="e">
        <f t="shared" si="227"/>
        <v>#DIV/0!</v>
      </c>
      <c r="AK356" s="61"/>
      <c r="AL356" s="61"/>
      <c r="AM356" s="66" t="e">
        <f t="shared" si="228"/>
        <v>#DIV/0!</v>
      </c>
      <c r="AN356" s="61">
        <f t="shared" si="243"/>
        <v>0</v>
      </c>
      <c r="AO356" s="61">
        <f t="shared" si="243"/>
        <v>0</v>
      </c>
      <c r="AP356" s="66" t="e">
        <f t="shared" si="230"/>
        <v>#DIV/0!</v>
      </c>
      <c r="AQ356" s="67"/>
      <c r="AR356" s="67"/>
      <c r="AS356" s="66" t="e">
        <f t="shared" si="231"/>
        <v>#DIV/0!</v>
      </c>
      <c r="AT356" s="67">
        <f t="shared" si="244"/>
        <v>0</v>
      </c>
      <c r="AU356" s="67">
        <f t="shared" si="244"/>
        <v>0</v>
      </c>
      <c r="AV356" s="66" t="e">
        <f t="shared" si="233"/>
        <v>#DIV/0!</v>
      </c>
      <c r="AW356" s="61"/>
      <c r="AX356" s="61"/>
      <c r="AY356" s="66" t="e">
        <f t="shared" si="234"/>
        <v>#DIV/0!</v>
      </c>
      <c r="AZ356" s="61">
        <f t="shared" si="245"/>
        <v>0</v>
      </c>
      <c r="BA356" s="61">
        <f t="shared" si="245"/>
        <v>0</v>
      </c>
      <c r="BB356" s="66" t="e">
        <f t="shared" si="236"/>
        <v>#DIV/0!</v>
      </c>
      <c r="BC356" s="61"/>
      <c r="BD356" s="61"/>
      <c r="BE356" s="66" t="e">
        <f t="shared" si="237"/>
        <v>#DIV/0!</v>
      </c>
      <c r="BF356" s="61">
        <f t="shared" si="246"/>
        <v>0</v>
      </c>
      <c r="BG356" s="61">
        <f t="shared" si="246"/>
        <v>0</v>
      </c>
      <c r="BH356" s="66" t="e">
        <f t="shared" si="239"/>
        <v>#DIV/0!</v>
      </c>
      <c r="BI356" s="70"/>
      <c r="BJ356" s="61"/>
      <c r="BK356" s="61"/>
      <c r="BL356" s="61">
        <v>0</v>
      </c>
      <c r="BM356" s="71" t="e">
        <f t="shared" si="240"/>
        <v>#DIV/0!</v>
      </c>
    </row>
    <row r="357" spans="1:65">
      <c r="A357" s="52" t="s">
        <v>414</v>
      </c>
      <c r="B357" s="53" t="s">
        <v>414</v>
      </c>
      <c r="C357" s="62" t="s">
        <v>494</v>
      </c>
      <c r="D357" s="61" t="s">
        <v>102</v>
      </c>
      <c r="E357" s="55" t="s">
        <v>102</v>
      </c>
      <c r="F357" s="55" t="s">
        <v>420</v>
      </c>
      <c r="G357" s="61" t="s">
        <v>420</v>
      </c>
      <c r="H357" s="53" t="s">
        <v>421</v>
      </c>
      <c r="I357" s="53"/>
      <c r="J357" s="61"/>
      <c r="K357" s="61"/>
      <c r="L357" s="66" t="e">
        <f t="shared" si="215"/>
        <v>#DIV/0!</v>
      </c>
      <c r="M357" s="61"/>
      <c r="N357" s="61"/>
      <c r="O357" s="66" t="e">
        <f t="shared" si="216"/>
        <v>#DIV/0!</v>
      </c>
      <c r="P357" s="61">
        <f t="shared" si="217"/>
        <v>0</v>
      </c>
      <c r="Q357" s="61">
        <f t="shared" si="217"/>
        <v>0</v>
      </c>
      <c r="R357" s="66" t="e">
        <f t="shared" si="218"/>
        <v>#DIV/0!</v>
      </c>
      <c r="S357" s="67"/>
      <c r="T357" s="67"/>
      <c r="U357" s="66" t="e">
        <f t="shared" si="219"/>
        <v>#DIV/0!</v>
      </c>
      <c r="V357" s="68">
        <f t="shared" si="220"/>
        <v>0</v>
      </c>
      <c r="W357" s="68">
        <f t="shared" si="220"/>
        <v>0</v>
      </c>
      <c r="X357" s="66" t="e">
        <f t="shared" si="221"/>
        <v>#DIV/0!</v>
      </c>
      <c r="Y357" s="61"/>
      <c r="Z357" s="61"/>
      <c r="AA357" s="66" t="e">
        <f t="shared" si="222"/>
        <v>#DIV/0!</v>
      </c>
      <c r="AB357" s="61">
        <f t="shared" si="241"/>
        <v>0</v>
      </c>
      <c r="AC357" s="61">
        <f t="shared" si="241"/>
        <v>0</v>
      </c>
      <c r="AD357" s="66" t="e">
        <f t="shared" si="224"/>
        <v>#DIV/0!</v>
      </c>
      <c r="AE357" s="61"/>
      <c r="AF357" s="61"/>
      <c r="AG357" s="66" t="e">
        <f t="shared" si="225"/>
        <v>#DIV/0!</v>
      </c>
      <c r="AH357" s="61">
        <f t="shared" si="242"/>
        <v>0</v>
      </c>
      <c r="AI357" s="61">
        <f t="shared" si="242"/>
        <v>0</v>
      </c>
      <c r="AJ357" s="66" t="e">
        <f t="shared" si="227"/>
        <v>#DIV/0!</v>
      </c>
      <c r="AK357" s="61"/>
      <c r="AL357" s="61"/>
      <c r="AM357" s="66" t="e">
        <f t="shared" si="228"/>
        <v>#DIV/0!</v>
      </c>
      <c r="AN357" s="61">
        <f t="shared" si="243"/>
        <v>0</v>
      </c>
      <c r="AO357" s="61">
        <f t="shared" si="243"/>
        <v>0</v>
      </c>
      <c r="AP357" s="66" t="e">
        <f t="shared" si="230"/>
        <v>#DIV/0!</v>
      </c>
      <c r="AQ357" s="67"/>
      <c r="AR357" s="67"/>
      <c r="AS357" s="66" t="e">
        <f t="shared" si="231"/>
        <v>#DIV/0!</v>
      </c>
      <c r="AT357" s="67">
        <f t="shared" si="244"/>
        <v>0</v>
      </c>
      <c r="AU357" s="67">
        <f t="shared" si="244"/>
        <v>0</v>
      </c>
      <c r="AV357" s="66" t="e">
        <f t="shared" si="233"/>
        <v>#DIV/0!</v>
      </c>
      <c r="AW357" s="61"/>
      <c r="AX357" s="61"/>
      <c r="AY357" s="66" t="e">
        <f t="shared" si="234"/>
        <v>#DIV/0!</v>
      </c>
      <c r="AZ357" s="61">
        <f t="shared" si="245"/>
        <v>0</v>
      </c>
      <c r="BA357" s="61">
        <f t="shared" si="245"/>
        <v>0</v>
      </c>
      <c r="BB357" s="66" t="e">
        <f t="shared" si="236"/>
        <v>#DIV/0!</v>
      </c>
      <c r="BC357" s="61"/>
      <c r="BD357" s="61"/>
      <c r="BE357" s="66" t="e">
        <f t="shared" si="237"/>
        <v>#DIV/0!</v>
      </c>
      <c r="BF357" s="61">
        <f t="shared" si="246"/>
        <v>0</v>
      </c>
      <c r="BG357" s="61">
        <f t="shared" si="246"/>
        <v>0</v>
      </c>
      <c r="BH357" s="66" t="e">
        <f t="shared" si="239"/>
        <v>#DIV/0!</v>
      </c>
      <c r="BI357" s="70"/>
      <c r="BJ357" s="61"/>
      <c r="BK357" s="61"/>
      <c r="BL357" s="61">
        <v>0</v>
      </c>
      <c r="BM357" s="71" t="e">
        <f t="shared" si="240"/>
        <v>#DIV/0!</v>
      </c>
    </row>
    <row r="358" spans="1:65">
      <c r="A358" s="52" t="s">
        <v>414</v>
      </c>
      <c r="B358" s="53" t="s">
        <v>453</v>
      </c>
      <c r="C358" s="60" t="s">
        <v>495</v>
      </c>
      <c r="D358" s="55" t="s">
        <v>61</v>
      </c>
      <c r="E358" s="55" t="s">
        <v>61</v>
      </c>
      <c r="F358" s="55" t="s">
        <v>455</v>
      </c>
      <c r="G358" s="53" t="s">
        <v>455</v>
      </c>
      <c r="H358" s="53" t="s">
        <v>457</v>
      </c>
      <c r="I358" s="53">
        <v>30</v>
      </c>
      <c r="J358" s="61"/>
      <c r="K358" s="61"/>
      <c r="L358" s="66" t="e">
        <f t="shared" si="215"/>
        <v>#DIV/0!</v>
      </c>
      <c r="M358" s="61"/>
      <c r="N358" s="61"/>
      <c r="O358" s="66" t="e">
        <f t="shared" si="216"/>
        <v>#DIV/0!</v>
      </c>
      <c r="P358" s="61">
        <f t="shared" si="217"/>
        <v>0</v>
      </c>
      <c r="Q358" s="61">
        <f t="shared" si="217"/>
        <v>0</v>
      </c>
      <c r="R358" s="66" t="e">
        <f t="shared" si="218"/>
        <v>#DIV/0!</v>
      </c>
      <c r="S358" s="67"/>
      <c r="T358" s="67"/>
      <c r="U358" s="66" t="e">
        <f t="shared" si="219"/>
        <v>#DIV/0!</v>
      </c>
      <c r="V358" s="68">
        <f t="shared" si="220"/>
        <v>0</v>
      </c>
      <c r="W358" s="68">
        <f t="shared" si="220"/>
        <v>0</v>
      </c>
      <c r="X358" s="66" t="e">
        <f t="shared" si="221"/>
        <v>#DIV/0!</v>
      </c>
      <c r="Y358" s="61"/>
      <c r="Z358" s="61"/>
      <c r="AA358" s="66" t="e">
        <f t="shared" si="222"/>
        <v>#DIV/0!</v>
      </c>
      <c r="AB358" s="61">
        <f t="shared" si="241"/>
        <v>0</v>
      </c>
      <c r="AC358" s="61">
        <f t="shared" si="241"/>
        <v>0</v>
      </c>
      <c r="AD358" s="66" t="e">
        <f t="shared" si="224"/>
        <v>#DIV/0!</v>
      </c>
      <c r="AE358" s="61"/>
      <c r="AF358" s="61"/>
      <c r="AG358" s="66" t="e">
        <f t="shared" si="225"/>
        <v>#DIV/0!</v>
      </c>
      <c r="AH358" s="61">
        <f t="shared" si="242"/>
        <v>0</v>
      </c>
      <c r="AI358" s="61">
        <f t="shared" si="242"/>
        <v>0</v>
      </c>
      <c r="AJ358" s="66" t="e">
        <f t="shared" si="227"/>
        <v>#DIV/0!</v>
      </c>
      <c r="AK358" s="61"/>
      <c r="AL358" s="61"/>
      <c r="AM358" s="66" t="e">
        <f t="shared" si="228"/>
        <v>#DIV/0!</v>
      </c>
      <c r="AN358" s="61">
        <f t="shared" si="243"/>
        <v>0</v>
      </c>
      <c r="AO358" s="61">
        <f t="shared" si="243"/>
        <v>0</v>
      </c>
      <c r="AP358" s="66" t="e">
        <f t="shared" si="230"/>
        <v>#DIV/0!</v>
      </c>
      <c r="AQ358" s="67"/>
      <c r="AR358" s="67">
        <v>116864</v>
      </c>
      <c r="AS358" s="66" t="e">
        <f t="shared" si="231"/>
        <v>#DIV/0!</v>
      </c>
      <c r="AT358" s="67">
        <f t="shared" si="244"/>
        <v>0</v>
      </c>
      <c r="AU358" s="67">
        <f t="shared" si="244"/>
        <v>116864</v>
      </c>
      <c r="AV358" s="66" t="e">
        <f t="shared" si="233"/>
        <v>#DIV/0!</v>
      </c>
      <c r="AW358" s="61"/>
      <c r="AX358" s="61">
        <v>4500</v>
      </c>
      <c r="AY358" s="66" t="e">
        <f t="shared" si="234"/>
        <v>#DIV/0!</v>
      </c>
      <c r="AZ358" s="61">
        <f t="shared" si="245"/>
        <v>0</v>
      </c>
      <c r="BA358" s="61">
        <f t="shared" si="245"/>
        <v>121364</v>
      </c>
      <c r="BB358" s="66" t="e">
        <f t="shared" si="236"/>
        <v>#DIV/0!</v>
      </c>
      <c r="BC358" s="61"/>
      <c r="BD358" s="61"/>
      <c r="BE358" s="66" t="e">
        <f t="shared" si="237"/>
        <v>#DIV/0!</v>
      </c>
      <c r="BF358" s="61">
        <f t="shared" si="246"/>
        <v>0</v>
      </c>
      <c r="BG358" s="61">
        <f t="shared" si="246"/>
        <v>121364</v>
      </c>
      <c r="BH358" s="66" t="e">
        <f t="shared" si="239"/>
        <v>#DIV/0!</v>
      </c>
      <c r="BI358" s="70"/>
      <c r="BJ358" s="61"/>
      <c r="BK358" s="61"/>
      <c r="BL358" s="61">
        <v>0</v>
      </c>
      <c r="BM358" s="71">
        <f t="shared" si="240"/>
        <v>0.40454666666666667</v>
      </c>
    </row>
    <row r="359" spans="1:65">
      <c r="A359" s="52" t="s">
        <v>414</v>
      </c>
      <c r="B359" s="53" t="s">
        <v>414</v>
      </c>
      <c r="C359" s="60" t="s">
        <v>496</v>
      </c>
      <c r="D359" s="55" t="s">
        <v>61</v>
      </c>
      <c r="E359" s="55" t="s">
        <v>61</v>
      </c>
      <c r="F359" s="55" t="s">
        <v>420</v>
      </c>
      <c r="G359" s="53" t="s">
        <v>420</v>
      </c>
      <c r="H359" s="53" t="s">
        <v>421</v>
      </c>
      <c r="I359" s="53"/>
      <c r="J359" s="61"/>
      <c r="K359" s="61"/>
      <c r="L359" s="66" t="e">
        <f t="shared" si="215"/>
        <v>#DIV/0!</v>
      </c>
      <c r="M359" s="61"/>
      <c r="N359" s="61"/>
      <c r="O359" s="66" t="e">
        <f t="shared" si="216"/>
        <v>#DIV/0!</v>
      </c>
      <c r="P359" s="61">
        <f t="shared" si="217"/>
        <v>0</v>
      </c>
      <c r="Q359" s="61">
        <f t="shared" si="217"/>
        <v>0</v>
      </c>
      <c r="R359" s="66" t="e">
        <f t="shared" si="218"/>
        <v>#DIV/0!</v>
      </c>
      <c r="S359" s="67"/>
      <c r="T359" s="67"/>
      <c r="U359" s="66" t="e">
        <f t="shared" si="219"/>
        <v>#DIV/0!</v>
      </c>
      <c r="V359" s="68">
        <f t="shared" si="220"/>
        <v>0</v>
      </c>
      <c r="W359" s="68">
        <f t="shared" si="220"/>
        <v>0</v>
      </c>
      <c r="X359" s="66" t="e">
        <f t="shared" si="221"/>
        <v>#DIV/0!</v>
      </c>
      <c r="Y359" s="61"/>
      <c r="Z359" s="61"/>
      <c r="AA359" s="66" t="e">
        <f t="shared" si="222"/>
        <v>#DIV/0!</v>
      </c>
      <c r="AB359" s="61">
        <f t="shared" si="241"/>
        <v>0</v>
      </c>
      <c r="AC359" s="61">
        <f t="shared" si="241"/>
        <v>0</v>
      </c>
      <c r="AD359" s="66" t="e">
        <f t="shared" si="224"/>
        <v>#DIV/0!</v>
      </c>
      <c r="AE359" s="61"/>
      <c r="AF359" s="61"/>
      <c r="AG359" s="66" t="e">
        <f t="shared" si="225"/>
        <v>#DIV/0!</v>
      </c>
      <c r="AH359" s="61">
        <f t="shared" si="242"/>
        <v>0</v>
      </c>
      <c r="AI359" s="61">
        <f t="shared" si="242"/>
        <v>0</v>
      </c>
      <c r="AJ359" s="66" t="e">
        <f t="shared" si="227"/>
        <v>#DIV/0!</v>
      </c>
      <c r="AK359" s="61"/>
      <c r="AL359" s="61"/>
      <c r="AM359" s="66" t="e">
        <f t="shared" si="228"/>
        <v>#DIV/0!</v>
      </c>
      <c r="AN359" s="61">
        <f t="shared" si="243"/>
        <v>0</v>
      </c>
      <c r="AO359" s="61">
        <f t="shared" si="243"/>
        <v>0</v>
      </c>
      <c r="AP359" s="66" t="e">
        <f t="shared" si="230"/>
        <v>#DIV/0!</v>
      </c>
      <c r="AQ359" s="67"/>
      <c r="AR359" s="67"/>
      <c r="AS359" s="66" t="e">
        <f t="shared" si="231"/>
        <v>#DIV/0!</v>
      </c>
      <c r="AT359" s="67">
        <f t="shared" si="244"/>
        <v>0</v>
      </c>
      <c r="AU359" s="67">
        <f t="shared" si="244"/>
        <v>0</v>
      </c>
      <c r="AV359" s="66" t="e">
        <f t="shared" si="233"/>
        <v>#DIV/0!</v>
      </c>
      <c r="AW359" s="61"/>
      <c r="AX359" s="61"/>
      <c r="AY359" s="66" t="e">
        <f t="shared" si="234"/>
        <v>#DIV/0!</v>
      </c>
      <c r="AZ359" s="61">
        <f t="shared" si="245"/>
        <v>0</v>
      </c>
      <c r="BA359" s="61">
        <f t="shared" si="245"/>
        <v>0</v>
      </c>
      <c r="BB359" s="66" t="e">
        <f t="shared" si="236"/>
        <v>#DIV/0!</v>
      </c>
      <c r="BC359" s="61"/>
      <c r="BD359" s="61"/>
      <c r="BE359" s="66" t="e">
        <f t="shared" si="237"/>
        <v>#DIV/0!</v>
      </c>
      <c r="BF359" s="61">
        <f t="shared" si="246"/>
        <v>0</v>
      </c>
      <c r="BG359" s="61">
        <f t="shared" si="246"/>
        <v>0</v>
      </c>
      <c r="BH359" s="66" t="e">
        <f t="shared" si="239"/>
        <v>#DIV/0!</v>
      </c>
      <c r="BI359" s="70"/>
      <c r="BJ359" s="61"/>
      <c r="BK359" s="61"/>
      <c r="BL359" s="61">
        <v>0</v>
      </c>
      <c r="BM359" s="71" t="e">
        <f t="shared" si="240"/>
        <v>#DIV/0!</v>
      </c>
    </row>
    <row r="360" spans="1:65">
      <c r="A360" s="52" t="s">
        <v>414</v>
      </c>
      <c r="B360" s="53" t="s">
        <v>414</v>
      </c>
      <c r="C360" s="60" t="s">
        <v>497</v>
      </c>
      <c r="D360" s="61" t="s">
        <v>102</v>
      </c>
      <c r="E360" s="55" t="s">
        <v>102</v>
      </c>
      <c r="F360" s="55" t="s">
        <v>428</v>
      </c>
      <c r="G360" s="53" t="s">
        <v>428</v>
      </c>
      <c r="H360" s="53" t="s">
        <v>421</v>
      </c>
      <c r="I360" s="53"/>
      <c r="J360" s="61">
        <v>1790</v>
      </c>
      <c r="K360" s="61"/>
      <c r="L360" s="66">
        <f t="shared" si="215"/>
        <v>-1</v>
      </c>
      <c r="M360" s="61"/>
      <c r="N360" s="61"/>
      <c r="O360" s="66" t="e">
        <f t="shared" si="216"/>
        <v>#DIV/0!</v>
      </c>
      <c r="P360" s="61">
        <f t="shared" si="217"/>
        <v>1790</v>
      </c>
      <c r="Q360" s="61">
        <f t="shared" si="217"/>
        <v>0</v>
      </c>
      <c r="R360" s="66">
        <f t="shared" si="218"/>
        <v>-1</v>
      </c>
      <c r="S360" s="67"/>
      <c r="T360" s="67"/>
      <c r="U360" s="66" t="e">
        <f t="shared" si="219"/>
        <v>#DIV/0!</v>
      </c>
      <c r="V360" s="68">
        <f t="shared" si="220"/>
        <v>1790</v>
      </c>
      <c r="W360" s="68">
        <f t="shared" si="220"/>
        <v>0</v>
      </c>
      <c r="X360" s="66">
        <f t="shared" si="221"/>
        <v>-1</v>
      </c>
      <c r="Y360" s="61"/>
      <c r="Z360" s="61"/>
      <c r="AA360" s="66" t="e">
        <f t="shared" si="222"/>
        <v>#DIV/0!</v>
      </c>
      <c r="AB360" s="61">
        <f t="shared" si="241"/>
        <v>1790</v>
      </c>
      <c r="AC360" s="61">
        <f t="shared" si="241"/>
        <v>0</v>
      </c>
      <c r="AD360" s="66">
        <f t="shared" si="224"/>
        <v>-1</v>
      </c>
      <c r="AE360" s="61"/>
      <c r="AF360" s="61"/>
      <c r="AG360" s="66" t="e">
        <f t="shared" si="225"/>
        <v>#DIV/0!</v>
      </c>
      <c r="AH360" s="61">
        <f t="shared" si="242"/>
        <v>1790</v>
      </c>
      <c r="AI360" s="61">
        <f t="shared" si="242"/>
        <v>0</v>
      </c>
      <c r="AJ360" s="66">
        <f t="shared" si="227"/>
        <v>-1</v>
      </c>
      <c r="AK360" s="61"/>
      <c r="AL360" s="61"/>
      <c r="AM360" s="66" t="e">
        <f t="shared" si="228"/>
        <v>#DIV/0!</v>
      </c>
      <c r="AN360" s="61">
        <f t="shared" si="243"/>
        <v>1790</v>
      </c>
      <c r="AO360" s="61">
        <f t="shared" si="243"/>
        <v>0</v>
      </c>
      <c r="AP360" s="66">
        <f t="shared" si="230"/>
        <v>-1</v>
      </c>
      <c r="AQ360" s="67"/>
      <c r="AR360" s="67"/>
      <c r="AS360" s="66" t="e">
        <f t="shared" si="231"/>
        <v>#DIV/0!</v>
      </c>
      <c r="AT360" s="67">
        <f t="shared" si="244"/>
        <v>1790</v>
      </c>
      <c r="AU360" s="67">
        <f t="shared" si="244"/>
        <v>0</v>
      </c>
      <c r="AV360" s="66">
        <f t="shared" si="233"/>
        <v>-1</v>
      </c>
      <c r="AW360" s="61"/>
      <c r="AX360" s="61"/>
      <c r="AY360" s="66" t="e">
        <f t="shared" si="234"/>
        <v>#DIV/0!</v>
      </c>
      <c r="AZ360" s="61">
        <f t="shared" si="245"/>
        <v>1790</v>
      </c>
      <c r="BA360" s="61">
        <f t="shared" si="245"/>
        <v>0</v>
      </c>
      <c r="BB360" s="66">
        <f t="shared" si="236"/>
        <v>-1</v>
      </c>
      <c r="BC360" s="61"/>
      <c r="BD360" s="61"/>
      <c r="BE360" s="66" t="e">
        <f t="shared" si="237"/>
        <v>#DIV/0!</v>
      </c>
      <c r="BF360" s="61">
        <f t="shared" si="246"/>
        <v>1790</v>
      </c>
      <c r="BG360" s="61">
        <f t="shared" si="246"/>
        <v>0</v>
      </c>
      <c r="BH360" s="66">
        <f t="shared" si="239"/>
        <v>-1</v>
      </c>
      <c r="BI360" s="70"/>
      <c r="BJ360" s="61"/>
      <c r="BK360" s="61"/>
      <c r="BL360" s="61">
        <v>1790</v>
      </c>
      <c r="BM360" s="71" t="e">
        <f t="shared" si="240"/>
        <v>#DIV/0!</v>
      </c>
    </row>
    <row r="361" spans="1:65">
      <c r="A361" s="52" t="s">
        <v>414</v>
      </c>
      <c r="B361" s="53" t="s">
        <v>414</v>
      </c>
      <c r="C361" s="60" t="s">
        <v>498</v>
      </c>
      <c r="D361" s="55" t="s">
        <v>61</v>
      </c>
      <c r="E361" s="55" t="s">
        <v>61</v>
      </c>
      <c r="F361" s="55" t="s">
        <v>431</v>
      </c>
      <c r="G361" s="53" t="s">
        <v>431</v>
      </c>
      <c r="H361" s="53" t="s">
        <v>417</v>
      </c>
      <c r="I361" s="53"/>
      <c r="J361" s="61">
        <v>5100</v>
      </c>
      <c r="K361" s="61"/>
      <c r="L361" s="66">
        <f t="shared" si="215"/>
        <v>-1</v>
      </c>
      <c r="M361" s="61"/>
      <c r="N361" s="61"/>
      <c r="O361" s="66" t="e">
        <f t="shared" si="216"/>
        <v>#DIV/0!</v>
      </c>
      <c r="P361" s="61">
        <f t="shared" si="217"/>
        <v>5100</v>
      </c>
      <c r="Q361" s="61">
        <f t="shared" si="217"/>
        <v>0</v>
      </c>
      <c r="R361" s="66">
        <f t="shared" si="218"/>
        <v>-1</v>
      </c>
      <c r="S361" s="67"/>
      <c r="T361" s="67"/>
      <c r="U361" s="66" t="e">
        <f t="shared" si="219"/>
        <v>#DIV/0!</v>
      </c>
      <c r="V361" s="68">
        <f t="shared" si="220"/>
        <v>5100</v>
      </c>
      <c r="W361" s="68">
        <f t="shared" si="220"/>
        <v>0</v>
      </c>
      <c r="X361" s="66">
        <f t="shared" si="221"/>
        <v>-1</v>
      </c>
      <c r="Y361" s="61"/>
      <c r="Z361" s="61"/>
      <c r="AA361" s="66" t="e">
        <f t="shared" si="222"/>
        <v>#DIV/0!</v>
      </c>
      <c r="AB361" s="61">
        <f t="shared" si="241"/>
        <v>5100</v>
      </c>
      <c r="AC361" s="61">
        <f t="shared" si="241"/>
        <v>0</v>
      </c>
      <c r="AD361" s="66">
        <f t="shared" si="224"/>
        <v>-1</v>
      </c>
      <c r="AE361" s="61"/>
      <c r="AF361" s="61"/>
      <c r="AG361" s="66" t="e">
        <f t="shared" si="225"/>
        <v>#DIV/0!</v>
      </c>
      <c r="AH361" s="61">
        <f t="shared" si="242"/>
        <v>5100</v>
      </c>
      <c r="AI361" s="61">
        <f t="shared" si="242"/>
        <v>0</v>
      </c>
      <c r="AJ361" s="66">
        <f t="shared" si="227"/>
        <v>-1</v>
      </c>
      <c r="AK361" s="61"/>
      <c r="AL361" s="61"/>
      <c r="AM361" s="66" t="e">
        <f t="shared" si="228"/>
        <v>#DIV/0!</v>
      </c>
      <c r="AN361" s="61">
        <f t="shared" si="243"/>
        <v>5100</v>
      </c>
      <c r="AO361" s="61">
        <f t="shared" si="243"/>
        <v>0</v>
      </c>
      <c r="AP361" s="66">
        <f t="shared" si="230"/>
        <v>-1</v>
      </c>
      <c r="AQ361" s="67"/>
      <c r="AR361" s="67"/>
      <c r="AS361" s="66" t="e">
        <f t="shared" si="231"/>
        <v>#DIV/0!</v>
      </c>
      <c r="AT361" s="67">
        <f t="shared" si="244"/>
        <v>5100</v>
      </c>
      <c r="AU361" s="67">
        <f t="shared" si="244"/>
        <v>0</v>
      </c>
      <c r="AV361" s="66">
        <f t="shared" si="233"/>
        <v>-1</v>
      </c>
      <c r="AW361" s="61"/>
      <c r="AX361" s="61"/>
      <c r="AY361" s="66" t="e">
        <f t="shared" si="234"/>
        <v>#DIV/0!</v>
      </c>
      <c r="AZ361" s="61">
        <f t="shared" si="245"/>
        <v>5100</v>
      </c>
      <c r="BA361" s="61">
        <f t="shared" si="245"/>
        <v>0</v>
      </c>
      <c r="BB361" s="66">
        <f t="shared" si="236"/>
        <v>-1</v>
      </c>
      <c r="BC361" s="61"/>
      <c r="BD361" s="61"/>
      <c r="BE361" s="66" t="e">
        <f t="shared" si="237"/>
        <v>#DIV/0!</v>
      </c>
      <c r="BF361" s="61">
        <f t="shared" si="246"/>
        <v>5100</v>
      </c>
      <c r="BG361" s="61">
        <f t="shared" si="246"/>
        <v>0</v>
      </c>
      <c r="BH361" s="66">
        <f t="shared" si="239"/>
        <v>-1</v>
      </c>
      <c r="BI361" s="70"/>
      <c r="BJ361" s="61"/>
      <c r="BK361" s="61"/>
      <c r="BL361" s="61">
        <v>5100</v>
      </c>
      <c r="BM361" s="71" t="e">
        <f t="shared" si="240"/>
        <v>#DIV/0!</v>
      </c>
    </row>
    <row r="362" spans="1:65">
      <c r="A362" s="52" t="s">
        <v>414</v>
      </c>
      <c r="B362" s="53" t="s">
        <v>414</v>
      </c>
      <c r="C362" s="60" t="s">
        <v>499</v>
      </c>
      <c r="D362" s="55" t="s">
        <v>61</v>
      </c>
      <c r="E362" s="55" t="s">
        <v>61</v>
      </c>
      <c r="F362" s="55" t="s">
        <v>431</v>
      </c>
      <c r="G362" s="53" t="s">
        <v>431</v>
      </c>
      <c r="H362" s="53" t="s">
        <v>417</v>
      </c>
      <c r="I362" s="53">
        <v>10</v>
      </c>
      <c r="J362" s="61">
        <v>19260</v>
      </c>
      <c r="K362" s="61">
        <v>10740</v>
      </c>
      <c r="L362" s="66">
        <f t="shared" si="215"/>
        <v>-0.44236760124610597</v>
      </c>
      <c r="M362" s="61"/>
      <c r="N362" s="61"/>
      <c r="O362" s="66" t="e">
        <f t="shared" si="216"/>
        <v>#DIV/0!</v>
      </c>
      <c r="P362" s="61">
        <f t="shared" si="217"/>
        <v>19260</v>
      </c>
      <c r="Q362" s="61">
        <f t="shared" si="217"/>
        <v>10740</v>
      </c>
      <c r="R362" s="66">
        <f t="shared" si="218"/>
        <v>-0.44236760124610597</v>
      </c>
      <c r="S362" s="67">
        <v>7850</v>
      </c>
      <c r="T362" s="67"/>
      <c r="U362" s="66">
        <f t="shared" si="219"/>
        <v>-1</v>
      </c>
      <c r="V362" s="68">
        <f t="shared" si="220"/>
        <v>27110</v>
      </c>
      <c r="W362" s="68">
        <f t="shared" si="220"/>
        <v>10740</v>
      </c>
      <c r="X362" s="66">
        <f t="shared" si="221"/>
        <v>-0.60383622279601623</v>
      </c>
      <c r="Y362" s="61">
        <v>1740</v>
      </c>
      <c r="Z362" s="61">
        <v>5491</v>
      </c>
      <c r="AA362" s="66">
        <f t="shared" si="222"/>
        <v>2.1557471264367818</v>
      </c>
      <c r="AB362" s="61">
        <f t="shared" si="241"/>
        <v>28850</v>
      </c>
      <c r="AC362" s="61">
        <f t="shared" si="241"/>
        <v>16231</v>
      </c>
      <c r="AD362" s="66">
        <f t="shared" si="224"/>
        <v>-0.43740034662045058</v>
      </c>
      <c r="AE362" s="61">
        <v>49370</v>
      </c>
      <c r="AF362" s="61">
        <v>12884</v>
      </c>
      <c r="AG362" s="66">
        <f t="shared" si="225"/>
        <v>-0.73903180068867735</v>
      </c>
      <c r="AH362" s="61">
        <f t="shared" si="242"/>
        <v>78220</v>
      </c>
      <c r="AI362" s="61">
        <f t="shared" si="242"/>
        <v>29115</v>
      </c>
      <c r="AJ362" s="66">
        <f t="shared" si="227"/>
        <v>-0.62778061876757862</v>
      </c>
      <c r="AK362" s="61">
        <v>4800</v>
      </c>
      <c r="AL362" s="61">
        <v>4541</v>
      </c>
      <c r="AM362" s="66">
        <f t="shared" si="228"/>
        <v>-5.395833333333333E-2</v>
      </c>
      <c r="AN362" s="61">
        <f t="shared" si="243"/>
        <v>83020</v>
      </c>
      <c r="AO362" s="61">
        <f t="shared" si="243"/>
        <v>33656</v>
      </c>
      <c r="AP362" s="66">
        <f t="shared" si="230"/>
        <v>-0.5946037099494097</v>
      </c>
      <c r="AQ362" s="67"/>
      <c r="AR362" s="67"/>
      <c r="AS362" s="66" t="e">
        <f t="shared" si="231"/>
        <v>#DIV/0!</v>
      </c>
      <c r="AT362" s="67">
        <f t="shared" si="244"/>
        <v>83020</v>
      </c>
      <c r="AU362" s="67">
        <f t="shared" si="244"/>
        <v>33656</v>
      </c>
      <c r="AV362" s="66">
        <f t="shared" si="233"/>
        <v>-0.5946037099494097</v>
      </c>
      <c r="AW362" s="61"/>
      <c r="AX362" s="61"/>
      <c r="AY362" s="66" t="e">
        <f t="shared" si="234"/>
        <v>#DIV/0!</v>
      </c>
      <c r="AZ362" s="61">
        <f t="shared" si="245"/>
        <v>83020</v>
      </c>
      <c r="BA362" s="61">
        <f t="shared" si="245"/>
        <v>33656</v>
      </c>
      <c r="BB362" s="66">
        <f t="shared" si="236"/>
        <v>-0.5946037099494097</v>
      </c>
      <c r="BC362" s="61">
        <v>9010</v>
      </c>
      <c r="BD362" s="61">
        <v>1838</v>
      </c>
      <c r="BE362" s="66">
        <f t="shared" si="237"/>
        <v>-0.79600443951165367</v>
      </c>
      <c r="BF362" s="61">
        <f t="shared" si="246"/>
        <v>92030</v>
      </c>
      <c r="BG362" s="61">
        <f t="shared" si="246"/>
        <v>35494</v>
      </c>
      <c r="BH362" s="66">
        <f t="shared" si="239"/>
        <v>-0.61432141692926212</v>
      </c>
      <c r="BI362" s="70">
        <v>7850</v>
      </c>
      <c r="BJ362" s="61">
        <v>3060</v>
      </c>
      <c r="BK362" s="61">
        <v>45168</v>
      </c>
      <c r="BL362" s="61">
        <v>148108</v>
      </c>
      <c r="BM362" s="71">
        <f t="shared" si="240"/>
        <v>0.35493999999999998</v>
      </c>
    </row>
    <row r="363" spans="1:65">
      <c r="A363" s="52" t="s">
        <v>414</v>
      </c>
      <c r="B363" s="53" t="s">
        <v>414</v>
      </c>
      <c r="C363" s="60" t="s">
        <v>500</v>
      </c>
      <c r="D363" s="55" t="s">
        <v>61</v>
      </c>
      <c r="E363" s="55" t="s">
        <v>61</v>
      </c>
      <c r="F363" s="55" t="s">
        <v>464</v>
      </c>
      <c r="G363" s="53" t="s">
        <v>464</v>
      </c>
      <c r="H363" s="53" t="s">
        <v>435</v>
      </c>
      <c r="I363" s="53">
        <v>30</v>
      </c>
      <c r="J363" s="61">
        <v>57994</v>
      </c>
      <c r="K363" s="61"/>
      <c r="L363" s="66">
        <f t="shared" si="215"/>
        <v>-1</v>
      </c>
      <c r="M363" s="61">
        <v>45000</v>
      </c>
      <c r="N363" s="61"/>
      <c r="O363" s="66">
        <f t="shared" si="216"/>
        <v>-1</v>
      </c>
      <c r="P363" s="61">
        <f t="shared" si="217"/>
        <v>102994</v>
      </c>
      <c r="Q363" s="61">
        <f t="shared" si="217"/>
        <v>0</v>
      </c>
      <c r="R363" s="66">
        <f t="shared" si="218"/>
        <v>-1</v>
      </c>
      <c r="S363" s="67">
        <v>2390</v>
      </c>
      <c r="T363" s="67">
        <v>53000</v>
      </c>
      <c r="U363" s="66">
        <f t="shared" si="219"/>
        <v>21.175732217573223</v>
      </c>
      <c r="V363" s="68">
        <f t="shared" si="220"/>
        <v>105384</v>
      </c>
      <c r="W363" s="68">
        <f t="shared" si="220"/>
        <v>53000</v>
      </c>
      <c r="X363" s="66">
        <f t="shared" si="221"/>
        <v>-0.49707735519623475</v>
      </c>
      <c r="Y363" s="61"/>
      <c r="Z363" s="61"/>
      <c r="AA363" s="66" t="e">
        <f t="shared" si="222"/>
        <v>#DIV/0!</v>
      </c>
      <c r="AB363" s="61">
        <f t="shared" si="241"/>
        <v>105384</v>
      </c>
      <c r="AC363" s="61">
        <f t="shared" si="241"/>
        <v>53000</v>
      </c>
      <c r="AD363" s="66">
        <f t="shared" si="224"/>
        <v>-0.49707735519623475</v>
      </c>
      <c r="AE363" s="61">
        <v>1650</v>
      </c>
      <c r="AF363" s="61"/>
      <c r="AG363" s="66">
        <f t="shared" si="225"/>
        <v>-1</v>
      </c>
      <c r="AH363" s="61">
        <f t="shared" si="242"/>
        <v>107034</v>
      </c>
      <c r="AI363" s="61">
        <f t="shared" si="242"/>
        <v>53000</v>
      </c>
      <c r="AJ363" s="66">
        <f t="shared" si="227"/>
        <v>-0.50483024085804518</v>
      </c>
      <c r="AK363" s="61">
        <v>48160</v>
      </c>
      <c r="AL363" s="61"/>
      <c r="AM363" s="66">
        <f t="shared" si="228"/>
        <v>-1</v>
      </c>
      <c r="AN363" s="61">
        <f t="shared" si="243"/>
        <v>155194</v>
      </c>
      <c r="AO363" s="61">
        <f t="shared" si="243"/>
        <v>53000</v>
      </c>
      <c r="AP363" s="66">
        <f t="shared" si="230"/>
        <v>-0.65849195200845401</v>
      </c>
      <c r="AQ363" s="67"/>
      <c r="AR363" s="67"/>
      <c r="AS363" s="66" t="e">
        <f t="shared" si="231"/>
        <v>#DIV/0!</v>
      </c>
      <c r="AT363" s="67">
        <f t="shared" si="244"/>
        <v>155194</v>
      </c>
      <c r="AU363" s="67">
        <f t="shared" si="244"/>
        <v>53000</v>
      </c>
      <c r="AV363" s="66">
        <f t="shared" si="233"/>
        <v>-0.65849195200845401</v>
      </c>
      <c r="AW363" s="61"/>
      <c r="AX363" s="61"/>
      <c r="AY363" s="66" t="e">
        <f t="shared" si="234"/>
        <v>#DIV/0!</v>
      </c>
      <c r="AZ363" s="61">
        <f t="shared" si="245"/>
        <v>155194</v>
      </c>
      <c r="BA363" s="61">
        <f t="shared" si="245"/>
        <v>53000</v>
      </c>
      <c r="BB363" s="66">
        <f t="shared" si="236"/>
        <v>-0.65849195200845401</v>
      </c>
      <c r="BC363" s="61"/>
      <c r="BD363" s="61"/>
      <c r="BE363" s="66" t="e">
        <f t="shared" si="237"/>
        <v>#DIV/0!</v>
      </c>
      <c r="BF363" s="61">
        <f t="shared" si="246"/>
        <v>155194</v>
      </c>
      <c r="BG363" s="61">
        <f t="shared" si="246"/>
        <v>53000</v>
      </c>
      <c r="BH363" s="66">
        <f t="shared" si="239"/>
        <v>-0.65849195200845401</v>
      </c>
      <c r="BI363" s="70">
        <v>59400</v>
      </c>
      <c r="BJ363" s="61"/>
      <c r="BK363" s="61"/>
      <c r="BL363" s="61">
        <v>214594</v>
      </c>
      <c r="BM363" s="71">
        <f t="shared" si="240"/>
        <v>0.17666666666666667</v>
      </c>
    </row>
    <row r="364" spans="1:65">
      <c r="A364" s="52" t="s">
        <v>414</v>
      </c>
      <c r="B364" s="53" t="s">
        <v>414</v>
      </c>
      <c r="C364" s="60" t="s">
        <v>501</v>
      </c>
      <c r="D364" s="55" t="s">
        <v>61</v>
      </c>
      <c r="E364" s="55" t="s">
        <v>61</v>
      </c>
      <c r="F364" s="55" t="s">
        <v>420</v>
      </c>
      <c r="G364" s="55" t="s">
        <v>420</v>
      </c>
      <c r="H364" s="53" t="s">
        <v>421</v>
      </c>
      <c r="I364" s="53"/>
      <c r="J364" s="61"/>
      <c r="K364" s="61"/>
      <c r="L364" s="66" t="e">
        <f t="shared" si="215"/>
        <v>#DIV/0!</v>
      </c>
      <c r="M364" s="61"/>
      <c r="N364" s="61"/>
      <c r="O364" s="66" t="e">
        <f t="shared" si="216"/>
        <v>#DIV/0!</v>
      </c>
      <c r="P364" s="61">
        <f t="shared" si="217"/>
        <v>0</v>
      </c>
      <c r="Q364" s="61">
        <f t="shared" si="217"/>
        <v>0</v>
      </c>
      <c r="R364" s="66" t="e">
        <f t="shared" si="218"/>
        <v>#DIV/0!</v>
      </c>
      <c r="S364" s="67"/>
      <c r="T364" s="67"/>
      <c r="U364" s="66" t="e">
        <f t="shared" si="219"/>
        <v>#DIV/0!</v>
      </c>
      <c r="V364" s="68">
        <f t="shared" si="220"/>
        <v>0</v>
      </c>
      <c r="W364" s="68">
        <f t="shared" si="220"/>
        <v>0</v>
      </c>
      <c r="X364" s="66" t="e">
        <f t="shared" si="221"/>
        <v>#DIV/0!</v>
      </c>
      <c r="Y364" s="61">
        <v>10260</v>
      </c>
      <c r="Z364" s="61"/>
      <c r="AA364" s="66">
        <f t="shared" si="222"/>
        <v>-1</v>
      </c>
      <c r="AB364" s="61">
        <f t="shared" si="241"/>
        <v>10260</v>
      </c>
      <c r="AC364" s="61">
        <f t="shared" si="241"/>
        <v>0</v>
      </c>
      <c r="AD364" s="66">
        <f t="shared" si="224"/>
        <v>-1</v>
      </c>
      <c r="AE364" s="61"/>
      <c r="AF364" s="61"/>
      <c r="AG364" s="66" t="e">
        <f t="shared" si="225"/>
        <v>#DIV/0!</v>
      </c>
      <c r="AH364" s="61">
        <f t="shared" si="242"/>
        <v>10260</v>
      </c>
      <c r="AI364" s="61">
        <f t="shared" si="242"/>
        <v>0</v>
      </c>
      <c r="AJ364" s="66">
        <f t="shared" si="227"/>
        <v>-1</v>
      </c>
      <c r="AK364" s="61"/>
      <c r="AL364" s="61"/>
      <c r="AM364" s="66" t="e">
        <f t="shared" si="228"/>
        <v>#DIV/0!</v>
      </c>
      <c r="AN364" s="61">
        <f t="shared" si="243"/>
        <v>10260</v>
      </c>
      <c r="AO364" s="61">
        <f t="shared" si="243"/>
        <v>0</v>
      </c>
      <c r="AP364" s="66">
        <f t="shared" si="230"/>
        <v>-1</v>
      </c>
      <c r="AQ364" s="67"/>
      <c r="AR364" s="67"/>
      <c r="AS364" s="66" t="e">
        <f t="shared" si="231"/>
        <v>#DIV/0!</v>
      </c>
      <c r="AT364" s="67">
        <f t="shared" si="244"/>
        <v>10260</v>
      </c>
      <c r="AU364" s="67">
        <f t="shared" si="244"/>
        <v>0</v>
      </c>
      <c r="AV364" s="66">
        <f t="shared" si="233"/>
        <v>-1</v>
      </c>
      <c r="AW364" s="61"/>
      <c r="AX364" s="61"/>
      <c r="AY364" s="66" t="e">
        <f t="shared" si="234"/>
        <v>#DIV/0!</v>
      </c>
      <c r="AZ364" s="61">
        <f t="shared" si="245"/>
        <v>10260</v>
      </c>
      <c r="BA364" s="61">
        <f t="shared" si="245"/>
        <v>0</v>
      </c>
      <c r="BB364" s="66">
        <f t="shared" si="236"/>
        <v>-1</v>
      </c>
      <c r="BC364" s="61"/>
      <c r="BD364" s="61"/>
      <c r="BE364" s="66" t="e">
        <f t="shared" si="237"/>
        <v>#DIV/0!</v>
      </c>
      <c r="BF364" s="61">
        <f t="shared" si="246"/>
        <v>10260</v>
      </c>
      <c r="BG364" s="61">
        <f t="shared" si="246"/>
        <v>0</v>
      </c>
      <c r="BH364" s="66">
        <f t="shared" si="239"/>
        <v>-1</v>
      </c>
      <c r="BI364" s="70"/>
      <c r="BJ364" s="61"/>
      <c r="BK364" s="61"/>
      <c r="BL364" s="61">
        <v>10260</v>
      </c>
      <c r="BM364" s="71" t="e">
        <f t="shared" si="240"/>
        <v>#DIV/0!</v>
      </c>
    </row>
    <row r="365" spans="1:65">
      <c r="A365" s="52" t="s">
        <v>414</v>
      </c>
      <c r="B365" s="53" t="s">
        <v>414</v>
      </c>
      <c r="C365" s="60" t="s">
        <v>502</v>
      </c>
      <c r="D365" s="55" t="s">
        <v>84</v>
      </c>
      <c r="E365" s="55" t="s">
        <v>84</v>
      </c>
      <c r="F365" s="181" t="s">
        <v>434</v>
      </c>
      <c r="G365" s="55"/>
      <c r="H365" s="53" t="s">
        <v>435</v>
      </c>
      <c r="I365" s="53"/>
      <c r="J365" s="61"/>
      <c r="K365" s="61"/>
      <c r="L365" s="66"/>
      <c r="M365" s="61"/>
      <c r="N365" s="61"/>
      <c r="O365" s="66"/>
      <c r="P365" s="61"/>
      <c r="Q365" s="61"/>
      <c r="R365" s="66"/>
      <c r="S365" s="67"/>
      <c r="T365" s="67"/>
      <c r="U365" s="66"/>
      <c r="V365" s="68"/>
      <c r="W365" s="68"/>
      <c r="X365" s="66"/>
      <c r="Y365" s="61"/>
      <c r="Z365" s="61"/>
      <c r="AA365" s="66"/>
      <c r="AB365" s="61"/>
      <c r="AC365" s="61"/>
      <c r="AD365" s="66"/>
      <c r="AE365" s="61"/>
      <c r="AF365" s="61"/>
      <c r="AG365" s="66" t="e">
        <f t="shared" si="225"/>
        <v>#DIV/0!</v>
      </c>
      <c r="AH365" s="61">
        <f t="shared" si="242"/>
        <v>0</v>
      </c>
      <c r="AI365" s="61">
        <f t="shared" si="242"/>
        <v>0</v>
      </c>
      <c r="AJ365" s="66" t="e">
        <f t="shared" si="227"/>
        <v>#DIV/0!</v>
      </c>
      <c r="AK365" s="61"/>
      <c r="AL365" s="61"/>
      <c r="AM365" s="66" t="e">
        <f t="shared" si="228"/>
        <v>#DIV/0!</v>
      </c>
      <c r="AN365" s="61">
        <f t="shared" si="243"/>
        <v>0</v>
      </c>
      <c r="AO365" s="61">
        <f t="shared" si="243"/>
        <v>0</v>
      </c>
      <c r="AP365" s="66" t="e">
        <f t="shared" si="230"/>
        <v>#DIV/0!</v>
      </c>
      <c r="AQ365" s="67"/>
      <c r="AR365" s="67"/>
      <c r="AS365" s="66" t="e">
        <f t="shared" si="231"/>
        <v>#DIV/0!</v>
      </c>
      <c r="AT365" s="67">
        <f t="shared" si="244"/>
        <v>0</v>
      </c>
      <c r="AU365" s="67">
        <f t="shared" si="244"/>
        <v>0</v>
      </c>
      <c r="AV365" s="66" t="e">
        <f t="shared" si="233"/>
        <v>#DIV/0!</v>
      </c>
      <c r="AW365" s="61"/>
      <c r="AX365" s="61"/>
      <c r="AY365" s="66" t="e">
        <f t="shared" si="234"/>
        <v>#DIV/0!</v>
      </c>
      <c r="AZ365" s="61">
        <f t="shared" si="245"/>
        <v>0</v>
      </c>
      <c r="BA365" s="61">
        <f t="shared" si="245"/>
        <v>0</v>
      </c>
      <c r="BB365" s="66" t="e">
        <f t="shared" si="236"/>
        <v>#DIV/0!</v>
      </c>
      <c r="BC365" s="61"/>
      <c r="BD365" s="61"/>
      <c r="BE365" s="66" t="e">
        <f t="shared" si="237"/>
        <v>#DIV/0!</v>
      </c>
      <c r="BF365" s="61">
        <f t="shared" si="246"/>
        <v>0</v>
      </c>
      <c r="BG365" s="61">
        <f t="shared" si="246"/>
        <v>0</v>
      </c>
      <c r="BH365" s="66" t="e">
        <f t="shared" si="239"/>
        <v>#DIV/0!</v>
      </c>
      <c r="BI365" s="70"/>
      <c r="BJ365" s="61"/>
      <c r="BK365" s="61"/>
      <c r="BL365" s="61"/>
      <c r="BM365" s="71" t="e">
        <f t="shared" si="240"/>
        <v>#DIV/0!</v>
      </c>
    </row>
    <row r="366" spans="1:65">
      <c r="A366" s="52" t="s">
        <v>414</v>
      </c>
      <c r="B366" s="53" t="s">
        <v>414</v>
      </c>
      <c r="C366" s="60" t="s">
        <v>503</v>
      </c>
      <c r="D366" s="55" t="s">
        <v>84</v>
      </c>
      <c r="E366" s="55" t="s">
        <v>84</v>
      </c>
      <c r="F366" s="55" t="s">
        <v>420</v>
      </c>
      <c r="G366" s="55" t="s">
        <v>420</v>
      </c>
      <c r="H366" s="53" t="s">
        <v>421</v>
      </c>
      <c r="I366" s="53">
        <v>120</v>
      </c>
      <c r="J366" s="61"/>
      <c r="K366" s="61">
        <v>6740</v>
      </c>
      <c r="L366" s="66" t="e">
        <f>K366/J366-1</f>
        <v>#DIV/0!</v>
      </c>
      <c r="M366" s="61"/>
      <c r="N366" s="61">
        <v>38925</v>
      </c>
      <c r="O366" s="66" t="e">
        <f>N366/M366-1</f>
        <v>#DIV/0!</v>
      </c>
      <c r="P366" s="61">
        <f t="shared" ref="P366:Q370" si="247">M366+J366</f>
        <v>0</v>
      </c>
      <c r="Q366" s="61">
        <f t="shared" si="247"/>
        <v>45665</v>
      </c>
      <c r="R366" s="66" t="e">
        <f>Q366/P366-1</f>
        <v>#DIV/0!</v>
      </c>
      <c r="S366" s="67"/>
      <c r="T366" s="67">
        <v>56110</v>
      </c>
      <c r="U366" s="66" t="e">
        <f>T366/S366-1</f>
        <v>#DIV/0!</v>
      </c>
      <c r="V366" s="68">
        <f t="shared" ref="V366:W370" si="248">S366+P366</f>
        <v>0</v>
      </c>
      <c r="W366" s="68">
        <f t="shared" si="248"/>
        <v>101775</v>
      </c>
      <c r="X366" s="66" t="e">
        <f>W366/V366-1</f>
        <v>#DIV/0!</v>
      </c>
      <c r="Y366" s="61"/>
      <c r="Z366" s="61">
        <v>59624</v>
      </c>
      <c r="AA366" s="66" t="e">
        <f>Z366/Y366-1</f>
        <v>#DIV/0!</v>
      </c>
      <c r="AB366" s="61">
        <f t="shared" ref="AB366:AC370" si="249">Y366+V366</f>
        <v>0</v>
      </c>
      <c r="AC366" s="61">
        <f t="shared" si="249"/>
        <v>161399</v>
      </c>
      <c r="AD366" s="66" t="e">
        <f>AC366/AB366-1</f>
        <v>#DIV/0!</v>
      </c>
      <c r="AE366" s="61">
        <v>4500</v>
      </c>
      <c r="AF366" s="61">
        <v>32576</v>
      </c>
      <c r="AG366" s="66">
        <f t="shared" si="225"/>
        <v>6.2391111111111108</v>
      </c>
      <c r="AH366" s="61">
        <f t="shared" si="242"/>
        <v>4500</v>
      </c>
      <c r="AI366" s="61">
        <f t="shared" si="242"/>
        <v>193975</v>
      </c>
      <c r="AJ366" s="66">
        <f t="shared" si="227"/>
        <v>42.105555555555554</v>
      </c>
      <c r="AK366" s="61">
        <v>12300</v>
      </c>
      <c r="AL366" s="61">
        <v>70979</v>
      </c>
      <c r="AM366" s="66">
        <f t="shared" si="228"/>
        <v>4.7706504065040649</v>
      </c>
      <c r="AN366" s="61">
        <f t="shared" si="243"/>
        <v>16800</v>
      </c>
      <c r="AO366" s="61">
        <f t="shared" si="243"/>
        <v>264954</v>
      </c>
      <c r="AP366" s="66">
        <f t="shared" si="230"/>
        <v>14.771071428571428</v>
      </c>
      <c r="AQ366" s="67">
        <v>35850</v>
      </c>
      <c r="AR366" s="67">
        <v>17770</v>
      </c>
      <c r="AS366" s="66">
        <f t="shared" si="231"/>
        <v>-0.50432357043235698</v>
      </c>
      <c r="AT366" s="67">
        <f t="shared" si="244"/>
        <v>52650</v>
      </c>
      <c r="AU366" s="67">
        <f t="shared" si="244"/>
        <v>282724</v>
      </c>
      <c r="AV366" s="66">
        <f t="shared" si="233"/>
        <v>4.3698765432098767</v>
      </c>
      <c r="AW366" s="61">
        <v>28830</v>
      </c>
      <c r="AX366" s="61">
        <v>42102</v>
      </c>
      <c r="AY366" s="66">
        <f t="shared" si="234"/>
        <v>0.46035379812695099</v>
      </c>
      <c r="AZ366" s="61">
        <f t="shared" si="245"/>
        <v>81480</v>
      </c>
      <c r="BA366" s="61">
        <f t="shared" si="245"/>
        <v>324826</v>
      </c>
      <c r="BB366" s="66">
        <f t="shared" si="236"/>
        <v>2.9865733922434954</v>
      </c>
      <c r="BC366" s="61">
        <v>130174</v>
      </c>
      <c r="BD366" s="61">
        <v>24845</v>
      </c>
      <c r="BE366" s="66">
        <f t="shared" si="237"/>
        <v>-0.80914007405472677</v>
      </c>
      <c r="BF366" s="61">
        <f t="shared" si="246"/>
        <v>211654</v>
      </c>
      <c r="BG366" s="61">
        <f t="shared" si="246"/>
        <v>349671</v>
      </c>
      <c r="BH366" s="66">
        <f t="shared" si="239"/>
        <v>0.65208784147712784</v>
      </c>
      <c r="BI366" s="70">
        <v>240921.4</v>
      </c>
      <c r="BJ366" s="61">
        <v>102826</v>
      </c>
      <c r="BK366" s="61">
        <v>67749</v>
      </c>
      <c r="BL366" s="61">
        <v>623150.4</v>
      </c>
      <c r="BM366" s="71">
        <f t="shared" si="240"/>
        <v>0.2913925</v>
      </c>
    </row>
    <row r="367" spans="1:65">
      <c r="A367" s="52" t="s">
        <v>414</v>
      </c>
      <c r="B367" s="53" t="s">
        <v>414</v>
      </c>
      <c r="C367" s="60" t="s">
        <v>504</v>
      </c>
      <c r="D367" s="55" t="s">
        <v>61</v>
      </c>
      <c r="E367" s="55" t="s">
        <v>61</v>
      </c>
      <c r="F367" s="55" t="s">
        <v>420</v>
      </c>
      <c r="G367" s="55" t="s">
        <v>420</v>
      </c>
      <c r="H367" s="53" t="s">
        <v>421</v>
      </c>
      <c r="I367" s="53"/>
      <c r="J367" s="61"/>
      <c r="K367" s="61"/>
      <c r="L367" s="66" t="e">
        <f>K367/J367-1</f>
        <v>#DIV/0!</v>
      </c>
      <c r="M367" s="61"/>
      <c r="N367" s="61"/>
      <c r="O367" s="66" t="e">
        <f>N367/M367-1</f>
        <v>#DIV/0!</v>
      </c>
      <c r="P367" s="61">
        <f t="shared" si="247"/>
        <v>0</v>
      </c>
      <c r="Q367" s="61">
        <f t="shared" si="247"/>
        <v>0</v>
      </c>
      <c r="R367" s="66" t="e">
        <f>Q367/P367-1</f>
        <v>#DIV/0!</v>
      </c>
      <c r="S367" s="67"/>
      <c r="T367" s="67"/>
      <c r="U367" s="66" t="e">
        <f>T367/S367-1</f>
        <v>#DIV/0!</v>
      </c>
      <c r="V367" s="68">
        <f t="shared" si="248"/>
        <v>0</v>
      </c>
      <c r="W367" s="68">
        <f t="shared" si="248"/>
        <v>0</v>
      </c>
      <c r="X367" s="66" t="e">
        <f>W367/V367-1</f>
        <v>#DIV/0!</v>
      </c>
      <c r="Y367" s="61"/>
      <c r="Z367" s="61"/>
      <c r="AA367" s="66" t="e">
        <f>Z367/Y367-1</f>
        <v>#DIV/0!</v>
      </c>
      <c r="AB367" s="61">
        <f t="shared" si="249"/>
        <v>0</v>
      </c>
      <c r="AC367" s="61">
        <f t="shared" si="249"/>
        <v>0</v>
      </c>
      <c r="AD367" s="66" t="e">
        <f>AC367/AB367-1</f>
        <v>#DIV/0!</v>
      </c>
      <c r="AE367" s="61"/>
      <c r="AF367" s="61"/>
      <c r="AG367" s="66" t="e">
        <f t="shared" ref="AG367:AG375" si="250">AF367/AE367-1</f>
        <v>#DIV/0!</v>
      </c>
      <c r="AH367" s="61">
        <f t="shared" si="242"/>
        <v>0</v>
      </c>
      <c r="AI367" s="61">
        <f t="shared" si="242"/>
        <v>0</v>
      </c>
      <c r="AJ367" s="66" t="e">
        <f t="shared" ref="AJ367:AJ375" si="251">AI367/AH367-1</f>
        <v>#DIV/0!</v>
      </c>
      <c r="AK367" s="61">
        <v>10000</v>
      </c>
      <c r="AL367" s="61"/>
      <c r="AM367" s="66">
        <f t="shared" ref="AM367:AM377" si="252">AL367/AK367-1</f>
        <v>-1</v>
      </c>
      <c r="AN367" s="61">
        <f t="shared" si="243"/>
        <v>10000</v>
      </c>
      <c r="AO367" s="61">
        <f t="shared" si="243"/>
        <v>0</v>
      </c>
      <c r="AP367" s="66">
        <f t="shared" ref="AP367:AP377" si="253">AO367/AN367-1</f>
        <v>-1</v>
      </c>
      <c r="AQ367" s="67"/>
      <c r="AR367" s="67"/>
      <c r="AS367" s="66" t="e">
        <f t="shared" ref="AS367:AS383" si="254">AR367/AQ367-1</f>
        <v>#DIV/0!</v>
      </c>
      <c r="AT367" s="67">
        <f t="shared" ref="AT367:AU382" si="255">AQ367+AN367</f>
        <v>10000</v>
      </c>
      <c r="AU367" s="67">
        <f t="shared" si="255"/>
        <v>0</v>
      </c>
      <c r="AV367" s="66">
        <f t="shared" ref="AV367:AV383" si="256">AU367/AT367-1</f>
        <v>-1</v>
      </c>
      <c r="AW367" s="61"/>
      <c r="AX367" s="61">
        <v>16200</v>
      </c>
      <c r="AY367" s="66" t="e">
        <f t="shared" ref="AY367:AY383" si="257">AX367/AW367-1</f>
        <v>#DIV/0!</v>
      </c>
      <c r="AZ367" s="61">
        <f t="shared" ref="AZ367:BA382" si="258">AW367+AT367</f>
        <v>10000</v>
      </c>
      <c r="BA367" s="61">
        <f t="shared" si="258"/>
        <v>16200</v>
      </c>
      <c r="BB367" s="66">
        <f t="shared" ref="BB367:BB383" si="259">BA367/AZ367-1</f>
        <v>0.62000000000000011</v>
      </c>
      <c r="BC367" s="61"/>
      <c r="BD367" s="61"/>
      <c r="BE367" s="66" t="e">
        <f t="shared" ref="BE367:BE383" si="260">BD367/BC367-1</f>
        <v>#DIV/0!</v>
      </c>
      <c r="BF367" s="61">
        <f t="shared" ref="BF367:BG382" si="261">BC367+AZ367</f>
        <v>10000</v>
      </c>
      <c r="BG367" s="61">
        <f t="shared" si="261"/>
        <v>16200</v>
      </c>
      <c r="BH367" s="66">
        <f t="shared" ref="BH367:BH383" si="262">BG367/BF367-1</f>
        <v>0.62000000000000011</v>
      </c>
      <c r="BI367" s="70"/>
      <c r="BJ367" s="61"/>
      <c r="BK367" s="61"/>
      <c r="BL367" s="61">
        <v>10000</v>
      </c>
      <c r="BM367" s="71" t="e">
        <f t="shared" ref="BM367:BM383" si="263">BG367/10000/I367</f>
        <v>#DIV/0!</v>
      </c>
    </row>
    <row r="368" spans="1:65">
      <c r="A368" s="52" t="s">
        <v>414</v>
      </c>
      <c r="B368" s="53" t="s">
        <v>414</v>
      </c>
      <c r="C368" s="60" t="s">
        <v>505</v>
      </c>
      <c r="D368" s="55" t="s">
        <v>84</v>
      </c>
      <c r="E368" s="55" t="s">
        <v>84</v>
      </c>
      <c r="F368" s="181" t="s">
        <v>416</v>
      </c>
      <c r="G368" s="181" t="s">
        <v>416</v>
      </c>
      <c r="H368" s="53" t="s">
        <v>417</v>
      </c>
      <c r="I368" s="53"/>
      <c r="J368" s="61"/>
      <c r="K368" s="61"/>
      <c r="L368" s="66" t="e">
        <f>K368/J368-1</f>
        <v>#DIV/0!</v>
      </c>
      <c r="M368" s="61"/>
      <c r="N368" s="61"/>
      <c r="O368" s="66" t="e">
        <f>N368/M368-1</f>
        <v>#DIV/0!</v>
      </c>
      <c r="P368" s="61">
        <f t="shared" si="247"/>
        <v>0</v>
      </c>
      <c r="Q368" s="61">
        <f t="shared" si="247"/>
        <v>0</v>
      </c>
      <c r="R368" s="66" t="e">
        <f>Q368/P368-1</f>
        <v>#DIV/0!</v>
      </c>
      <c r="S368" s="67"/>
      <c r="T368" s="67"/>
      <c r="U368" s="66" t="e">
        <f>T368/S368-1</f>
        <v>#DIV/0!</v>
      </c>
      <c r="V368" s="68">
        <f t="shared" si="248"/>
        <v>0</v>
      </c>
      <c r="W368" s="68">
        <f t="shared" si="248"/>
        <v>0</v>
      </c>
      <c r="X368" s="66" t="e">
        <f>W368/V368-1</f>
        <v>#DIV/0!</v>
      </c>
      <c r="Y368" s="61"/>
      <c r="Z368" s="61"/>
      <c r="AA368" s="66" t="e">
        <f>Z368/Y368-1</f>
        <v>#DIV/0!</v>
      </c>
      <c r="AB368" s="61">
        <f t="shared" si="249"/>
        <v>0</v>
      </c>
      <c r="AC368" s="61">
        <f t="shared" si="249"/>
        <v>0</v>
      </c>
      <c r="AD368" s="66" t="e">
        <f>AC368/AB368-1</f>
        <v>#DIV/0!</v>
      </c>
      <c r="AE368" s="61"/>
      <c r="AF368" s="61"/>
      <c r="AG368" s="66" t="e">
        <f t="shared" si="250"/>
        <v>#DIV/0!</v>
      </c>
      <c r="AH368" s="61">
        <f t="shared" si="242"/>
        <v>0</v>
      </c>
      <c r="AI368" s="61">
        <f t="shared" si="242"/>
        <v>0</v>
      </c>
      <c r="AJ368" s="66" t="e">
        <f t="shared" si="251"/>
        <v>#DIV/0!</v>
      </c>
      <c r="AK368" s="61">
        <v>2700</v>
      </c>
      <c r="AL368" s="61"/>
      <c r="AM368" s="66">
        <f t="shared" si="252"/>
        <v>-1</v>
      </c>
      <c r="AN368" s="61">
        <f t="shared" si="243"/>
        <v>2700</v>
      </c>
      <c r="AO368" s="61">
        <f t="shared" si="243"/>
        <v>0</v>
      </c>
      <c r="AP368" s="66">
        <f t="shared" si="253"/>
        <v>-1</v>
      </c>
      <c r="AQ368" s="67">
        <v>2900</v>
      </c>
      <c r="AR368" s="67"/>
      <c r="AS368" s="66">
        <f t="shared" si="254"/>
        <v>-1</v>
      </c>
      <c r="AT368" s="67">
        <f t="shared" si="255"/>
        <v>5600</v>
      </c>
      <c r="AU368" s="67">
        <f t="shared" si="255"/>
        <v>0</v>
      </c>
      <c r="AV368" s="66">
        <f t="shared" si="256"/>
        <v>-1</v>
      </c>
      <c r="AW368" s="61">
        <v>30150</v>
      </c>
      <c r="AX368" s="61"/>
      <c r="AY368" s="66">
        <f t="shared" si="257"/>
        <v>-1</v>
      </c>
      <c r="AZ368" s="61">
        <f t="shared" si="258"/>
        <v>35750</v>
      </c>
      <c r="BA368" s="61">
        <f t="shared" si="258"/>
        <v>0</v>
      </c>
      <c r="BB368" s="66">
        <f t="shared" si="259"/>
        <v>-1</v>
      </c>
      <c r="BC368" s="61">
        <v>77941</v>
      </c>
      <c r="BD368" s="61"/>
      <c r="BE368" s="66">
        <f t="shared" si="260"/>
        <v>-1</v>
      </c>
      <c r="BF368" s="61">
        <f t="shared" si="261"/>
        <v>113691</v>
      </c>
      <c r="BG368" s="61">
        <f t="shared" si="261"/>
        <v>0</v>
      </c>
      <c r="BH368" s="66">
        <f t="shared" si="262"/>
        <v>-1</v>
      </c>
      <c r="BI368" s="70">
        <v>169211</v>
      </c>
      <c r="BJ368" s="61">
        <v>0</v>
      </c>
      <c r="BK368" s="61"/>
      <c r="BL368" s="61">
        <v>282902</v>
      </c>
      <c r="BM368" s="71" t="e">
        <f t="shared" si="263"/>
        <v>#DIV/0!</v>
      </c>
    </row>
    <row r="369" spans="1:65">
      <c r="A369" s="52" t="s">
        <v>414</v>
      </c>
      <c r="B369" s="53" t="s">
        <v>414</v>
      </c>
      <c r="C369" s="60" t="s">
        <v>506</v>
      </c>
      <c r="D369" s="55" t="s">
        <v>65</v>
      </c>
      <c r="E369" s="55" t="s">
        <v>65</v>
      </c>
      <c r="F369" s="181" t="s">
        <v>416</v>
      </c>
      <c r="G369" s="181" t="s">
        <v>416</v>
      </c>
      <c r="H369" s="53" t="s">
        <v>417</v>
      </c>
      <c r="I369" s="53">
        <v>80</v>
      </c>
      <c r="J369" s="61"/>
      <c r="K369" s="61">
        <v>82267</v>
      </c>
      <c r="L369" s="66" t="e">
        <f>K369/J369-1</f>
        <v>#DIV/0!</v>
      </c>
      <c r="M369" s="61"/>
      <c r="N369" s="61">
        <v>58370</v>
      </c>
      <c r="O369" s="66" t="e">
        <f>N369/M369-1</f>
        <v>#DIV/0!</v>
      </c>
      <c r="P369" s="61">
        <f t="shared" si="247"/>
        <v>0</v>
      </c>
      <c r="Q369" s="61">
        <f t="shared" si="247"/>
        <v>140637</v>
      </c>
      <c r="R369" s="66" t="e">
        <f>Q369/P369-1</f>
        <v>#DIV/0!</v>
      </c>
      <c r="S369" s="67"/>
      <c r="T369" s="67">
        <v>173051.5</v>
      </c>
      <c r="U369" s="66" t="e">
        <f>T369/S369-1</f>
        <v>#DIV/0!</v>
      </c>
      <c r="V369" s="68">
        <f t="shared" si="248"/>
        <v>0</v>
      </c>
      <c r="W369" s="68">
        <f t="shared" si="248"/>
        <v>313688.5</v>
      </c>
      <c r="X369" s="66" t="e">
        <f>W369/V369-1</f>
        <v>#DIV/0!</v>
      </c>
      <c r="Y369" s="61"/>
      <c r="Z369" s="61">
        <v>162945</v>
      </c>
      <c r="AA369" s="66" t="e">
        <f>Z369/Y369-1</f>
        <v>#DIV/0!</v>
      </c>
      <c r="AB369" s="61">
        <f t="shared" si="249"/>
        <v>0</v>
      </c>
      <c r="AC369" s="61">
        <f t="shared" si="249"/>
        <v>476633.5</v>
      </c>
      <c r="AD369" s="66" t="e">
        <f>AC369/AB369-1</f>
        <v>#DIV/0!</v>
      </c>
      <c r="AE369" s="61"/>
      <c r="AF369" s="61">
        <v>128305.5</v>
      </c>
      <c r="AG369" s="66" t="e">
        <f t="shared" si="250"/>
        <v>#DIV/0!</v>
      </c>
      <c r="AH369" s="61">
        <f t="shared" si="242"/>
        <v>0</v>
      </c>
      <c r="AI369" s="61">
        <f t="shared" si="242"/>
        <v>604939</v>
      </c>
      <c r="AJ369" s="66" t="e">
        <f t="shared" si="251"/>
        <v>#DIV/0!</v>
      </c>
      <c r="AK369" s="61"/>
      <c r="AL369" s="61">
        <v>186310.5</v>
      </c>
      <c r="AM369" s="66" t="e">
        <f t="shared" si="252"/>
        <v>#DIV/0!</v>
      </c>
      <c r="AN369" s="61">
        <f t="shared" si="243"/>
        <v>0</v>
      </c>
      <c r="AO369" s="61">
        <f t="shared" si="243"/>
        <v>791249.5</v>
      </c>
      <c r="AP369" s="66" t="e">
        <f t="shared" si="253"/>
        <v>#DIV/0!</v>
      </c>
      <c r="AQ369" s="67"/>
      <c r="AR369" s="67">
        <v>121999</v>
      </c>
      <c r="AS369" s="66" t="e">
        <f t="shared" si="254"/>
        <v>#DIV/0!</v>
      </c>
      <c r="AT369" s="67">
        <f t="shared" si="255"/>
        <v>0</v>
      </c>
      <c r="AU369" s="67">
        <f t="shared" si="255"/>
        <v>913248.5</v>
      </c>
      <c r="AV369" s="66" t="e">
        <f t="shared" si="256"/>
        <v>#DIV/0!</v>
      </c>
      <c r="AW369" s="61"/>
      <c r="AX369" s="61">
        <v>192638</v>
      </c>
      <c r="AY369" s="66" t="e">
        <f t="shared" si="257"/>
        <v>#DIV/0!</v>
      </c>
      <c r="AZ369" s="61">
        <f t="shared" si="258"/>
        <v>0</v>
      </c>
      <c r="BA369" s="61">
        <f t="shared" si="258"/>
        <v>1105886.5</v>
      </c>
      <c r="BB369" s="66" t="e">
        <f t="shared" si="259"/>
        <v>#DIV/0!</v>
      </c>
      <c r="BC369" s="61"/>
      <c r="BD369" s="61">
        <v>162935.56</v>
      </c>
      <c r="BE369" s="66" t="e">
        <f t="shared" si="260"/>
        <v>#DIV/0!</v>
      </c>
      <c r="BF369" s="61">
        <f t="shared" si="261"/>
        <v>0</v>
      </c>
      <c r="BG369" s="61">
        <f t="shared" si="261"/>
        <v>1268822.06</v>
      </c>
      <c r="BH369" s="66" t="e">
        <f t="shared" si="262"/>
        <v>#DIV/0!</v>
      </c>
      <c r="BI369" s="70"/>
      <c r="BJ369" s="61">
        <v>188546.2</v>
      </c>
      <c r="BK369" s="61">
        <v>267247.95</v>
      </c>
      <c r="BL369" s="61">
        <v>455794.15</v>
      </c>
      <c r="BM369" s="71">
        <f t="shared" si="263"/>
        <v>1.5860275750000001</v>
      </c>
    </row>
    <row r="370" spans="1:65">
      <c r="A370" s="52" t="s">
        <v>414</v>
      </c>
      <c r="B370" s="53" t="s">
        <v>414</v>
      </c>
      <c r="C370" s="60" t="s">
        <v>119</v>
      </c>
      <c r="D370" s="55" t="s">
        <v>61</v>
      </c>
      <c r="E370" s="55" t="s">
        <v>61</v>
      </c>
      <c r="F370" s="55" t="s">
        <v>428</v>
      </c>
      <c r="G370" s="55"/>
      <c r="H370" s="53" t="s">
        <v>417</v>
      </c>
      <c r="I370" s="53"/>
      <c r="J370" s="61"/>
      <c r="K370" s="61"/>
      <c r="L370" s="66" t="e">
        <f>K370/J370-1</f>
        <v>#DIV/0!</v>
      </c>
      <c r="M370" s="61"/>
      <c r="N370" s="61"/>
      <c r="O370" s="66" t="e">
        <f>N370/M370-1</f>
        <v>#DIV/0!</v>
      </c>
      <c r="P370" s="61">
        <f t="shared" si="247"/>
        <v>0</v>
      </c>
      <c r="Q370" s="61">
        <f t="shared" si="247"/>
        <v>0</v>
      </c>
      <c r="R370" s="66" t="e">
        <f>Q370/P370-1</f>
        <v>#DIV/0!</v>
      </c>
      <c r="S370" s="67"/>
      <c r="T370" s="67"/>
      <c r="U370" s="66" t="e">
        <f>T370/S370-1</f>
        <v>#DIV/0!</v>
      </c>
      <c r="V370" s="68">
        <f t="shared" si="248"/>
        <v>0</v>
      </c>
      <c r="W370" s="68">
        <f t="shared" si="248"/>
        <v>0</v>
      </c>
      <c r="X370" s="66" t="e">
        <f>W370/V370-1</f>
        <v>#DIV/0!</v>
      </c>
      <c r="Y370" s="61"/>
      <c r="Z370" s="61"/>
      <c r="AA370" s="66" t="e">
        <f>Z370/Y370-1</f>
        <v>#DIV/0!</v>
      </c>
      <c r="AB370" s="61">
        <f t="shared" si="249"/>
        <v>0</v>
      </c>
      <c r="AC370" s="61">
        <f t="shared" si="249"/>
        <v>0</v>
      </c>
      <c r="AD370" s="66" t="e">
        <f>AC370/AB370-1</f>
        <v>#DIV/0!</v>
      </c>
      <c r="AE370" s="61"/>
      <c r="AF370" s="61"/>
      <c r="AG370" s="66" t="e">
        <f t="shared" si="250"/>
        <v>#DIV/0!</v>
      </c>
      <c r="AH370" s="61">
        <f t="shared" si="242"/>
        <v>0</v>
      </c>
      <c r="AI370" s="61">
        <f t="shared" si="242"/>
        <v>0</v>
      </c>
      <c r="AJ370" s="66" t="e">
        <f t="shared" si="251"/>
        <v>#DIV/0!</v>
      </c>
      <c r="AK370" s="61"/>
      <c r="AL370" s="61"/>
      <c r="AM370" s="66" t="e">
        <f t="shared" si="252"/>
        <v>#DIV/0!</v>
      </c>
      <c r="AN370" s="61">
        <f t="shared" si="243"/>
        <v>0</v>
      </c>
      <c r="AO370" s="61">
        <f t="shared" si="243"/>
        <v>0</v>
      </c>
      <c r="AP370" s="66" t="e">
        <f t="shared" si="253"/>
        <v>#DIV/0!</v>
      </c>
      <c r="AQ370" s="67"/>
      <c r="AR370" s="67"/>
      <c r="AS370" s="66" t="e">
        <f t="shared" si="254"/>
        <v>#DIV/0!</v>
      </c>
      <c r="AT370" s="67">
        <f t="shared" si="255"/>
        <v>0</v>
      </c>
      <c r="AU370" s="67">
        <f t="shared" si="255"/>
        <v>0</v>
      </c>
      <c r="AV370" s="66" t="e">
        <f t="shared" si="256"/>
        <v>#DIV/0!</v>
      </c>
      <c r="AW370" s="61"/>
      <c r="AX370" s="61"/>
      <c r="AY370" s="66" t="e">
        <f t="shared" si="257"/>
        <v>#DIV/0!</v>
      </c>
      <c r="AZ370" s="61">
        <f t="shared" si="258"/>
        <v>0</v>
      </c>
      <c r="BA370" s="61">
        <f t="shared" si="258"/>
        <v>0</v>
      </c>
      <c r="BB370" s="66" t="e">
        <f t="shared" si="259"/>
        <v>#DIV/0!</v>
      </c>
      <c r="BC370" s="61">
        <v>1859.2</v>
      </c>
      <c r="BD370" s="61"/>
      <c r="BE370" s="66">
        <f t="shared" si="260"/>
        <v>-1</v>
      </c>
      <c r="BF370" s="61">
        <f t="shared" si="261"/>
        <v>1859.2</v>
      </c>
      <c r="BG370" s="61">
        <f t="shared" si="261"/>
        <v>0</v>
      </c>
      <c r="BH370" s="66">
        <f t="shared" si="262"/>
        <v>-1</v>
      </c>
      <c r="BI370" s="70">
        <v>4397.67</v>
      </c>
      <c r="BJ370" s="61"/>
      <c r="BK370" s="61">
        <v>11711.6</v>
      </c>
      <c r="BL370" s="61">
        <v>17968.47</v>
      </c>
      <c r="BM370" s="71" t="e">
        <f t="shared" si="263"/>
        <v>#DIV/0!</v>
      </c>
    </row>
    <row r="371" spans="1:65">
      <c r="A371" s="52" t="s">
        <v>414</v>
      </c>
      <c r="B371" s="53" t="s">
        <v>414</v>
      </c>
      <c r="C371" s="60" t="s">
        <v>507</v>
      </c>
      <c r="D371" s="55" t="s">
        <v>61</v>
      </c>
      <c r="E371" s="55" t="s">
        <v>61</v>
      </c>
      <c r="F371" s="55" t="s">
        <v>481</v>
      </c>
      <c r="G371" s="55"/>
      <c r="H371" s="53" t="s">
        <v>457</v>
      </c>
      <c r="I371" s="53">
        <v>40</v>
      </c>
      <c r="J371" s="61"/>
      <c r="K371" s="61"/>
      <c r="L371" s="66"/>
      <c r="M371" s="61"/>
      <c r="N371" s="61"/>
      <c r="O371" s="66"/>
      <c r="P371" s="61"/>
      <c r="Q371" s="61"/>
      <c r="R371" s="66"/>
      <c r="S371" s="67"/>
      <c r="T371" s="67"/>
      <c r="U371" s="66"/>
      <c r="V371" s="68"/>
      <c r="W371" s="68"/>
      <c r="X371" s="66"/>
      <c r="Y371" s="61"/>
      <c r="Z371" s="61"/>
      <c r="AA371" s="66"/>
      <c r="AB371" s="61"/>
      <c r="AC371" s="61"/>
      <c r="AD371" s="66"/>
      <c r="AE371" s="61"/>
      <c r="AF371" s="61"/>
      <c r="AG371" s="66" t="e">
        <f t="shared" si="250"/>
        <v>#DIV/0!</v>
      </c>
      <c r="AH371" s="61">
        <f t="shared" si="242"/>
        <v>0</v>
      </c>
      <c r="AI371" s="61">
        <f t="shared" si="242"/>
        <v>0</v>
      </c>
      <c r="AJ371" s="66" t="e">
        <f t="shared" si="251"/>
        <v>#DIV/0!</v>
      </c>
      <c r="AK371" s="61"/>
      <c r="AL371" s="61"/>
      <c r="AM371" s="66" t="e">
        <f t="shared" si="252"/>
        <v>#DIV/0!</v>
      </c>
      <c r="AN371" s="61">
        <f t="shared" si="243"/>
        <v>0</v>
      </c>
      <c r="AO371" s="61">
        <f t="shared" si="243"/>
        <v>0</v>
      </c>
      <c r="AP371" s="66" t="e">
        <f t="shared" si="253"/>
        <v>#DIV/0!</v>
      </c>
      <c r="AQ371" s="67"/>
      <c r="AR371" s="67"/>
      <c r="AS371" s="66" t="e">
        <f t="shared" si="254"/>
        <v>#DIV/0!</v>
      </c>
      <c r="AT371" s="67">
        <f t="shared" si="255"/>
        <v>0</v>
      </c>
      <c r="AU371" s="67">
        <f t="shared" si="255"/>
        <v>0</v>
      </c>
      <c r="AV371" s="66" t="e">
        <f t="shared" si="256"/>
        <v>#DIV/0!</v>
      </c>
      <c r="AW371" s="61"/>
      <c r="AX371" s="61"/>
      <c r="AY371" s="66" t="e">
        <f t="shared" si="257"/>
        <v>#DIV/0!</v>
      </c>
      <c r="AZ371" s="61">
        <f t="shared" si="258"/>
        <v>0</v>
      </c>
      <c r="BA371" s="61">
        <f t="shared" si="258"/>
        <v>0</v>
      </c>
      <c r="BB371" s="66" t="e">
        <f t="shared" si="259"/>
        <v>#DIV/0!</v>
      </c>
      <c r="BC371" s="61"/>
      <c r="BD371" s="61"/>
      <c r="BE371" s="66" t="e">
        <f t="shared" si="260"/>
        <v>#DIV/0!</v>
      </c>
      <c r="BF371" s="61">
        <f t="shared" si="261"/>
        <v>0</v>
      </c>
      <c r="BG371" s="61">
        <f t="shared" si="261"/>
        <v>0</v>
      </c>
      <c r="BH371" s="66" t="e">
        <f t="shared" si="262"/>
        <v>#DIV/0!</v>
      </c>
      <c r="BI371" s="70"/>
      <c r="BJ371" s="61"/>
      <c r="BK371" s="61"/>
      <c r="BL371" s="61"/>
      <c r="BM371" s="71">
        <f t="shared" si="263"/>
        <v>0</v>
      </c>
    </row>
    <row r="372" spans="1:65">
      <c r="A372" s="52" t="s">
        <v>414</v>
      </c>
      <c r="B372" s="53" t="s">
        <v>414</v>
      </c>
      <c r="C372" s="60" t="s">
        <v>508</v>
      </c>
      <c r="D372" s="55" t="s">
        <v>61</v>
      </c>
      <c r="E372" s="55" t="s">
        <v>61</v>
      </c>
      <c r="F372" s="55" t="s">
        <v>481</v>
      </c>
      <c r="G372" s="55"/>
      <c r="H372" s="53" t="s">
        <v>457</v>
      </c>
      <c r="I372" s="53">
        <v>0</v>
      </c>
      <c r="J372" s="61"/>
      <c r="K372" s="61"/>
      <c r="L372" s="66"/>
      <c r="M372" s="61"/>
      <c r="N372" s="61"/>
      <c r="O372" s="66"/>
      <c r="P372" s="61"/>
      <c r="Q372" s="61"/>
      <c r="R372" s="66"/>
      <c r="S372" s="67"/>
      <c r="T372" s="67"/>
      <c r="U372" s="66"/>
      <c r="V372" s="68"/>
      <c r="W372" s="68"/>
      <c r="X372" s="66"/>
      <c r="Y372" s="61"/>
      <c r="Z372" s="61"/>
      <c r="AA372" s="66"/>
      <c r="AB372" s="61"/>
      <c r="AC372" s="61"/>
      <c r="AD372" s="66"/>
      <c r="AE372" s="61"/>
      <c r="AF372" s="61"/>
      <c r="AG372" s="66" t="e">
        <f t="shared" si="250"/>
        <v>#DIV/0!</v>
      </c>
      <c r="AH372" s="61">
        <f t="shared" si="242"/>
        <v>0</v>
      </c>
      <c r="AI372" s="61">
        <f t="shared" si="242"/>
        <v>0</v>
      </c>
      <c r="AJ372" s="66" t="e">
        <f t="shared" si="251"/>
        <v>#DIV/0!</v>
      </c>
      <c r="AK372" s="61"/>
      <c r="AL372" s="61"/>
      <c r="AM372" s="66" t="e">
        <f t="shared" si="252"/>
        <v>#DIV/0!</v>
      </c>
      <c r="AN372" s="61">
        <f t="shared" si="243"/>
        <v>0</v>
      </c>
      <c r="AO372" s="61">
        <f t="shared" si="243"/>
        <v>0</v>
      </c>
      <c r="AP372" s="66" t="e">
        <f t="shared" si="253"/>
        <v>#DIV/0!</v>
      </c>
      <c r="AQ372" s="67"/>
      <c r="AR372" s="67"/>
      <c r="AS372" s="66" t="e">
        <f t="shared" si="254"/>
        <v>#DIV/0!</v>
      </c>
      <c r="AT372" s="67">
        <f t="shared" si="255"/>
        <v>0</v>
      </c>
      <c r="AU372" s="67">
        <f t="shared" si="255"/>
        <v>0</v>
      </c>
      <c r="AV372" s="66" t="e">
        <f t="shared" si="256"/>
        <v>#DIV/0!</v>
      </c>
      <c r="AW372" s="61"/>
      <c r="AX372" s="61"/>
      <c r="AY372" s="66" t="e">
        <f t="shared" si="257"/>
        <v>#DIV/0!</v>
      </c>
      <c r="AZ372" s="61">
        <f t="shared" si="258"/>
        <v>0</v>
      </c>
      <c r="BA372" s="61">
        <f t="shared" si="258"/>
        <v>0</v>
      </c>
      <c r="BB372" s="66" t="e">
        <f t="shared" si="259"/>
        <v>#DIV/0!</v>
      </c>
      <c r="BC372" s="61"/>
      <c r="BD372" s="61"/>
      <c r="BE372" s="66" t="e">
        <f t="shared" si="260"/>
        <v>#DIV/0!</v>
      </c>
      <c r="BF372" s="61">
        <f t="shared" si="261"/>
        <v>0</v>
      </c>
      <c r="BG372" s="61">
        <f t="shared" si="261"/>
        <v>0</v>
      </c>
      <c r="BH372" s="66" t="e">
        <f t="shared" si="262"/>
        <v>#DIV/0!</v>
      </c>
      <c r="BI372" s="70"/>
      <c r="BJ372" s="61"/>
      <c r="BK372" s="61"/>
      <c r="BL372" s="61"/>
      <c r="BM372" s="71" t="e">
        <f t="shared" si="263"/>
        <v>#DIV/0!</v>
      </c>
    </row>
    <row r="373" spans="1:65">
      <c r="A373" s="52" t="s">
        <v>414</v>
      </c>
      <c r="B373" s="53" t="s">
        <v>414</v>
      </c>
      <c r="C373" s="60" t="s">
        <v>509</v>
      </c>
      <c r="D373" s="55" t="s">
        <v>61</v>
      </c>
      <c r="E373" s="55" t="s">
        <v>61</v>
      </c>
      <c r="F373" s="181" t="s">
        <v>416</v>
      </c>
      <c r="G373" s="181" t="s">
        <v>416</v>
      </c>
      <c r="H373" s="53" t="s">
        <v>417</v>
      </c>
      <c r="I373" s="53">
        <v>10</v>
      </c>
      <c r="J373" s="61"/>
      <c r="K373" s="61"/>
      <c r="L373" s="66" t="e">
        <f>K373/J373-1</f>
        <v>#DIV/0!</v>
      </c>
      <c r="M373" s="61"/>
      <c r="N373" s="61"/>
      <c r="O373" s="66" t="e">
        <f>N373/M373-1</f>
        <v>#DIV/0!</v>
      </c>
      <c r="P373" s="61">
        <f>M373+J373</f>
        <v>0</v>
      </c>
      <c r="Q373" s="61">
        <f>N373+K373</f>
        <v>0</v>
      </c>
      <c r="R373" s="66" t="e">
        <f>Q373/P373-1</f>
        <v>#DIV/0!</v>
      </c>
      <c r="S373" s="67"/>
      <c r="T373" s="67"/>
      <c r="U373" s="66" t="e">
        <f>T373/S373-1</f>
        <v>#DIV/0!</v>
      </c>
      <c r="V373" s="68">
        <f>S373+P373</f>
        <v>0</v>
      </c>
      <c r="W373" s="68">
        <f>T373+Q373</f>
        <v>0</v>
      </c>
      <c r="X373" s="66" t="e">
        <f>W373/V373-1</f>
        <v>#DIV/0!</v>
      </c>
      <c r="Y373" s="61"/>
      <c r="Z373" s="61"/>
      <c r="AA373" s="66" t="e">
        <f>Z373/Y373-1</f>
        <v>#DIV/0!</v>
      </c>
      <c r="AB373" s="61">
        <f>Y373+V373</f>
        <v>0</v>
      </c>
      <c r="AC373" s="61">
        <f>Z373+W373</f>
        <v>0</v>
      </c>
      <c r="AD373" s="66" t="e">
        <f>AC373/AB373-1</f>
        <v>#DIV/0!</v>
      </c>
      <c r="AE373" s="61"/>
      <c r="AF373" s="61"/>
      <c r="AG373" s="66" t="e">
        <f t="shared" si="250"/>
        <v>#DIV/0!</v>
      </c>
      <c r="AH373" s="61">
        <f t="shared" si="242"/>
        <v>0</v>
      </c>
      <c r="AI373" s="61">
        <f t="shared" si="242"/>
        <v>0</v>
      </c>
      <c r="AJ373" s="66" t="e">
        <f t="shared" si="251"/>
        <v>#DIV/0!</v>
      </c>
      <c r="AK373" s="61"/>
      <c r="AL373" s="61"/>
      <c r="AM373" s="66" t="e">
        <f t="shared" si="252"/>
        <v>#DIV/0!</v>
      </c>
      <c r="AN373" s="61">
        <f t="shared" si="243"/>
        <v>0</v>
      </c>
      <c r="AO373" s="61">
        <f t="shared" si="243"/>
        <v>0</v>
      </c>
      <c r="AP373" s="66" t="e">
        <f t="shared" si="253"/>
        <v>#DIV/0!</v>
      </c>
      <c r="AQ373" s="67"/>
      <c r="AR373" s="67"/>
      <c r="AS373" s="66" t="e">
        <f t="shared" si="254"/>
        <v>#DIV/0!</v>
      </c>
      <c r="AT373" s="67">
        <f t="shared" si="255"/>
        <v>0</v>
      </c>
      <c r="AU373" s="67">
        <f t="shared" si="255"/>
        <v>0</v>
      </c>
      <c r="AV373" s="66" t="e">
        <f t="shared" si="256"/>
        <v>#DIV/0!</v>
      </c>
      <c r="AW373" s="61"/>
      <c r="AX373" s="61"/>
      <c r="AY373" s="66" t="e">
        <f t="shared" si="257"/>
        <v>#DIV/0!</v>
      </c>
      <c r="AZ373" s="61">
        <f t="shared" si="258"/>
        <v>0</v>
      </c>
      <c r="BA373" s="61">
        <f t="shared" si="258"/>
        <v>0</v>
      </c>
      <c r="BB373" s="66" t="e">
        <f t="shared" si="259"/>
        <v>#DIV/0!</v>
      </c>
      <c r="BC373" s="61"/>
      <c r="BD373" s="61"/>
      <c r="BE373" s="66" t="e">
        <f t="shared" si="260"/>
        <v>#DIV/0!</v>
      </c>
      <c r="BF373" s="61">
        <f t="shared" si="261"/>
        <v>0</v>
      </c>
      <c r="BG373" s="61">
        <f t="shared" si="261"/>
        <v>0</v>
      </c>
      <c r="BH373" s="66" t="e">
        <f t="shared" si="262"/>
        <v>#DIV/0!</v>
      </c>
      <c r="BI373" s="70"/>
      <c r="BJ373" s="61">
        <v>2200</v>
      </c>
      <c r="BK373" s="61"/>
      <c r="BL373" s="61">
        <v>2200</v>
      </c>
      <c r="BM373" s="71">
        <f t="shared" si="263"/>
        <v>0</v>
      </c>
    </row>
    <row r="374" spans="1:65">
      <c r="A374" s="52" t="s">
        <v>414</v>
      </c>
      <c r="B374" s="53" t="s">
        <v>414</v>
      </c>
      <c r="C374" s="72" t="s">
        <v>510</v>
      </c>
      <c r="D374" s="55" t="s">
        <v>61</v>
      </c>
      <c r="E374" s="55" t="s">
        <v>61</v>
      </c>
      <c r="F374" s="55" t="s">
        <v>464</v>
      </c>
      <c r="G374" s="55"/>
      <c r="H374" s="53" t="s">
        <v>435</v>
      </c>
      <c r="I374" s="75">
        <v>20</v>
      </c>
      <c r="J374" s="61"/>
      <c r="K374" s="61"/>
      <c r="L374" s="66"/>
      <c r="M374" s="61"/>
      <c r="N374" s="61"/>
      <c r="O374" s="66"/>
      <c r="P374" s="61"/>
      <c r="Q374" s="61"/>
      <c r="R374" s="66"/>
      <c r="S374" s="67"/>
      <c r="T374" s="67"/>
      <c r="U374" s="66"/>
      <c r="V374" s="68"/>
      <c r="W374" s="68"/>
      <c r="X374" s="66"/>
      <c r="Y374" s="61"/>
      <c r="Z374" s="61"/>
      <c r="AA374" s="66"/>
      <c r="AB374" s="61"/>
      <c r="AC374" s="61"/>
      <c r="AD374" s="66"/>
      <c r="AE374" s="61"/>
      <c r="AF374" s="61"/>
      <c r="AG374" s="66" t="e">
        <f t="shared" si="250"/>
        <v>#DIV/0!</v>
      </c>
      <c r="AH374" s="61">
        <f t="shared" si="242"/>
        <v>0</v>
      </c>
      <c r="AI374" s="61">
        <f t="shared" si="242"/>
        <v>0</v>
      </c>
      <c r="AJ374" s="66" t="e">
        <f t="shared" si="251"/>
        <v>#DIV/0!</v>
      </c>
      <c r="AK374" s="61"/>
      <c r="AL374" s="61"/>
      <c r="AM374" s="66" t="e">
        <f t="shared" si="252"/>
        <v>#DIV/0!</v>
      </c>
      <c r="AN374" s="61">
        <f t="shared" si="243"/>
        <v>0</v>
      </c>
      <c r="AO374" s="61">
        <f t="shared" si="243"/>
        <v>0</v>
      </c>
      <c r="AP374" s="66" t="e">
        <f t="shared" si="253"/>
        <v>#DIV/0!</v>
      </c>
      <c r="AQ374" s="67"/>
      <c r="AR374" s="67"/>
      <c r="AS374" s="66" t="e">
        <f t="shared" si="254"/>
        <v>#DIV/0!</v>
      </c>
      <c r="AT374" s="67">
        <f t="shared" si="255"/>
        <v>0</v>
      </c>
      <c r="AU374" s="67">
        <f t="shared" si="255"/>
        <v>0</v>
      </c>
      <c r="AV374" s="66" t="e">
        <f t="shared" si="256"/>
        <v>#DIV/0!</v>
      </c>
      <c r="AW374" s="61"/>
      <c r="AX374" s="61"/>
      <c r="AY374" s="66" t="e">
        <f t="shared" si="257"/>
        <v>#DIV/0!</v>
      </c>
      <c r="AZ374" s="61">
        <f t="shared" si="258"/>
        <v>0</v>
      </c>
      <c r="BA374" s="61">
        <f t="shared" si="258"/>
        <v>0</v>
      </c>
      <c r="BB374" s="66" t="e">
        <f t="shared" si="259"/>
        <v>#DIV/0!</v>
      </c>
      <c r="BC374" s="61"/>
      <c r="BD374" s="61"/>
      <c r="BE374" s="66" t="e">
        <f t="shared" si="260"/>
        <v>#DIV/0!</v>
      </c>
      <c r="BF374" s="61">
        <f t="shared" si="261"/>
        <v>0</v>
      </c>
      <c r="BG374" s="61">
        <f t="shared" si="261"/>
        <v>0</v>
      </c>
      <c r="BH374" s="66" t="e">
        <f t="shared" si="262"/>
        <v>#DIV/0!</v>
      </c>
      <c r="BI374" s="70"/>
      <c r="BJ374" s="61"/>
      <c r="BK374" s="61"/>
      <c r="BL374" s="61"/>
      <c r="BM374" s="71">
        <f t="shared" si="263"/>
        <v>0</v>
      </c>
    </row>
    <row r="375" spans="1:65">
      <c r="A375" s="52" t="s">
        <v>414</v>
      </c>
      <c r="B375" s="53" t="s">
        <v>414</v>
      </c>
      <c r="C375" s="72" t="s">
        <v>511</v>
      </c>
      <c r="D375" s="55" t="s">
        <v>61</v>
      </c>
      <c r="E375" s="55" t="s">
        <v>61</v>
      </c>
      <c r="F375" s="55" t="s">
        <v>474</v>
      </c>
      <c r="G375" s="55"/>
      <c r="H375" s="53" t="s">
        <v>457</v>
      </c>
      <c r="I375" s="75">
        <v>10</v>
      </c>
      <c r="J375" s="61"/>
      <c r="K375" s="61"/>
      <c r="L375" s="66"/>
      <c r="M375" s="61"/>
      <c r="N375" s="61"/>
      <c r="O375" s="66"/>
      <c r="P375" s="61"/>
      <c r="Q375" s="61"/>
      <c r="R375" s="66"/>
      <c r="S375" s="67"/>
      <c r="T375" s="67"/>
      <c r="U375" s="66"/>
      <c r="V375" s="68"/>
      <c r="W375" s="68"/>
      <c r="X375" s="66"/>
      <c r="Y375" s="61"/>
      <c r="Z375" s="61"/>
      <c r="AA375" s="66"/>
      <c r="AB375" s="61"/>
      <c r="AC375" s="61"/>
      <c r="AD375" s="66"/>
      <c r="AE375" s="61"/>
      <c r="AF375" s="61"/>
      <c r="AG375" s="66" t="e">
        <f t="shared" si="250"/>
        <v>#DIV/0!</v>
      </c>
      <c r="AH375" s="61">
        <f t="shared" si="242"/>
        <v>0</v>
      </c>
      <c r="AI375" s="61">
        <f t="shared" si="242"/>
        <v>0</v>
      </c>
      <c r="AJ375" s="66" t="e">
        <f t="shared" si="251"/>
        <v>#DIV/0!</v>
      </c>
      <c r="AK375" s="61"/>
      <c r="AL375" s="61"/>
      <c r="AM375" s="66" t="e">
        <f t="shared" si="252"/>
        <v>#DIV/0!</v>
      </c>
      <c r="AN375" s="61">
        <f t="shared" si="243"/>
        <v>0</v>
      </c>
      <c r="AO375" s="61">
        <f t="shared" si="243"/>
        <v>0</v>
      </c>
      <c r="AP375" s="66" t="e">
        <f t="shared" si="253"/>
        <v>#DIV/0!</v>
      </c>
      <c r="AQ375" s="67"/>
      <c r="AR375" s="67">
        <v>18490</v>
      </c>
      <c r="AS375" s="66" t="e">
        <f t="shared" si="254"/>
        <v>#DIV/0!</v>
      </c>
      <c r="AT375" s="67">
        <f t="shared" si="255"/>
        <v>0</v>
      </c>
      <c r="AU375" s="67">
        <f t="shared" si="255"/>
        <v>18490</v>
      </c>
      <c r="AV375" s="66" t="e">
        <f t="shared" si="256"/>
        <v>#DIV/0!</v>
      </c>
      <c r="AW375" s="61"/>
      <c r="AX375" s="61">
        <v>3245</v>
      </c>
      <c r="AY375" s="66" t="e">
        <f t="shared" si="257"/>
        <v>#DIV/0!</v>
      </c>
      <c r="AZ375" s="61">
        <f t="shared" si="258"/>
        <v>0</v>
      </c>
      <c r="BA375" s="61">
        <f t="shared" si="258"/>
        <v>21735</v>
      </c>
      <c r="BB375" s="66" t="e">
        <f t="shared" si="259"/>
        <v>#DIV/0!</v>
      </c>
      <c r="BC375" s="61"/>
      <c r="BD375" s="61">
        <v>8850</v>
      </c>
      <c r="BE375" s="66" t="e">
        <f t="shared" si="260"/>
        <v>#DIV/0!</v>
      </c>
      <c r="BF375" s="61">
        <f t="shared" si="261"/>
        <v>0</v>
      </c>
      <c r="BG375" s="61">
        <f t="shared" si="261"/>
        <v>30585</v>
      </c>
      <c r="BH375" s="66" t="e">
        <f t="shared" si="262"/>
        <v>#DIV/0!</v>
      </c>
      <c r="BI375" s="70"/>
      <c r="BJ375" s="61"/>
      <c r="BK375" s="61"/>
      <c r="BL375" s="61"/>
      <c r="BM375" s="71">
        <f t="shared" si="263"/>
        <v>0.30585000000000001</v>
      </c>
    </row>
    <row r="376" spans="1:65">
      <c r="A376" s="52" t="s">
        <v>414</v>
      </c>
      <c r="B376" s="53" t="s">
        <v>414</v>
      </c>
      <c r="C376" s="72" t="s">
        <v>512</v>
      </c>
      <c r="D376" s="55" t="s">
        <v>84</v>
      </c>
      <c r="E376" s="55" t="s">
        <v>84</v>
      </c>
      <c r="F376" s="181" t="s">
        <v>434</v>
      </c>
      <c r="G376" s="182" t="s">
        <v>434</v>
      </c>
      <c r="H376" s="53" t="s">
        <v>435</v>
      </c>
      <c r="I376" s="75">
        <v>100</v>
      </c>
      <c r="J376" s="61"/>
      <c r="K376" s="61"/>
      <c r="L376" s="66"/>
      <c r="M376" s="61"/>
      <c r="N376" s="61"/>
      <c r="O376" s="66"/>
      <c r="P376" s="61"/>
      <c r="Q376" s="61"/>
      <c r="R376" s="66"/>
      <c r="S376" s="67"/>
      <c r="T376" s="67"/>
      <c r="U376" s="66"/>
      <c r="V376" s="68"/>
      <c r="W376" s="68"/>
      <c r="X376" s="66"/>
      <c r="Y376" s="61"/>
      <c r="Z376" s="61"/>
      <c r="AA376" s="66"/>
      <c r="AB376" s="61"/>
      <c r="AC376" s="61"/>
      <c r="AD376" s="66"/>
      <c r="AE376" s="61"/>
      <c r="AF376" s="61"/>
      <c r="AG376" s="66"/>
      <c r="AH376" s="61"/>
      <c r="AI376" s="61"/>
      <c r="AJ376" s="66"/>
      <c r="AK376" s="61"/>
      <c r="AL376" s="61">
        <v>39993.5</v>
      </c>
      <c r="AM376" s="66" t="e">
        <f t="shared" si="252"/>
        <v>#DIV/0!</v>
      </c>
      <c r="AN376" s="61">
        <f t="shared" si="243"/>
        <v>0</v>
      </c>
      <c r="AO376" s="61">
        <f t="shared" si="243"/>
        <v>39993.5</v>
      </c>
      <c r="AP376" s="66" t="e">
        <f t="shared" si="253"/>
        <v>#DIV/0!</v>
      </c>
      <c r="AQ376" s="67"/>
      <c r="AR376" s="67">
        <v>28649</v>
      </c>
      <c r="AS376" s="66" t="e">
        <f t="shared" si="254"/>
        <v>#DIV/0!</v>
      </c>
      <c r="AT376" s="67">
        <f t="shared" si="255"/>
        <v>0</v>
      </c>
      <c r="AU376" s="67">
        <f t="shared" si="255"/>
        <v>68642.5</v>
      </c>
      <c r="AV376" s="66" t="e">
        <f t="shared" si="256"/>
        <v>#DIV/0!</v>
      </c>
      <c r="AW376" s="61"/>
      <c r="AX376" s="61"/>
      <c r="AY376" s="66" t="e">
        <f t="shared" si="257"/>
        <v>#DIV/0!</v>
      </c>
      <c r="AZ376" s="61">
        <f t="shared" si="258"/>
        <v>0</v>
      </c>
      <c r="BA376" s="61">
        <f t="shared" si="258"/>
        <v>68642.5</v>
      </c>
      <c r="BB376" s="66" t="e">
        <f t="shared" si="259"/>
        <v>#DIV/0!</v>
      </c>
      <c r="BC376" s="61"/>
      <c r="BD376" s="61">
        <v>11548</v>
      </c>
      <c r="BE376" s="66" t="e">
        <f t="shared" si="260"/>
        <v>#DIV/0!</v>
      </c>
      <c r="BF376" s="61">
        <f t="shared" si="261"/>
        <v>0</v>
      </c>
      <c r="BG376" s="61">
        <f t="shared" si="261"/>
        <v>80190.5</v>
      </c>
      <c r="BH376" s="66" t="e">
        <f t="shared" si="262"/>
        <v>#DIV/0!</v>
      </c>
      <c r="BI376" s="70"/>
      <c r="BJ376" s="61"/>
      <c r="BK376" s="61"/>
      <c r="BL376" s="61"/>
      <c r="BM376" s="71">
        <f t="shared" si="263"/>
        <v>8.0190499999999998E-2</v>
      </c>
    </row>
    <row r="377" spans="1:65">
      <c r="A377" s="52" t="s">
        <v>414</v>
      </c>
      <c r="B377" s="53" t="s">
        <v>414</v>
      </c>
      <c r="C377" s="72" t="s">
        <v>513</v>
      </c>
      <c r="D377" s="55" t="s">
        <v>61</v>
      </c>
      <c r="E377" s="55" t="s">
        <v>61</v>
      </c>
      <c r="F377" s="55" t="s">
        <v>420</v>
      </c>
      <c r="G377" s="55"/>
      <c r="H377" s="53" t="s">
        <v>421</v>
      </c>
      <c r="I377" s="75">
        <v>10</v>
      </c>
      <c r="J377" s="61"/>
      <c r="K377" s="61"/>
      <c r="L377" s="66"/>
      <c r="M377" s="61"/>
      <c r="N377" s="61"/>
      <c r="O377" s="66"/>
      <c r="P377" s="61"/>
      <c r="Q377" s="61"/>
      <c r="R377" s="66"/>
      <c r="S377" s="67"/>
      <c r="T377" s="67"/>
      <c r="U377" s="66"/>
      <c r="V377" s="68"/>
      <c r="W377" s="68"/>
      <c r="X377" s="66"/>
      <c r="Y377" s="61"/>
      <c r="Z377" s="61"/>
      <c r="AA377" s="66"/>
      <c r="AB377" s="61"/>
      <c r="AC377" s="61"/>
      <c r="AD377" s="66"/>
      <c r="AE377" s="61"/>
      <c r="AF377" s="61"/>
      <c r="AG377" s="66" t="e">
        <f>AF377/AE377-1</f>
        <v>#DIV/0!</v>
      </c>
      <c r="AH377" s="61">
        <f>AE377+AB377</f>
        <v>0</v>
      </c>
      <c r="AI377" s="61">
        <f>AF377+AC377</f>
        <v>0</v>
      </c>
      <c r="AJ377" s="66" t="e">
        <f>AI377/AH377-1</f>
        <v>#DIV/0!</v>
      </c>
      <c r="AK377" s="61"/>
      <c r="AL377" s="61"/>
      <c r="AM377" s="66" t="e">
        <f t="shared" si="252"/>
        <v>#DIV/0!</v>
      </c>
      <c r="AN377" s="61">
        <f t="shared" si="243"/>
        <v>0</v>
      </c>
      <c r="AO377" s="61">
        <f t="shared" si="243"/>
        <v>0</v>
      </c>
      <c r="AP377" s="66" t="e">
        <f t="shared" si="253"/>
        <v>#DIV/0!</v>
      </c>
      <c r="AQ377" s="67"/>
      <c r="AR377" s="67"/>
      <c r="AS377" s="66" t="e">
        <f t="shared" si="254"/>
        <v>#DIV/0!</v>
      </c>
      <c r="AT377" s="67">
        <f t="shared" si="255"/>
        <v>0</v>
      </c>
      <c r="AU377" s="67">
        <f t="shared" si="255"/>
        <v>0</v>
      </c>
      <c r="AV377" s="66" t="e">
        <f t="shared" si="256"/>
        <v>#DIV/0!</v>
      </c>
      <c r="AW377" s="61"/>
      <c r="AX377" s="61"/>
      <c r="AY377" s="66" t="e">
        <f t="shared" si="257"/>
        <v>#DIV/0!</v>
      </c>
      <c r="AZ377" s="61">
        <f t="shared" si="258"/>
        <v>0</v>
      </c>
      <c r="BA377" s="61">
        <f t="shared" si="258"/>
        <v>0</v>
      </c>
      <c r="BB377" s="66" t="e">
        <f t="shared" si="259"/>
        <v>#DIV/0!</v>
      </c>
      <c r="BC377" s="61"/>
      <c r="BD377" s="61"/>
      <c r="BE377" s="66" t="e">
        <f t="shared" si="260"/>
        <v>#DIV/0!</v>
      </c>
      <c r="BF377" s="61">
        <f t="shared" si="261"/>
        <v>0</v>
      </c>
      <c r="BG377" s="61">
        <f t="shared" si="261"/>
        <v>0</v>
      </c>
      <c r="BH377" s="66" t="e">
        <f t="shared" si="262"/>
        <v>#DIV/0!</v>
      </c>
      <c r="BI377" s="70"/>
      <c r="BJ377" s="61"/>
      <c r="BK377" s="61"/>
      <c r="BL377" s="61"/>
      <c r="BM377" s="71">
        <f t="shared" si="263"/>
        <v>0</v>
      </c>
    </row>
    <row r="378" spans="1:65" ht="28">
      <c r="A378" s="52" t="s">
        <v>414</v>
      </c>
      <c r="B378" s="53" t="s">
        <v>414</v>
      </c>
      <c r="C378" s="73" t="s">
        <v>514</v>
      </c>
      <c r="D378" s="55" t="s">
        <v>61</v>
      </c>
      <c r="E378" s="55" t="s">
        <v>61</v>
      </c>
      <c r="F378" s="55" t="s">
        <v>515</v>
      </c>
      <c r="G378" s="55"/>
      <c r="H378" s="53" t="s">
        <v>457</v>
      </c>
      <c r="I378" s="61">
        <v>10</v>
      </c>
      <c r="J378" s="61"/>
      <c r="K378" s="61"/>
      <c r="L378" s="66"/>
      <c r="M378" s="61"/>
      <c r="N378" s="61"/>
      <c r="O378" s="66"/>
      <c r="P378" s="61"/>
      <c r="Q378" s="61"/>
      <c r="R378" s="66"/>
      <c r="S378" s="67"/>
      <c r="T378" s="67"/>
      <c r="U378" s="66"/>
      <c r="V378" s="68"/>
      <c r="W378" s="68"/>
      <c r="X378" s="66"/>
      <c r="Y378" s="61"/>
      <c r="Z378" s="61"/>
      <c r="AA378" s="66"/>
      <c r="AB378" s="61"/>
      <c r="AC378" s="61"/>
      <c r="AD378" s="66"/>
      <c r="AE378" s="61"/>
      <c r="AF378" s="61"/>
      <c r="AG378" s="66"/>
      <c r="AH378" s="61"/>
      <c r="AI378" s="61"/>
      <c r="AJ378" s="66"/>
      <c r="AK378" s="61"/>
      <c r="AL378" s="61"/>
      <c r="AM378" s="66"/>
      <c r="AN378" s="61"/>
      <c r="AO378" s="61"/>
      <c r="AP378" s="66"/>
      <c r="AQ378" s="67"/>
      <c r="AR378" s="67">
        <v>21900</v>
      </c>
      <c r="AS378" s="66" t="e">
        <f t="shared" si="254"/>
        <v>#DIV/0!</v>
      </c>
      <c r="AT378" s="67">
        <f t="shared" si="255"/>
        <v>0</v>
      </c>
      <c r="AU378" s="67">
        <f t="shared" si="255"/>
        <v>21900</v>
      </c>
      <c r="AV378" s="66" t="e">
        <f t="shared" si="256"/>
        <v>#DIV/0!</v>
      </c>
      <c r="AW378" s="61"/>
      <c r="AX378" s="61"/>
      <c r="AY378" s="66" t="e">
        <f t="shared" si="257"/>
        <v>#DIV/0!</v>
      </c>
      <c r="AZ378" s="61">
        <f t="shared" si="258"/>
        <v>0</v>
      </c>
      <c r="BA378" s="61">
        <f t="shared" si="258"/>
        <v>21900</v>
      </c>
      <c r="BB378" s="66" t="e">
        <f t="shared" si="259"/>
        <v>#DIV/0!</v>
      </c>
      <c r="BC378" s="61"/>
      <c r="BD378" s="61"/>
      <c r="BE378" s="66" t="e">
        <f t="shared" si="260"/>
        <v>#DIV/0!</v>
      </c>
      <c r="BF378" s="61">
        <f t="shared" si="261"/>
        <v>0</v>
      </c>
      <c r="BG378" s="61">
        <f t="shared" si="261"/>
        <v>21900</v>
      </c>
      <c r="BH378" s="66" t="e">
        <f t="shared" si="262"/>
        <v>#DIV/0!</v>
      </c>
      <c r="BI378" s="70"/>
      <c r="BJ378" s="61"/>
      <c r="BK378" s="61"/>
      <c r="BL378" s="61"/>
      <c r="BM378" s="71">
        <f t="shared" si="263"/>
        <v>0.219</v>
      </c>
    </row>
    <row r="379" spans="1:65" ht="42">
      <c r="A379" s="52" t="s">
        <v>414</v>
      </c>
      <c r="B379" s="53" t="s">
        <v>414</v>
      </c>
      <c r="C379" s="73" t="s">
        <v>516</v>
      </c>
      <c r="D379" s="55" t="s">
        <v>61</v>
      </c>
      <c r="E379" s="55" t="s">
        <v>61</v>
      </c>
      <c r="F379" s="55" t="s">
        <v>455</v>
      </c>
      <c r="G379" s="55"/>
      <c r="H379" s="53" t="s">
        <v>457</v>
      </c>
      <c r="I379" s="61">
        <v>10</v>
      </c>
      <c r="J379" s="61"/>
      <c r="K379" s="61"/>
      <c r="L379" s="66"/>
      <c r="M379" s="61"/>
      <c r="N379" s="61"/>
      <c r="O379" s="66"/>
      <c r="P379" s="61"/>
      <c r="Q379" s="61"/>
      <c r="R379" s="66"/>
      <c r="S379" s="67"/>
      <c r="T379" s="67"/>
      <c r="U379" s="66"/>
      <c r="V379" s="68"/>
      <c r="W379" s="68"/>
      <c r="X379" s="66"/>
      <c r="Y379" s="61"/>
      <c r="Z379" s="61"/>
      <c r="AA379" s="66"/>
      <c r="AB379" s="61"/>
      <c r="AC379" s="61"/>
      <c r="AD379" s="66"/>
      <c r="AE379" s="61"/>
      <c r="AF379" s="61"/>
      <c r="AG379" s="66"/>
      <c r="AH379" s="61"/>
      <c r="AI379" s="61"/>
      <c r="AJ379" s="66"/>
      <c r="AK379" s="61"/>
      <c r="AL379" s="61"/>
      <c r="AM379" s="66"/>
      <c r="AN379" s="61"/>
      <c r="AO379" s="61"/>
      <c r="AP379" s="66"/>
      <c r="AQ379" s="67"/>
      <c r="AR379" s="67">
        <v>110500</v>
      </c>
      <c r="AS379" s="66" t="e">
        <f t="shared" si="254"/>
        <v>#DIV/0!</v>
      </c>
      <c r="AT379" s="67">
        <f t="shared" si="255"/>
        <v>0</v>
      </c>
      <c r="AU379" s="67">
        <f t="shared" si="255"/>
        <v>110500</v>
      </c>
      <c r="AV379" s="66" t="e">
        <f t="shared" si="256"/>
        <v>#DIV/0!</v>
      </c>
      <c r="AW379" s="61"/>
      <c r="AX379" s="61"/>
      <c r="AY379" s="66" t="e">
        <f t="shared" si="257"/>
        <v>#DIV/0!</v>
      </c>
      <c r="AZ379" s="61">
        <f t="shared" si="258"/>
        <v>0</v>
      </c>
      <c r="BA379" s="61">
        <f t="shared" si="258"/>
        <v>110500</v>
      </c>
      <c r="BB379" s="66" t="e">
        <f t="shared" si="259"/>
        <v>#DIV/0!</v>
      </c>
      <c r="BC379" s="61"/>
      <c r="BD379" s="61"/>
      <c r="BE379" s="66" t="e">
        <f t="shared" si="260"/>
        <v>#DIV/0!</v>
      </c>
      <c r="BF379" s="61">
        <f t="shared" si="261"/>
        <v>0</v>
      </c>
      <c r="BG379" s="61">
        <f t="shared" si="261"/>
        <v>110500</v>
      </c>
      <c r="BH379" s="66" t="e">
        <f t="shared" si="262"/>
        <v>#DIV/0!</v>
      </c>
      <c r="BI379" s="70"/>
      <c r="BJ379" s="61"/>
      <c r="BK379" s="61"/>
      <c r="BL379" s="61"/>
      <c r="BM379" s="71">
        <f t="shared" si="263"/>
        <v>1.105</v>
      </c>
    </row>
    <row r="380" spans="1:65" ht="28">
      <c r="A380" s="52" t="s">
        <v>414</v>
      </c>
      <c r="B380" s="53" t="s">
        <v>414</v>
      </c>
      <c r="C380" s="73" t="s">
        <v>517</v>
      </c>
      <c r="D380" s="55" t="s">
        <v>61</v>
      </c>
      <c r="E380" s="55" t="s">
        <v>61</v>
      </c>
      <c r="F380" s="55" t="s">
        <v>478</v>
      </c>
      <c r="G380" s="55"/>
      <c r="H380" s="53" t="s">
        <v>457</v>
      </c>
      <c r="I380" s="61">
        <v>10</v>
      </c>
      <c r="J380" s="61"/>
      <c r="K380" s="61"/>
      <c r="L380" s="66"/>
      <c r="M380" s="61"/>
      <c r="N380" s="61"/>
      <c r="O380" s="66"/>
      <c r="P380" s="61"/>
      <c r="Q380" s="61"/>
      <c r="R380" s="66"/>
      <c r="S380" s="67"/>
      <c r="T380" s="67"/>
      <c r="U380" s="66"/>
      <c r="V380" s="68"/>
      <c r="W380" s="68"/>
      <c r="X380" s="66"/>
      <c r="Y380" s="61"/>
      <c r="Z380" s="61"/>
      <c r="AA380" s="66"/>
      <c r="AB380" s="61"/>
      <c r="AC380" s="61"/>
      <c r="AD380" s="66"/>
      <c r="AE380" s="61"/>
      <c r="AF380" s="61"/>
      <c r="AG380" s="66"/>
      <c r="AH380" s="61"/>
      <c r="AI380" s="61"/>
      <c r="AJ380" s="66"/>
      <c r="AK380" s="61"/>
      <c r="AL380" s="61"/>
      <c r="AM380" s="66"/>
      <c r="AN380" s="61"/>
      <c r="AO380" s="61"/>
      <c r="AP380" s="66"/>
      <c r="AQ380" s="67"/>
      <c r="AR380" s="67">
        <v>55500</v>
      </c>
      <c r="AS380" s="66" t="e">
        <f t="shared" si="254"/>
        <v>#DIV/0!</v>
      </c>
      <c r="AT380" s="67">
        <f t="shared" si="255"/>
        <v>0</v>
      </c>
      <c r="AU380" s="67">
        <f t="shared" si="255"/>
        <v>55500</v>
      </c>
      <c r="AV380" s="66" t="e">
        <f t="shared" si="256"/>
        <v>#DIV/0!</v>
      </c>
      <c r="AW380" s="61"/>
      <c r="AX380" s="61">
        <v>1067</v>
      </c>
      <c r="AY380" s="66" t="e">
        <f t="shared" si="257"/>
        <v>#DIV/0!</v>
      </c>
      <c r="AZ380" s="61">
        <f t="shared" si="258"/>
        <v>0</v>
      </c>
      <c r="BA380" s="61">
        <f t="shared" si="258"/>
        <v>56567</v>
      </c>
      <c r="BB380" s="66" t="e">
        <f t="shared" si="259"/>
        <v>#DIV/0!</v>
      </c>
      <c r="BC380" s="61"/>
      <c r="BD380" s="61"/>
      <c r="BE380" s="66" t="e">
        <f t="shared" si="260"/>
        <v>#DIV/0!</v>
      </c>
      <c r="BF380" s="61">
        <f t="shared" si="261"/>
        <v>0</v>
      </c>
      <c r="BG380" s="61">
        <f t="shared" si="261"/>
        <v>56567</v>
      </c>
      <c r="BH380" s="66" t="e">
        <f t="shared" si="262"/>
        <v>#DIV/0!</v>
      </c>
      <c r="BI380" s="70"/>
      <c r="BJ380" s="61"/>
      <c r="BK380" s="61"/>
      <c r="BL380" s="61"/>
      <c r="BM380" s="71">
        <f t="shared" si="263"/>
        <v>0.56567000000000001</v>
      </c>
    </row>
    <row r="381" spans="1:65" ht="28">
      <c r="A381" s="52" t="s">
        <v>414</v>
      </c>
      <c r="B381" s="53" t="s">
        <v>414</v>
      </c>
      <c r="C381" s="73" t="s">
        <v>518</v>
      </c>
      <c r="D381" s="55" t="s">
        <v>61</v>
      </c>
      <c r="E381" s="55" t="s">
        <v>61</v>
      </c>
      <c r="F381" s="55" t="s">
        <v>492</v>
      </c>
      <c r="G381" s="61" t="s">
        <v>492</v>
      </c>
      <c r="H381" s="53" t="s">
        <v>457</v>
      </c>
      <c r="I381" s="61">
        <v>10</v>
      </c>
      <c r="J381" s="61"/>
      <c r="K381" s="61"/>
      <c r="L381" s="66"/>
      <c r="M381" s="61"/>
      <c r="N381" s="61"/>
      <c r="O381" s="66"/>
      <c r="P381" s="61"/>
      <c r="Q381" s="61"/>
      <c r="R381" s="66"/>
      <c r="S381" s="67"/>
      <c r="T381" s="67"/>
      <c r="U381" s="66"/>
      <c r="V381" s="68"/>
      <c r="W381" s="68"/>
      <c r="X381" s="66"/>
      <c r="Y381" s="61"/>
      <c r="Z381" s="61"/>
      <c r="AA381" s="66"/>
      <c r="AB381" s="61"/>
      <c r="AC381" s="61"/>
      <c r="AD381" s="66"/>
      <c r="AE381" s="61"/>
      <c r="AF381" s="61"/>
      <c r="AG381" s="66"/>
      <c r="AH381" s="61"/>
      <c r="AI381" s="61"/>
      <c r="AJ381" s="66"/>
      <c r="AK381" s="61"/>
      <c r="AL381" s="61"/>
      <c r="AM381" s="66"/>
      <c r="AN381" s="61"/>
      <c r="AO381" s="61"/>
      <c r="AP381" s="66"/>
      <c r="AQ381" s="67"/>
      <c r="AR381" s="67">
        <v>36798</v>
      </c>
      <c r="AS381" s="66" t="e">
        <f t="shared" si="254"/>
        <v>#DIV/0!</v>
      </c>
      <c r="AT381" s="67">
        <f t="shared" si="255"/>
        <v>0</v>
      </c>
      <c r="AU381" s="67">
        <f t="shared" si="255"/>
        <v>36798</v>
      </c>
      <c r="AV381" s="66" t="e">
        <f t="shared" si="256"/>
        <v>#DIV/0!</v>
      </c>
      <c r="AW381" s="61"/>
      <c r="AX381" s="61">
        <v>4500</v>
      </c>
      <c r="AY381" s="66" t="e">
        <f t="shared" si="257"/>
        <v>#DIV/0!</v>
      </c>
      <c r="AZ381" s="61">
        <f t="shared" si="258"/>
        <v>0</v>
      </c>
      <c r="BA381" s="61">
        <f t="shared" si="258"/>
        <v>41298</v>
      </c>
      <c r="BB381" s="66" t="e">
        <f t="shared" si="259"/>
        <v>#DIV/0!</v>
      </c>
      <c r="BC381" s="61"/>
      <c r="BD381" s="61"/>
      <c r="BE381" s="66" t="e">
        <f t="shared" si="260"/>
        <v>#DIV/0!</v>
      </c>
      <c r="BF381" s="61">
        <f t="shared" si="261"/>
        <v>0</v>
      </c>
      <c r="BG381" s="61">
        <f t="shared" si="261"/>
        <v>41298</v>
      </c>
      <c r="BH381" s="66" t="e">
        <f t="shared" si="262"/>
        <v>#DIV/0!</v>
      </c>
      <c r="BI381" s="70"/>
      <c r="BJ381" s="61"/>
      <c r="BK381" s="61"/>
      <c r="BL381" s="61"/>
      <c r="BM381" s="71">
        <f t="shared" si="263"/>
        <v>0.41298000000000001</v>
      </c>
    </row>
    <row r="382" spans="1:65" ht="42">
      <c r="A382" s="52" t="s">
        <v>414</v>
      </c>
      <c r="B382" s="53" t="s">
        <v>414</v>
      </c>
      <c r="C382" s="74" t="s">
        <v>519</v>
      </c>
      <c r="D382" s="55" t="s">
        <v>61</v>
      </c>
      <c r="E382" s="55" t="s">
        <v>61</v>
      </c>
      <c r="F382" s="55" t="s">
        <v>464</v>
      </c>
      <c r="G382" s="55"/>
      <c r="H382" s="53" t="s">
        <v>435</v>
      </c>
      <c r="I382" s="61">
        <v>100</v>
      </c>
      <c r="J382" s="61"/>
      <c r="K382" s="61"/>
      <c r="L382" s="66"/>
      <c r="M382" s="61"/>
      <c r="N382" s="61"/>
      <c r="O382" s="66"/>
      <c r="P382" s="61"/>
      <c r="Q382" s="61"/>
      <c r="R382" s="66"/>
      <c r="S382" s="67"/>
      <c r="T382" s="67"/>
      <c r="U382" s="66"/>
      <c r="V382" s="68"/>
      <c r="W382" s="68"/>
      <c r="X382" s="66"/>
      <c r="Y382" s="61"/>
      <c r="Z382" s="61"/>
      <c r="AA382" s="66"/>
      <c r="AB382" s="61"/>
      <c r="AC382" s="61"/>
      <c r="AD382" s="66"/>
      <c r="AE382" s="61"/>
      <c r="AF382" s="61"/>
      <c r="AG382" s="66"/>
      <c r="AH382" s="61"/>
      <c r="AI382" s="61"/>
      <c r="AJ382" s="66"/>
      <c r="AK382" s="61"/>
      <c r="AL382" s="61"/>
      <c r="AM382" s="66"/>
      <c r="AN382" s="61"/>
      <c r="AO382" s="61"/>
      <c r="AP382" s="66"/>
      <c r="AQ382" s="67"/>
      <c r="AR382" s="67"/>
      <c r="AS382" s="66" t="e">
        <f t="shared" si="254"/>
        <v>#DIV/0!</v>
      </c>
      <c r="AT382" s="67">
        <f t="shared" si="255"/>
        <v>0</v>
      </c>
      <c r="AU382" s="67">
        <f t="shared" si="255"/>
        <v>0</v>
      </c>
      <c r="AV382" s="66" t="e">
        <f t="shared" si="256"/>
        <v>#DIV/0!</v>
      </c>
      <c r="AW382" s="61"/>
      <c r="AX382" s="61"/>
      <c r="AY382" s="66" t="e">
        <f t="shared" si="257"/>
        <v>#DIV/0!</v>
      </c>
      <c r="AZ382" s="61">
        <f t="shared" si="258"/>
        <v>0</v>
      </c>
      <c r="BA382" s="61">
        <f t="shared" si="258"/>
        <v>0</v>
      </c>
      <c r="BB382" s="66" t="e">
        <f t="shared" si="259"/>
        <v>#DIV/0!</v>
      </c>
      <c r="BC382" s="61"/>
      <c r="BD382" s="61"/>
      <c r="BE382" s="66" t="e">
        <f t="shared" si="260"/>
        <v>#DIV/0!</v>
      </c>
      <c r="BF382" s="61">
        <f t="shared" si="261"/>
        <v>0</v>
      </c>
      <c r="BG382" s="61">
        <f t="shared" si="261"/>
        <v>0</v>
      </c>
      <c r="BH382" s="66" t="e">
        <f t="shared" si="262"/>
        <v>#DIV/0!</v>
      </c>
      <c r="BI382" s="70"/>
      <c r="BJ382" s="61"/>
      <c r="BK382" s="61"/>
      <c r="BL382" s="61"/>
      <c r="BM382" s="71">
        <f t="shared" si="263"/>
        <v>0</v>
      </c>
    </row>
    <row r="383" spans="1:65">
      <c r="A383" s="52"/>
      <c r="B383" s="53">
        <v>57</v>
      </c>
      <c r="C383" s="62" t="s">
        <v>31</v>
      </c>
      <c r="D383" s="61"/>
      <c r="E383" s="55"/>
      <c r="F383" s="61"/>
      <c r="G383" s="61"/>
      <c r="H383" s="53"/>
      <c r="I383" s="61">
        <f>SUM(I302:I382)</f>
        <v>1381</v>
      </c>
      <c r="J383" s="61">
        <f>SUM(J302:J377)</f>
        <v>1223845.6000000001</v>
      </c>
      <c r="K383" s="61">
        <f>SUM(K302:K377)</f>
        <v>595578.30000000005</v>
      </c>
      <c r="L383" s="66">
        <f>K383/J383-1</f>
        <v>-0.51335503432785967</v>
      </c>
      <c r="M383" s="61">
        <f>SUM(M302:M373)</f>
        <v>355310.4</v>
      </c>
      <c r="N383" s="61">
        <f>SUM(N302:N373)</f>
        <v>470333.56</v>
      </c>
      <c r="O383" s="66">
        <f>N383/M383-1</f>
        <v>0.32372584647114167</v>
      </c>
      <c r="P383" s="61">
        <f>SUM(P302:P373)</f>
        <v>1579156</v>
      </c>
      <c r="Q383" s="61">
        <f>SUM(Q302:Q373)</f>
        <v>1065911.8599999999</v>
      </c>
      <c r="R383" s="66">
        <f>Q383/P383-1</f>
        <v>-0.32501167712372947</v>
      </c>
      <c r="S383" s="61">
        <f>SUM(S302:S373)</f>
        <v>756633.2</v>
      </c>
      <c r="T383" s="61">
        <f>SUM(T302:T373)</f>
        <v>1014927.78</v>
      </c>
      <c r="U383" s="66">
        <f>T383/S383-1</f>
        <v>0.34137357440831306</v>
      </c>
      <c r="V383" s="61">
        <f>SUM(V302:V373)</f>
        <v>2335789.2000000002</v>
      </c>
      <c r="W383" s="61">
        <f>SUM(W302:W373)</f>
        <v>2080839.6400000001</v>
      </c>
      <c r="X383" s="66">
        <f>W383/V383-1</f>
        <v>-0.1091492160337072</v>
      </c>
      <c r="Y383" s="61">
        <f>SUM(Y302:Y373)</f>
        <v>683687.2</v>
      </c>
      <c r="Z383" s="61">
        <f>SUM(Z302:Z377)</f>
        <v>937105.26</v>
      </c>
      <c r="AA383" s="66">
        <f>Z383/Y383-1</f>
        <v>0.37066374798299595</v>
      </c>
      <c r="AB383" s="61">
        <f t="shared" ref="AB383:AF383" si="264">SUM(AB302:AB373)</f>
        <v>3019476.4</v>
      </c>
      <c r="AC383" s="61">
        <f t="shared" si="264"/>
        <v>3017944.9</v>
      </c>
      <c r="AD383" s="66">
        <f>AC383/AB383-1</f>
        <v>-5.0720714359620001E-4</v>
      </c>
      <c r="AE383" s="61">
        <f t="shared" si="264"/>
        <v>541949.88</v>
      </c>
      <c r="AF383" s="61">
        <f t="shared" si="264"/>
        <v>704690</v>
      </c>
      <c r="AG383" s="66">
        <f>AF383/AE383-1</f>
        <v>0.30028629215675817</v>
      </c>
      <c r="AH383" s="61">
        <f>SUM(AH302:AH373)</f>
        <v>3561426.2800000003</v>
      </c>
      <c r="AI383" s="61">
        <f>SUM(AI302:AI373)</f>
        <v>3722634.9</v>
      </c>
      <c r="AJ383" s="66">
        <f>AI383/AH383-1</f>
        <v>4.5265185160592303E-2</v>
      </c>
      <c r="AK383" s="61">
        <f>SUM(AK302:AK373)</f>
        <v>565078.80000000005</v>
      </c>
      <c r="AL383" s="61">
        <f t="shared" ref="AL383:AN383" si="265">SUM(AL302:AL377)</f>
        <v>1078704.8799999999</v>
      </c>
      <c r="AM383" s="66">
        <f>AL383/AK383-1</f>
        <v>0.90894593815942093</v>
      </c>
      <c r="AN383" s="61">
        <f t="shared" si="265"/>
        <v>4126505.08</v>
      </c>
      <c r="AO383" s="61">
        <f t="shared" ref="AO383:AR383" si="266">SUM(AO302:AO382)</f>
        <v>4801339.78</v>
      </c>
      <c r="AP383" s="66">
        <f>AO383/AN383-1</f>
        <v>0.16353662164884586</v>
      </c>
      <c r="AQ383" s="61">
        <f t="shared" si="266"/>
        <v>611348.06000000006</v>
      </c>
      <c r="AR383" s="61">
        <f t="shared" si="266"/>
        <v>1118070.6600000001</v>
      </c>
      <c r="AS383" s="66">
        <f t="shared" si="254"/>
        <v>0.82886105829795231</v>
      </c>
      <c r="AT383" s="61">
        <f t="shared" ref="AT383:AX383" si="267">SUM(AT302:AT382)</f>
        <v>4737853.1400000006</v>
      </c>
      <c r="AU383" s="61">
        <f t="shared" si="267"/>
        <v>5919410.4399999995</v>
      </c>
      <c r="AV383" s="66">
        <f t="shared" si="256"/>
        <v>0.24938664519263654</v>
      </c>
      <c r="AW383" s="61">
        <f t="shared" si="267"/>
        <v>565935</v>
      </c>
      <c r="AX383" s="61">
        <f t="shared" si="267"/>
        <v>529250</v>
      </c>
      <c r="AY383" s="66">
        <f t="shared" si="257"/>
        <v>-6.4821931847296899E-2</v>
      </c>
      <c r="AZ383" s="61">
        <f t="shared" ref="AZ383:BD383" si="268">SUM(AZ302:AZ382)</f>
        <v>5303788.1400000006</v>
      </c>
      <c r="BA383" s="61">
        <f t="shared" si="268"/>
        <v>6448660.4399999995</v>
      </c>
      <c r="BB383" s="66">
        <f t="shared" si="259"/>
        <v>0.21585935745917606</v>
      </c>
      <c r="BC383" s="61">
        <f t="shared" si="268"/>
        <v>1201478.6399999999</v>
      </c>
      <c r="BD383" s="61">
        <f t="shared" si="268"/>
        <v>574943.15999999992</v>
      </c>
      <c r="BE383" s="66">
        <f t="shared" si="260"/>
        <v>-0.52147034424182526</v>
      </c>
      <c r="BF383" s="61">
        <f>SUM(BF302:BF382)</f>
        <v>6505266.7800000003</v>
      </c>
      <c r="BG383" s="61">
        <f>SUM(BG302:BG382)</f>
        <v>7023603.5999999996</v>
      </c>
      <c r="BH383" s="66">
        <f t="shared" si="262"/>
        <v>7.9679563887155247E-2</v>
      </c>
      <c r="BI383" s="70">
        <v>2091707.07</v>
      </c>
      <c r="BJ383" s="70">
        <v>1301604.23</v>
      </c>
      <c r="BK383" s="70">
        <v>1864182.71</v>
      </c>
      <c r="BL383" s="70">
        <v>11762760.789999999</v>
      </c>
      <c r="BM383" s="71">
        <f t="shared" si="263"/>
        <v>0.50858824040550332</v>
      </c>
    </row>
  </sheetData>
  <mergeCells count="295">
    <mergeCell ref="I2:I3"/>
    <mergeCell ref="J2:K2"/>
    <mergeCell ref="L2:L3"/>
    <mergeCell ref="M2:N2"/>
    <mergeCell ref="O2:O3"/>
    <mergeCell ref="P2:Q2"/>
    <mergeCell ref="AP2:AP3"/>
    <mergeCell ref="AQ2:AR2"/>
    <mergeCell ref="AA2:AA3"/>
    <mergeCell ref="AB2:AC2"/>
    <mergeCell ref="AD2:AD3"/>
    <mergeCell ref="AE2:AF2"/>
    <mergeCell ref="AG2:AG3"/>
    <mergeCell ref="AH2:AI2"/>
    <mergeCell ref="R2:R3"/>
    <mergeCell ref="S2:T2"/>
    <mergeCell ref="U2:U3"/>
    <mergeCell ref="V2:W2"/>
    <mergeCell ref="X2:X3"/>
    <mergeCell ref="Y2:Z2"/>
    <mergeCell ref="I4:I5"/>
    <mergeCell ref="BM4:BM5"/>
    <mergeCell ref="C53:C54"/>
    <mergeCell ref="D53:D54"/>
    <mergeCell ref="E53:E54"/>
    <mergeCell ref="F53:F54"/>
    <mergeCell ref="G53:G54"/>
    <mergeCell ref="H53:H54"/>
    <mergeCell ref="BB2:BB3"/>
    <mergeCell ref="BC2:BD2"/>
    <mergeCell ref="BE2:BE3"/>
    <mergeCell ref="BF2:BG2"/>
    <mergeCell ref="BH2:BH3"/>
    <mergeCell ref="BM2:BM3"/>
    <mergeCell ref="AS2:AS3"/>
    <mergeCell ref="AT2:AU2"/>
    <mergeCell ref="AV2:AV3"/>
    <mergeCell ref="AW2:AX2"/>
    <mergeCell ref="AY2:AY3"/>
    <mergeCell ref="AZ2:BA2"/>
    <mergeCell ref="AJ2:AJ3"/>
    <mergeCell ref="AK2:AL2"/>
    <mergeCell ref="AM2:AM3"/>
    <mergeCell ref="AN2:AO2"/>
    <mergeCell ref="V53:W53"/>
    <mergeCell ref="X53:X54"/>
    <mergeCell ref="Y53:Z53"/>
    <mergeCell ref="I53:I54"/>
    <mergeCell ref="J53:K53"/>
    <mergeCell ref="L53:L54"/>
    <mergeCell ref="M53:N53"/>
    <mergeCell ref="O53:O54"/>
    <mergeCell ref="P53:Q53"/>
    <mergeCell ref="BF53:BG53"/>
    <mergeCell ref="BH53:BH54"/>
    <mergeCell ref="BM53:BM54"/>
    <mergeCell ref="AS53:AS54"/>
    <mergeCell ref="AT53:AU53"/>
    <mergeCell ref="AV53:AV54"/>
    <mergeCell ref="AW53:AX53"/>
    <mergeCell ref="AY53:AY54"/>
    <mergeCell ref="AZ53:BA53"/>
    <mergeCell ref="A79:A80"/>
    <mergeCell ref="B79:B80"/>
    <mergeCell ref="C79:C80"/>
    <mergeCell ref="D79:D80"/>
    <mergeCell ref="E79:E80"/>
    <mergeCell ref="F79:F80"/>
    <mergeCell ref="BB53:BB54"/>
    <mergeCell ref="BC53:BD53"/>
    <mergeCell ref="BE53:BE54"/>
    <mergeCell ref="AJ53:AJ54"/>
    <mergeCell ref="AK53:AL53"/>
    <mergeCell ref="AM53:AM54"/>
    <mergeCell ref="AN53:AO53"/>
    <mergeCell ref="AP53:AP54"/>
    <mergeCell ref="AQ53:AR53"/>
    <mergeCell ref="AA53:AA54"/>
    <mergeCell ref="AB53:AC53"/>
    <mergeCell ref="AD53:AD54"/>
    <mergeCell ref="AE53:AF53"/>
    <mergeCell ref="AG53:AG54"/>
    <mergeCell ref="AH53:AI53"/>
    <mergeCell ref="R53:R54"/>
    <mergeCell ref="S53:T53"/>
    <mergeCell ref="U53:U54"/>
    <mergeCell ref="O79:O80"/>
    <mergeCell ref="P79:Q79"/>
    <mergeCell ref="R79:R80"/>
    <mergeCell ref="S79:T79"/>
    <mergeCell ref="U79:U80"/>
    <mergeCell ref="V79:W79"/>
    <mergeCell ref="G79:G80"/>
    <mergeCell ref="H79:H80"/>
    <mergeCell ref="I79:I80"/>
    <mergeCell ref="J79:K79"/>
    <mergeCell ref="L79:L80"/>
    <mergeCell ref="M79:N79"/>
    <mergeCell ref="AJ79:AJ80"/>
    <mergeCell ref="AK79:AL79"/>
    <mergeCell ref="AM79:AM80"/>
    <mergeCell ref="AN79:AO79"/>
    <mergeCell ref="X79:X80"/>
    <mergeCell ref="Y79:Z79"/>
    <mergeCell ref="AA79:AA80"/>
    <mergeCell ref="AB79:AC79"/>
    <mergeCell ref="AD79:AD80"/>
    <mergeCell ref="AE79:AF79"/>
    <mergeCell ref="BH79:BH80"/>
    <mergeCell ref="BM79:BM80"/>
    <mergeCell ref="C112:C113"/>
    <mergeCell ref="D112:D113"/>
    <mergeCell ref="E112:E113"/>
    <mergeCell ref="F112:F113"/>
    <mergeCell ref="G112:G113"/>
    <mergeCell ref="H112:H113"/>
    <mergeCell ref="I112:I113"/>
    <mergeCell ref="J112:K112"/>
    <mergeCell ref="AY79:AY80"/>
    <mergeCell ref="AZ79:BA79"/>
    <mergeCell ref="BB79:BB80"/>
    <mergeCell ref="BC79:BD79"/>
    <mergeCell ref="BE79:BE80"/>
    <mergeCell ref="BF79:BG79"/>
    <mergeCell ref="AP79:AP80"/>
    <mergeCell ref="AQ79:AR79"/>
    <mergeCell ref="AS79:AS80"/>
    <mergeCell ref="AT79:AU79"/>
    <mergeCell ref="AV79:AV80"/>
    <mergeCell ref="AW79:AX79"/>
    <mergeCell ref="AG79:AG80"/>
    <mergeCell ref="AH79:AI79"/>
    <mergeCell ref="BM112:BM113"/>
    <mergeCell ref="C196:C197"/>
    <mergeCell ref="D196:D197"/>
    <mergeCell ref="E196:E197"/>
    <mergeCell ref="F196:F197"/>
    <mergeCell ref="G196:G197"/>
    <mergeCell ref="AV112:AV113"/>
    <mergeCell ref="AW112:AX112"/>
    <mergeCell ref="AY112:AY113"/>
    <mergeCell ref="AZ112:BA112"/>
    <mergeCell ref="BB112:BB113"/>
    <mergeCell ref="BC112:BD112"/>
    <mergeCell ref="AM112:AM113"/>
    <mergeCell ref="AN112:AO112"/>
    <mergeCell ref="AP112:AP113"/>
    <mergeCell ref="AQ112:AR112"/>
    <mergeCell ref="AS112:AS113"/>
    <mergeCell ref="AT112:AU112"/>
    <mergeCell ref="AD112:AD113"/>
    <mergeCell ref="AE112:AF112"/>
    <mergeCell ref="AG112:AG113"/>
    <mergeCell ref="AH112:AI112"/>
    <mergeCell ref="AJ112:AJ113"/>
    <mergeCell ref="AK112:AL112"/>
    <mergeCell ref="H196:H197"/>
    <mergeCell ref="I196:I197"/>
    <mergeCell ref="J196:K196"/>
    <mergeCell ref="L196:L197"/>
    <mergeCell ref="M196:N196"/>
    <mergeCell ref="O196:O197"/>
    <mergeCell ref="BE112:BE113"/>
    <mergeCell ref="BF112:BG112"/>
    <mergeCell ref="BH112:BH113"/>
    <mergeCell ref="U112:U113"/>
    <mergeCell ref="V112:W112"/>
    <mergeCell ref="X112:X113"/>
    <mergeCell ref="Y112:Z112"/>
    <mergeCell ref="AA112:AA113"/>
    <mergeCell ref="AB112:AC112"/>
    <mergeCell ref="L112:L113"/>
    <mergeCell ref="M112:N112"/>
    <mergeCell ref="O112:O113"/>
    <mergeCell ref="P112:Q112"/>
    <mergeCell ref="R112:R113"/>
    <mergeCell ref="S112:T112"/>
    <mergeCell ref="Y196:Z196"/>
    <mergeCell ref="AA196:AA197"/>
    <mergeCell ref="AB196:AC196"/>
    <mergeCell ref="AD196:AD197"/>
    <mergeCell ref="AE196:AF196"/>
    <mergeCell ref="AG196:AG197"/>
    <mergeCell ref="P196:Q196"/>
    <mergeCell ref="R196:R197"/>
    <mergeCell ref="S196:T196"/>
    <mergeCell ref="U196:U197"/>
    <mergeCell ref="V196:W196"/>
    <mergeCell ref="X196:X197"/>
    <mergeCell ref="AT196:AU196"/>
    <mergeCell ref="AV196:AV197"/>
    <mergeCell ref="AW196:AX196"/>
    <mergeCell ref="AY196:AY197"/>
    <mergeCell ref="AH196:AI196"/>
    <mergeCell ref="AJ196:AJ197"/>
    <mergeCell ref="AK196:AL196"/>
    <mergeCell ref="AM196:AM197"/>
    <mergeCell ref="AN196:AO196"/>
    <mergeCell ref="AP196:AP197"/>
    <mergeCell ref="M234:N234"/>
    <mergeCell ref="O234:O235"/>
    <mergeCell ref="P234:Q234"/>
    <mergeCell ref="R234:R235"/>
    <mergeCell ref="S234:T234"/>
    <mergeCell ref="U234:U235"/>
    <mergeCell ref="BM196:BM197"/>
    <mergeCell ref="C234:C235"/>
    <mergeCell ref="D234:D235"/>
    <mergeCell ref="E234:E235"/>
    <mergeCell ref="F234:F235"/>
    <mergeCell ref="G234:G235"/>
    <mergeCell ref="H234:H235"/>
    <mergeCell ref="I234:I235"/>
    <mergeCell ref="J234:K234"/>
    <mergeCell ref="L234:L235"/>
    <mergeCell ref="AZ196:BA196"/>
    <mergeCell ref="BB196:BB197"/>
    <mergeCell ref="BC196:BD196"/>
    <mergeCell ref="BE196:BE197"/>
    <mergeCell ref="BF196:BG196"/>
    <mergeCell ref="BH196:BH197"/>
    <mergeCell ref="AQ196:AR196"/>
    <mergeCell ref="AS196:AS197"/>
    <mergeCell ref="AH234:AI234"/>
    <mergeCell ref="AJ234:AJ235"/>
    <mergeCell ref="AK234:AL234"/>
    <mergeCell ref="AM234:AM235"/>
    <mergeCell ref="V234:W234"/>
    <mergeCell ref="X234:X235"/>
    <mergeCell ref="Y234:Z234"/>
    <mergeCell ref="AA234:AA235"/>
    <mergeCell ref="AB234:AC234"/>
    <mergeCell ref="AD234:AD235"/>
    <mergeCell ref="BF234:BG234"/>
    <mergeCell ref="BH234:BH235"/>
    <mergeCell ref="BM234:BM235"/>
    <mergeCell ref="C300:C301"/>
    <mergeCell ref="D300:D301"/>
    <mergeCell ref="E300:E301"/>
    <mergeCell ref="F300:F301"/>
    <mergeCell ref="G300:G301"/>
    <mergeCell ref="H300:H301"/>
    <mergeCell ref="I300:I301"/>
    <mergeCell ref="AW234:AX234"/>
    <mergeCell ref="AY234:AY235"/>
    <mergeCell ref="AZ234:BA234"/>
    <mergeCell ref="BB234:BB235"/>
    <mergeCell ref="BC234:BD234"/>
    <mergeCell ref="BE234:BE235"/>
    <mergeCell ref="AN234:AO234"/>
    <mergeCell ref="AP234:AP235"/>
    <mergeCell ref="AQ234:AR234"/>
    <mergeCell ref="AS234:AS235"/>
    <mergeCell ref="AT234:AU234"/>
    <mergeCell ref="AV234:AV235"/>
    <mergeCell ref="AE234:AF234"/>
    <mergeCell ref="AG234:AG235"/>
    <mergeCell ref="AH300:AI300"/>
    <mergeCell ref="AJ300:AJ301"/>
    <mergeCell ref="S300:T300"/>
    <mergeCell ref="U300:U301"/>
    <mergeCell ref="V300:W300"/>
    <mergeCell ref="X300:X301"/>
    <mergeCell ref="Y300:Z300"/>
    <mergeCell ref="AA300:AA301"/>
    <mergeCell ref="J300:K300"/>
    <mergeCell ref="L300:L301"/>
    <mergeCell ref="M300:N300"/>
    <mergeCell ref="O300:O301"/>
    <mergeCell ref="P300:Q300"/>
    <mergeCell ref="R300:R301"/>
    <mergeCell ref="B196:B197"/>
    <mergeCell ref="B53:B54"/>
    <mergeCell ref="A53:A54"/>
    <mergeCell ref="BC300:BD300"/>
    <mergeCell ref="BE300:BE301"/>
    <mergeCell ref="BF300:BG300"/>
    <mergeCell ref="BH300:BH301"/>
    <mergeCell ref="BM300:BM301"/>
    <mergeCell ref="AT300:AU300"/>
    <mergeCell ref="AV300:AV301"/>
    <mergeCell ref="AW300:AX300"/>
    <mergeCell ref="AY300:AY301"/>
    <mergeCell ref="AZ300:BA300"/>
    <mergeCell ref="BB300:BB301"/>
    <mergeCell ref="AK300:AL300"/>
    <mergeCell ref="AM300:AM301"/>
    <mergeCell ref="AN300:AO300"/>
    <mergeCell ref="AP300:AP301"/>
    <mergeCell ref="AQ300:AR300"/>
    <mergeCell ref="AS300:AS301"/>
    <mergeCell ref="AB300:AC300"/>
    <mergeCell ref="AD300:AD301"/>
    <mergeCell ref="AE300:AF300"/>
    <mergeCell ref="AG300:AG301"/>
  </mergeCells>
  <phoneticPr fontId="3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 filterMode="1">
    <tabColor rgb="FF00B050"/>
  </sheetPr>
  <dimension ref="A1:BP50"/>
  <sheetViews>
    <sheetView tabSelected="1" workbookViewId="0">
      <pane xSplit="9" ySplit="2" topLeftCell="J3" activePane="bottomRight" state="frozen"/>
      <selection pane="topRight"/>
      <selection pane="bottomLeft"/>
      <selection pane="bottomRight" activeCell="C65" sqref="C65"/>
    </sheetView>
  </sheetViews>
  <sheetFormatPr baseColWidth="10" defaultColWidth="9" defaultRowHeight="14"/>
  <cols>
    <col min="1" max="1" width="6.33203125" style="19" customWidth="1"/>
    <col min="2" max="2" width="4.83203125" style="19" customWidth="1"/>
    <col min="3" max="3" width="30" style="76" customWidth="1"/>
    <col min="4" max="5" width="7.6640625" style="19" customWidth="1"/>
    <col min="6" max="6" width="7.33203125" style="19" customWidth="1"/>
    <col min="7" max="7" width="11.5" style="19" customWidth="1"/>
    <col min="8" max="12" width="10.33203125" style="19" customWidth="1"/>
    <col min="13" max="13" width="9.33203125" style="19" customWidth="1"/>
    <col min="14" max="18" width="10.33203125" style="19" customWidth="1"/>
    <col min="19" max="24" width="10.33203125" style="77" customWidth="1"/>
    <col min="25" max="30" width="11.1640625" style="77" customWidth="1"/>
    <col min="31" max="60" width="10.33203125" style="77" customWidth="1"/>
    <col min="61" max="64" width="10.33203125" style="77" hidden="1" customWidth="1"/>
    <col min="65" max="65" width="10.33203125" style="77" customWidth="1"/>
    <col min="66" max="66" width="9" style="19" customWidth="1"/>
    <col min="67" max="67" width="10.1640625" style="19"/>
    <col min="68" max="16384" width="9" style="19"/>
  </cols>
  <sheetData>
    <row r="1" spans="1:68" s="77" customFormat="1">
      <c r="B1" s="33"/>
      <c r="C1" s="81"/>
      <c r="D1" s="33"/>
      <c r="E1" s="33"/>
      <c r="F1" s="33"/>
      <c r="G1" s="33"/>
      <c r="H1" s="78"/>
      <c r="I1" s="193" t="s">
        <v>583</v>
      </c>
      <c r="J1" s="197" t="s">
        <v>581</v>
      </c>
      <c r="K1" s="197"/>
      <c r="L1" s="196" t="s">
        <v>4</v>
      </c>
      <c r="M1" s="197" t="s">
        <v>569</v>
      </c>
      <c r="N1" s="197"/>
      <c r="O1" s="196" t="s">
        <v>4</v>
      </c>
      <c r="P1" s="197" t="s">
        <v>39</v>
      </c>
      <c r="Q1" s="197"/>
      <c r="R1" s="196" t="s">
        <v>4</v>
      </c>
      <c r="S1" s="197" t="s">
        <v>570</v>
      </c>
      <c r="T1" s="197"/>
      <c r="U1" s="196" t="s">
        <v>4</v>
      </c>
      <c r="V1" s="197" t="s">
        <v>7</v>
      </c>
      <c r="W1" s="197"/>
      <c r="X1" s="196" t="s">
        <v>4</v>
      </c>
      <c r="Y1" s="197" t="s">
        <v>571</v>
      </c>
      <c r="Z1" s="197"/>
      <c r="AA1" s="196" t="s">
        <v>4</v>
      </c>
      <c r="AB1" s="197" t="s">
        <v>9</v>
      </c>
      <c r="AC1" s="197"/>
      <c r="AD1" s="187" t="s">
        <v>4</v>
      </c>
      <c r="AE1" s="197" t="s">
        <v>572</v>
      </c>
      <c r="AF1" s="197"/>
      <c r="AG1" s="196" t="s">
        <v>4</v>
      </c>
      <c r="AH1" s="197" t="s">
        <v>11</v>
      </c>
      <c r="AI1" s="197"/>
      <c r="AJ1" s="187" t="s">
        <v>4</v>
      </c>
      <c r="AK1" s="197" t="s">
        <v>574</v>
      </c>
      <c r="AL1" s="197"/>
      <c r="AM1" s="196" t="s">
        <v>4</v>
      </c>
      <c r="AN1" s="197" t="s">
        <v>13</v>
      </c>
      <c r="AO1" s="197"/>
      <c r="AP1" s="187" t="s">
        <v>4</v>
      </c>
      <c r="AQ1" s="197" t="s">
        <v>575</v>
      </c>
      <c r="AR1" s="197"/>
      <c r="AS1" s="196" t="s">
        <v>4</v>
      </c>
      <c r="AT1" s="197" t="s">
        <v>15</v>
      </c>
      <c r="AU1" s="197"/>
      <c r="AV1" s="187" t="s">
        <v>4</v>
      </c>
      <c r="AW1" s="197" t="s">
        <v>576</v>
      </c>
      <c r="AX1" s="197"/>
      <c r="AY1" s="196" t="s">
        <v>4</v>
      </c>
      <c r="AZ1" s="197" t="s">
        <v>17</v>
      </c>
      <c r="BA1" s="197"/>
      <c r="BB1" s="187" t="s">
        <v>4</v>
      </c>
      <c r="BC1" s="191" t="s">
        <v>577</v>
      </c>
      <c r="BD1" s="192"/>
      <c r="BE1" s="187" t="s">
        <v>4</v>
      </c>
      <c r="BF1" s="191" t="s">
        <v>19</v>
      </c>
      <c r="BG1" s="192"/>
      <c r="BH1" s="187" t="s">
        <v>4</v>
      </c>
      <c r="BI1" s="69" t="s">
        <v>40</v>
      </c>
      <c r="BJ1" s="69" t="s">
        <v>41</v>
      </c>
      <c r="BK1" s="113" t="s">
        <v>42</v>
      </c>
      <c r="BL1" s="113" t="s">
        <v>43</v>
      </c>
      <c r="BM1" s="188" t="s">
        <v>20</v>
      </c>
    </row>
    <row r="2" spans="1:68" s="77" customFormat="1" ht="18" customHeight="1">
      <c r="A2" s="77" t="s">
        <v>44</v>
      </c>
      <c r="B2" s="33" t="s">
        <v>45</v>
      </c>
      <c r="C2" s="81" t="s">
        <v>46</v>
      </c>
      <c r="D2" s="33" t="s">
        <v>47</v>
      </c>
      <c r="E2" s="33" t="s">
        <v>48</v>
      </c>
      <c r="F2" s="33" t="s">
        <v>49</v>
      </c>
      <c r="G2" s="33" t="s">
        <v>50</v>
      </c>
      <c r="H2" s="35" t="s">
        <v>51</v>
      </c>
      <c r="I2" s="194"/>
      <c r="J2" s="35" t="s">
        <v>584</v>
      </c>
      <c r="K2" s="35" t="s">
        <v>573</v>
      </c>
      <c r="L2" s="196"/>
      <c r="M2" s="35" t="s">
        <v>21</v>
      </c>
      <c r="N2" s="35" t="s">
        <v>22</v>
      </c>
      <c r="O2" s="196"/>
      <c r="P2" s="35" t="s">
        <v>21</v>
      </c>
      <c r="Q2" s="35" t="s">
        <v>22</v>
      </c>
      <c r="R2" s="196"/>
      <c r="S2" s="35" t="s">
        <v>21</v>
      </c>
      <c r="T2" s="35" t="s">
        <v>22</v>
      </c>
      <c r="U2" s="196"/>
      <c r="V2" s="35" t="s">
        <v>21</v>
      </c>
      <c r="W2" s="35" t="s">
        <v>22</v>
      </c>
      <c r="X2" s="196"/>
      <c r="Y2" s="35" t="s">
        <v>21</v>
      </c>
      <c r="Z2" s="35" t="s">
        <v>22</v>
      </c>
      <c r="AA2" s="196"/>
      <c r="AB2" s="35" t="s">
        <v>21</v>
      </c>
      <c r="AC2" s="35" t="s">
        <v>22</v>
      </c>
      <c r="AD2" s="187"/>
      <c r="AE2" s="35" t="s">
        <v>21</v>
      </c>
      <c r="AF2" s="35" t="s">
        <v>22</v>
      </c>
      <c r="AG2" s="196"/>
      <c r="AH2" s="35" t="s">
        <v>21</v>
      </c>
      <c r="AI2" s="35" t="s">
        <v>22</v>
      </c>
      <c r="AJ2" s="187"/>
      <c r="AK2" s="35" t="s">
        <v>21</v>
      </c>
      <c r="AL2" s="35" t="s">
        <v>22</v>
      </c>
      <c r="AM2" s="196"/>
      <c r="AN2" s="35" t="s">
        <v>21</v>
      </c>
      <c r="AO2" s="35" t="s">
        <v>22</v>
      </c>
      <c r="AP2" s="187"/>
      <c r="AQ2" s="35" t="s">
        <v>21</v>
      </c>
      <c r="AR2" s="35" t="s">
        <v>22</v>
      </c>
      <c r="AS2" s="196"/>
      <c r="AT2" s="35" t="s">
        <v>21</v>
      </c>
      <c r="AU2" s="35" t="s">
        <v>22</v>
      </c>
      <c r="AV2" s="187"/>
      <c r="AW2" s="35" t="s">
        <v>21</v>
      </c>
      <c r="AX2" s="35" t="s">
        <v>22</v>
      </c>
      <c r="AY2" s="196"/>
      <c r="AZ2" s="35" t="s">
        <v>21</v>
      </c>
      <c r="BA2" s="35" t="s">
        <v>22</v>
      </c>
      <c r="BB2" s="187"/>
      <c r="BC2" s="35" t="s">
        <v>21</v>
      </c>
      <c r="BD2" s="35" t="s">
        <v>22</v>
      </c>
      <c r="BE2" s="187"/>
      <c r="BF2" s="35" t="s">
        <v>21</v>
      </c>
      <c r="BG2" s="35" t="s">
        <v>22</v>
      </c>
      <c r="BH2" s="187"/>
      <c r="BI2" s="35" t="s">
        <v>21</v>
      </c>
      <c r="BJ2" s="35" t="s">
        <v>21</v>
      </c>
      <c r="BK2" s="35" t="s">
        <v>21</v>
      </c>
      <c r="BL2" s="35" t="s">
        <v>21</v>
      </c>
      <c r="BM2" s="189"/>
      <c r="BN2" s="77" t="s">
        <v>52</v>
      </c>
      <c r="BO2" s="77" t="s">
        <v>53</v>
      </c>
      <c r="BP2" s="77" t="s">
        <v>54</v>
      </c>
    </row>
    <row r="3" spans="1:68" s="77" customFormat="1">
      <c r="A3" s="78" t="s">
        <v>24</v>
      </c>
      <c r="B3" s="78" t="s">
        <v>24</v>
      </c>
      <c r="C3" s="132" t="s">
        <v>55</v>
      </c>
      <c r="D3" s="80" t="s">
        <v>56</v>
      </c>
      <c r="E3" s="80" t="s">
        <v>56</v>
      </c>
      <c r="F3" s="80" t="s">
        <v>57</v>
      </c>
      <c r="G3" s="80" t="s">
        <v>57</v>
      </c>
      <c r="H3" s="39" t="s">
        <v>58</v>
      </c>
      <c r="I3" s="195">
        <v>800</v>
      </c>
      <c r="J3" s="144">
        <v>100000</v>
      </c>
      <c r="K3" s="144">
        <v>180000</v>
      </c>
      <c r="L3" s="92">
        <f t="shared" ref="L3:L16" si="0">K3/J3-1</f>
        <v>0.8</v>
      </c>
      <c r="M3" s="144"/>
      <c r="N3" s="144">
        <v>90000</v>
      </c>
      <c r="O3" s="92" t="e">
        <f t="shared" ref="O3:O41" si="1">N3/M3-1</f>
        <v>#DIV/0!</v>
      </c>
      <c r="P3" s="144">
        <f t="shared" ref="P3:Q3" si="2">J3+M3</f>
        <v>100000</v>
      </c>
      <c r="Q3" s="144">
        <f t="shared" si="2"/>
        <v>270000</v>
      </c>
      <c r="R3" s="92">
        <f t="shared" ref="R3:R41" si="3">Q3/P3-1</f>
        <v>1.7000000000000002</v>
      </c>
      <c r="S3" s="22">
        <v>540000</v>
      </c>
      <c r="T3" s="22">
        <v>200000</v>
      </c>
      <c r="U3" s="92">
        <f>T3/S3-1</f>
        <v>-0.62962962962962965</v>
      </c>
      <c r="V3" s="22">
        <f>S3+P3</f>
        <v>640000</v>
      </c>
      <c r="W3" s="22">
        <f>T3+Q3</f>
        <v>470000</v>
      </c>
      <c r="X3" s="92">
        <f>W3/V3-1</f>
        <v>-0.265625</v>
      </c>
      <c r="Y3" s="38">
        <v>550000</v>
      </c>
      <c r="Z3" s="38">
        <f>620000+30000+42800</f>
        <v>692800</v>
      </c>
      <c r="AA3" s="147">
        <f>Z3/Y3-1</f>
        <v>0.25963636363636367</v>
      </c>
      <c r="AB3" s="38">
        <f>Y3+V3</f>
        <v>1190000</v>
      </c>
      <c r="AC3" s="38">
        <f>Z3+W3</f>
        <v>1162800</v>
      </c>
      <c r="AD3" s="147">
        <f>AC3/AB3-1</f>
        <v>-2.2857142857142909E-2</v>
      </c>
      <c r="AE3" s="39">
        <v>513000</v>
      </c>
      <c r="AF3" s="143">
        <v>480000</v>
      </c>
      <c r="AG3" s="147">
        <f>AF3/AE3-1</f>
        <v>-6.4327485380117011E-2</v>
      </c>
      <c r="AH3" s="143">
        <f>AE3+AB3</f>
        <v>1703000</v>
      </c>
      <c r="AI3" s="143">
        <f>AF3+AC3</f>
        <v>1642800</v>
      </c>
      <c r="AJ3" s="147">
        <f>AI3/AH3-1</f>
        <v>-3.5349383440986482E-2</v>
      </c>
      <c r="AK3" s="149">
        <v>350000</v>
      </c>
      <c r="AL3" s="149">
        <v>180000</v>
      </c>
      <c r="AM3" s="147">
        <f>AL3/AK3-1</f>
        <v>-0.48571428571428577</v>
      </c>
      <c r="AN3" s="149">
        <f>AK3+AH3</f>
        <v>2053000</v>
      </c>
      <c r="AO3" s="149">
        <f>AL3+AI3</f>
        <v>1822800</v>
      </c>
      <c r="AP3" s="147">
        <f>AO3/AN3-1</f>
        <v>-0.11212859230394545</v>
      </c>
      <c r="AQ3" s="149">
        <v>200000</v>
      </c>
      <c r="AR3" s="149">
        <v>420000</v>
      </c>
      <c r="AS3" s="147">
        <f>AR3/AQ3-1</f>
        <v>1.1000000000000001</v>
      </c>
      <c r="AT3" s="149">
        <f>AQ3+AN3</f>
        <v>2253000</v>
      </c>
      <c r="AU3" s="149">
        <f>AR3+AO3</f>
        <v>2242800</v>
      </c>
      <c r="AV3" s="147">
        <f>AU3/AT3-1</f>
        <v>-4.5272969374168248E-3</v>
      </c>
      <c r="AW3" s="43">
        <v>190000</v>
      </c>
      <c r="AX3" s="43">
        <v>310000</v>
      </c>
      <c r="AY3" s="147">
        <f>AX3/AW3-1</f>
        <v>0.63157894736842102</v>
      </c>
      <c r="AZ3" s="43">
        <f>AW3+AT3</f>
        <v>2443000</v>
      </c>
      <c r="BA3" s="43">
        <f>AX3+AU3</f>
        <v>2552800</v>
      </c>
      <c r="BB3" s="147">
        <f>BA3/AZ3-1</f>
        <v>4.494474007367999E-2</v>
      </c>
      <c r="BC3" s="43">
        <v>730000</v>
      </c>
      <c r="BD3" s="43">
        <v>250000</v>
      </c>
      <c r="BE3" s="147">
        <f>BD3/BC3-1</f>
        <v>-0.65753424657534243</v>
      </c>
      <c r="BF3" s="43">
        <f>BC3+AZ3</f>
        <v>3173000</v>
      </c>
      <c r="BG3" s="43">
        <f>BD3+BA3</f>
        <v>2802800</v>
      </c>
      <c r="BH3" s="147">
        <f>BG3/BF3-1</f>
        <v>-0.11667191931925625</v>
      </c>
      <c r="BI3" s="46">
        <v>840000</v>
      </c>
      <c r="BJ3" s="46">
        <v>180000</v>
      </c>
      <c r="BK3" s="46">
        <v>260000</v>
      </c>
      <c r="BL3" s="46">
        <v>4453000</v>
      </c>
      <c r="BM3" s="190">
        <f>(BG3+BG4)/10000/I3</f>
        <v>0.49234923749999998</v>
      </c>
      <c r="BN3" s="77">
        <v>83000</v>
      </c>
      <c r="BO3" s="77">
        <f>30000+42800</f>
        <v>72800</v>
      </c>
    </row>
    <row r="4" spans="1:68" s="77" customFormat="1">
      <c r="A4" s="78" t="s">
        <v>24</v>
      </c>
      <c r="B4" s="78" t="s">
        <v>24</v>
      </c>
      <c r="C4" s="133" t="s">
        <v>59</v>
      </c>
      <c r="D4" s="80" t="s">
        <v>56</v>
      </c>
      <c r="E4" s="80" t="s">
        <v>56</v>
      </c>
      <c r="F4" s="80" t="s">
        <v>57</v>
      </c>
      <c r="G4" s="80" t="s">
        <v>57</v>
      </c>
      <c r="H4" s="39" t="s">
        <v>58</v>
      </c>
      <c r="I4" s="195"/>
      <c r="J4" s="144">
        <v>109082.35</v>
      </c>
      <c r="K4" s="144">
        <v>85017.95</v>
      </c>
      <c r="L4" s="92">
        <f t="shared" si="0"/>
        <v>-0.22060764184123283</v>
      </c>
      <c r="M4" s="144"/>
      <c r="N4" s="144">
        <v>124698.5</v>
      </c>
      <c r="O4" s="92" t="e">
        <f t="shared" si="1"/>
        <v>#DIV/0!</v>
      </c>
      <c r="P4" s="144">
        <f t="shared" ref="P4:P41" si="4">J4+M4</f>
        <v>109082.35</v>
      </c>
      <c r="Q4" s="144">
        <f t="shared" ref="Q4:Q41" si="5">K4+N4</f>
        <v>209716.45</v>
      </c>
      <c r="R4" s="92">
        <f t="shared" si="3"/>
        <v>0.92255163186344991</v>
      </c>
      <c r="S4" s="22">
        <v>98942.87</v>
      </c>
      <c r="T4" s="22"/>
      <c r="U4" s="92">
        <f t="shared" ref="U4:U43" si="6">T4/S4-1</f>
        <v>-1</v>
      </c>
      <c r="V4" s="22">
        <f t="shared" ref="V4:V43" si="7">S4+P4</f>
        <v>208025.22</v>
      </c>
      <c r="W4" s="22">
        <f t="shared" ref="W4:W43" si="8">T4+Q4</f>
        <v>209716.45</v>
      </c>
      <c r="X4" s="92">
        <f t="shared" ref="X4:X43" si="9">W4/V4-1</f>
        <v>8.1299277078039633E-3</v>
      </c>
      <c r="Y4" s="38">
        <v>96183.1</v>
      </c>
      <c r="Z4" s="38">
        <v>277266.5</v>
      </c>
      <c r="AA4" s="147">
        <f t="shared" ref="AA4:AA43" si="10">Z4/Y4-1</f>
        <v>1.8826945690043257</v>
      </c>
      <c r="AB4" s="38">
        <f t="shared" ref="AB4:AB44" si="11">Y4+V4</f>
        <v>304208.32</v>
      </c>
      <c r="AC4" s="38">
        <f t="shared" ref="AC4:AC43" si="12">Z4+W4</f>
        <v>486982.95</v>
      </c>
      <c r="AD4" s="147">
        <f t="shared" ref="AD4:AD43" si="13">AC4/AB4-1</f>
        <v>0.60082061529415109</v>
      </c>
      <c r="AE4" s="39">
        <v>108234.5</v>
      </c>
      <c r="AF4" s="143">
        <v>108269.25</v>
      </c>
      <c r="AG4" s="147">
        <f t="shared" ref="AG4:AG49" si="14">AF4/AE4-1</f>
        <v>3.2106213822769014E-4</v>
      </c>
      <c r="AH4" s="143">
        <f t="shared" ref="AH4:AH48" si="15">AE4+AB4</f>
        <v>412442.82</v>
      </c>
      <c r="AI4" s="143">
        <f t="shared" ref="AI4:AI48" si="16">AF4+AC4</f>
        <v>595252.19999999995</v>
      </c>
      <c r="AJ4" s="147">
        <f t="shared" ref="AJ4:AJ49" si="17">AI4/AH4-1</f>
        <v>0.44323569507162208</v>
      </c>
      <c r="AK4" s="149">
        <v>329415.3</v>
      </c>
      <c r="AL4" s="149">
        <v>173565</v>
      </c>
      <c r="AM4" s="147">
        <f t="shared" ref="AM4:AM49" si="18">AL4/AK4-1</f>
        <v>-0.4731119046383091</v>
      </c>
      <c r="AN4" s="149">
        <f t="shared" ref="AN4:AN48" si="19">AK4+AH4</f>
        <v>741858.12</v>
      </c>
      <c r="AO4" s="149">
        <f t="shared" ref="AO4:AO48" si="20">AL4+AI4</f>
        <v>768817.2</v>
      </c>
      <c r="AP4" s="147">
        <f t="shared" ref="AP4:AP49" si="21">AO4/AN4-1</f>
        <v>3.633994058055201E-2</v>
      </c>
      <c r="AQ4" s="149">
        <v>83070</v>
      </c>
      <c r="AR4" s="149">
        <v>256417.7</v>
      </c>
      <c r="AS4" s="147">
        <f t="shared" ref="AS4:AS49" si="22">AR4/AQ4-1</f>
        <v>2.0867665824003852</v>
      </c>
      <c r="AT4" s="149">
        <f t="shared" ref="AT4:AT48" si="23">AQ4+AN4</f>
        <v>824928.12</v>
      </c>
      <c r="AU4" s="149">
        <f t="shared" ref="AU4:AU48" si="24">AR4+AO4</f>
        <v>1025234.8999999999</v>
      </c>
      <c r="AV4" s="147">
        <f t="shared" ref="AV4:AV49" si="25">AU4/AT4-1</f>
        <v>0.24281725297471968</v>
      </c>
      <c r="AW4" s="43">
        <v>170557.8</v>
      </c>
      <c r="AX4" s="43">
        <v>110759</v>
      </c>
      <c r="AY4" s="147">
        <f t="shared" ref="AY4:AY49" si="26">AX4/AW4-1</f>
        <v>-0.35060724282325406</v>
      </c>
      <c r="AZ4" s="43">
        <f t="shared" ref="AZ4:AZ48" si="27">AW4+AT4</f>
        <v>995485.91999999993</v>
      </c>
      <c r="BA4" s="43">
        <f t="shared" ref="BA4:BA48" si="28">AX4+AU4</f>
        <v>1135993.8999999999</v>
      </c>
      <c r="BB4" s="147">
        <f>BA4/AZ4-1</f>
        <v>0.14114512036493698</v>
      </c>
      <c r="BC4" s="43">
        <v>58082.8</v>
      </c>
      <c r="BD4" s="43"/>
      <c r="BE4" s="147">
        <f t="shared" ref="BE4:BE49" si="29">BD4/BC4-1</f>
        <v>-1</v>
      </c>
      <c r="BF4" s="43">
        <f t="shared" ref="BF4:BF48" si="30">BC4+AZ4</f>
        <v>1053568.72</v>
      </c>
      <c r="BG4" s="43">
        <f t="shared" ref="BG4:BG48" si="31">BD4+BA4</f>
        <v>1135993.8999999999</v>
      </c>
      <c r="BH4" s="147">
        <f>BG4/BF4-1</f>
        <v>7.8234270280917118E-2</v>
      </c>
      <c r="BI4" s="46"/>
      <c r="BJ4" s="46">
        <v>407846.40000000002</v>
      </c>
      <c r="BK4" s="46">
        <v>134778.1</v>
      </c>
      <c r="BL4" s="46">
        <v>1596193.22</v>
      </c>
      <c r="BM4" s="190"/>
    </row>
    <row r="5" spans="1:68" s="77" customFormat="1" hidden="1">
      <c r="A5" s="78" t="s">
        <v>24</v>
      </c>
      <c r="B5" s="78" t="s">
        <v>24</v>
      </c>
      <c r="C5" s="81" t="s">
        <v>60</v>
      </c>
      <c r="D5" s="80" t="s">
        <v>61</v>
      </c>
      <c r="E5" s="80" t="s">
        <v>56</v>
      </c>
      <c r="F5" s="80" t="s">
        <v>62</v>
      </c>
      <c r="G5" s="80" t="s">
        <v>62</v>
      </c>
      <c r="H5" s="39" t="s">
        <v>63</v>
      </c>
      <c r="I5" s="143">
        <v>130</v>
      </c>
      <c r="J5" s="144"/>
      <c r="K5" s="144">
        <v>100000</v>
      </c>
      <c r="L5" s="92" t="e">
        <f t="shared" si="0"/>
        <v>#DIV/0!</v>
      </c>
      <c r="M5" s="144"/>
      <c r="N5" s="144"/>
      <c r="O5" s="92" t="e">
        <f t="shared" si="1"/>
        <v>#DIV/0!</v>
      </c>
      <c r="P5" s="144">
        <f t="shared" si="4"/>
        <v>0</v>
      </c>
      <c r="Q5" s="144">
        <f t="shared" si="5"/>
        <v>100000</v>
      </c>
      <c r="R5" s="92" t="e">
        <f t="shared" si="3"/>
        <v>#DIV/0!</v>
      </c>
      <c r="S5" s="22"/>
      <c r="T5" s="22">
        <v>60000</v>
      </c>
      <c r="U5" s="92" t="e">
        <f t="shared" si="6"/>
        <v>#DIV/0!</v>
      </c>
      <c r="V5" s="22">
        <f t="shared" si="7"/>
        <v>0</v>
      </c>
      <c r="W5" s="22">
        <f t="shared" si="8"/>
        <v>160000</v>
      </c>
      <c r="X5" s="92" t="e">
        <f t="shared" si="9"/>
        <v>#DIV/0!</v>
      </c>
      <c r="Y5" s="38">
        <v>100000</v>
      </c>
      <c r="Z5" s="38">
        <v>50000</v>
      </c>
      <c r="AA5" s="147">
        <f t="shared" si="10"/>
        <v>-0.5</v>
      </c>
      <c r="AB5" s="38">
        <f t="shared" si="11"/>
        <v>100000</v>
      </c>
      <c r="AC5" s="38">
        <f t="shared" si="12"/>
        <v>210000</v>
      </c>
      <c r="AD5" s="147">
        <f t="shared" si="13"/>
        <v>1.1000000000000001</v>
      </c>
      <c r="AE5" s="39">
        <v>100000</v>
      </c>
      <c r="AF5" s="143">
        <v>60000</v>
      </c>
      <c r="AG5" s="147">
        <f t="shared" si="14"/>
        <v>-0.4</v>
      </c>
      <c r="AH5" s="143">
        <f t="shared" si="15"/>
        <v>200000</v>
      </c>
      <c r="AI5" s="143">
        <f t="shared" si="16"/>
        <v>270000</v>
      </c>
      <c r="AJ5" s="147">
        <f t="shared" si="17"/>
        <v>0.35000000000000009</v>
      </c>
      <c r="AK5" s="149">
        <v>100000</v>
      </c>
      <c r="AL5" s="149">
        <v>120000</v>
      </c>
      <c r="AM5" s="147">
        <f t="shared" si="18"/>
        <v>0.19999999999999996</v>
      </c>
      <c r="AN5" s="149">
        <f t="shared" si="19"/>
        <v>300000</v>
      </c>
      <c r="AO5" s="149">
        <f t="shared" si="20"/>
        <v>390000</v>
      </c>
      <c r="AP5" s="147">
        <f t="shared" si="21"/>
        <v>0.30000000000000004</v>
      </c>
      <c r="AQ5" s="149">
        <v>100000</v>
      </c>
      <c r="AR5" s="149">
        <v>100000</v>
      </c>
      <c r="AS5" s="147">
        <f t="shared" si="22"/>
        <v>0</v>
      </c>
      <c r="AT5" s="149">
        <f t="shared" si="23"/>
        <v>400000</v>
      </c>
      <c r="AU5" s="149">
        <f t="shared" si="24"/>
        <v>490000</v>
      </c>
      <c r="AV5" s="147">
        <f t="shared" si="25"/>
        <v>0.22500000000000009</v>
      </c>
      <c r="AW5" s="43">
        <v>100000</v>
      </c>
      <c r="AX5" s="43">
        <v>50000</v>
      </c>
      <c r="AY5" s="147">
        <f t="shared" si="26"/>
        <v>-0.5</v>
      </c>
      <c r="AZ5" s="43">
        <f t="shared" si="27"/>
        <v>500000</v>
      </c>
      <c r="BA5" s="43">
        <f t="shared" si="28"/>
        <v>540000</v>
      </c>
      <c r="BB5" s="147">
        <f t="shared" ref="BB5:BB49" si="32">BA5/AZ5-1</f>
        <v>8.0000000000000071E-2</v>
      </c>
      <c r="BC5" s="43">
        <v>100000</v>
      </c>
      <c r="BD5" s="43">
        <v>100000</v>
      </c>
      <c r="BE5" s="147">
        <f t="shared" si="29"/>
        <v>0</v>
      </c>
      <c r="BF5" s="43">
        <f t="shared" si="30"/>
        <v>600000</v>
      </c>
      <c r="BG5" s="43">
        <f t="shared" si="31"/>
        <v>640000</v>
      </c>
      <c r="BH5" s="147">
        <f t="shared" ref="BH5:BH49" si="33">BG5/BF5-1</f>
        <v>6.6666666666666652E-2</v>
      </c>
      <c r="BI5" s="46">
        <v>100000</v>
      </c>
      <c r="BJ5" s="46">
        <v>200000</v>
      </c>
      <c r="BK5" s="46">
        <v>100000</v>
      </c>
      <c r="BL5" s="46">
        <v>1000000</v>
      </c>
      <c r="BM5" s="92">
        <f>BG5/10000/I5</f>
        <v>0.49230769230769234</v>
      </c>
    </row>
    <row r="6" spans="1:68" s="77" customFormat="1" hidden="1">
      <c r="A6" s="78" t="s">
        <v>24</v>
      </c>
      <c r="B6" s="78" t="s">
        <v>24</v>
      </c>
      <c r="C6" s="174" t="s">
        <v>64</v>
      </c>
      <c r="D6" s="80" t="s">
        <v>65</v>
      </c>
      <c r="E6" s="80" t="s">
        <v>65</v>
      </c>
      <c r="F6" s="80" t="s">
        <v>66</v>
      </c>
      <c r="G6" s="80" t="s">
        <v>66</v>
      </c>
      <c r="H6" s="39" t="s">
        <v>63</v>
      </c>
      <c r="I6" s="143">
        <v>190</v>
      </c>
      <c r="J6" s="144">
        <v>140000</v>
      </c>
      <c r="K6" s="144">
        <v>41700</v>
      </c>
      <c r="L6" s="92">
        <f t="shared" si="0"/>
        <v>-0.70214285714285718</v>
      </c>
      <c r="M6" s="144">
        <v>60000</v>
      </c>
      <c r="N6" s="144">
        <f>20000+7875</f>
        <v>27875</v>
      </c>
      <c r="O6" s="92">
        <f t="shared" si="1"/>
        <v>-0.53541666666666665</v>
      </c>
      <c r="P6" s="144">
        <f t="shared" si="4"/>
        <v>200000</v>
      </c>
      <c r="Q6" s="144">
        <f t="shared" si="5"/>
        <v>69575</v>
      </c>
      <c r="R6" s="92">
        <f t="shared" si="3"/>
        <v>-0.65212500000000007</v>
      </c>
      <c r="S6" s="22">
        <v>60000</v>
      </c>
      <c r="T6" s="22">
        <f>55000+39786</f>
        <v>94786</v>
      </c>
      <c r="U6" s="92">
        <f t="shared" si="6"/>
        <v>0.57976666666666676</v>
      </c>
      <c r="V6" s="22">
        <f t="shared" si="7"/>
        <v>260000</v>
      </c>
      <c r="W6" s="22">
        <f t="shared" si="8"/>
        <v>164361</v>
      </c>
      <c r="X6" s="92">
        <f t="shared" si="9"/>
        <v>-0.36784230769230775</v>
      </c>
      <c r="Y6" s="38">
        <v>270219</v>
      </c>
      <c r="Z6" s="38">
        <v>67000</v>
      </c>
      <c r="AA6" s="147">
        <f t="shared" si="10"/>
        <v>-0.7520529644473557</v>
      </c>
      <c r="AB6" s="38">
        <f t="shared" si="11"/>
        <v>530219</v>
      </c>
      <c r="AC6" s="38">
        <f t="shared" si="12"/>
        <v>231361</v>
      </c>
      <c r="AD6" s="147">
        <f t="shared" si="13"/>
        <v>-0.56365011438669677</v>
      </c>
      <c r="AE6" s="39">
        <v>61019</v>
      </c>
      <c r="AF6" s="143"/>
      <c r="AG6" s="147">
        <f t="shared" si="14"/>
        <v>-1</v>
      </c>
      <c r="AH6" s="143">
        <f t="shared" si="15"/>
        <v>591238</v>
      </c>
      <c r="AI6" s="143">
        <f t="shared" si="16"/>
        <v>231361</v>
      </c>
      <c r="AJ6" s="147">
        <f t="shared" si="17"/>
        <v>-0.60868381261015025</v>
      </c>
      <c r="AK6" s="149">
        <v>501898</v>
      </c>
      <c r="AL6" s="149">
        <v>30253.74</v>
      </c>
      <c r="AM6" s="147">
        <f t="shared" si="18"/>
        <v>-0.93972133780170475</v>
      </c>
      <c r="AN6" s="149">
        <f t="shared" si="19"/>
        <v>1093136</v>
      </c>
      <c r="AO6" s="149">
        <f t="shared" si="20"/>
        <v>261614.74</v>
      </c>
      <c r="AP6" s="147">
        <f t="shared" si="21"/>
        <v>-0.76067503037133533</v>
      </c>
      <c r="AQ6" s="149"/>
      <c r="AR6" s="149">
        <v>40000</v>
      </c>
      <c r="AS6" s="147" t="e">
        <f t="shared" si="22"/>
        <v>#DIV/0!</v>
      </c>
      <c r="AT6" s="149">
        <f t="shared" si="23"/>
        <v>1093136</v>
      </c>
      <c r="AU6" s="149">
        <f t="shared" si="24"/>
        <v>301614.74</v>
      </c>
      <c r="AV6" s="147">
        <f t="shared" si="25"/>
        <v>-0.72408306011328882</v>
      </c>
      <c r="AW6" s="43"/>
      <c r="AX6" s="43">
        <v>70000</v>
      </c>
      <c r="AY6" s="147" t="e">
        <f t="shared" si="26"/>
        <v>#DIV/0!</v>
      </c>
      <c r="AZ6" s="43">
        <f t="shared" si="27"/>
        <v>1093136</v>
      </c>
      <c r="BA6" s="43">
        <f t="shared" si="28"/>
        <v>371614.74</v>
      </c>
      <c r="BB6" s="147">
        <f t="shared" si="32"/>
        <v>-0.66004711216170731</v>
      </c>
      <c r="BC6" s="43">
        <v>43506</v>
      </c>
      <c r="BD6" s="43">
        <v>30000</v>
      </c>
      <c r="BE6" s="147">
        <f t="shared" si="29"/>
        <v>-0.31043993931871461</v>
      </c>
      <c r="BF6" s="43">
        <f t="shared" si="30"/>
        <v>1136642</v>
      </c>
      <c r="BG6" s="43">
        <f t="shared" si="31"/>
        <v>401614.74</v>
      </c>
      <c r="BH6" s="147">
        <f t="shared" si="33"/>
        <v>-0.64666558159913157</v>
      </c>
      <c r="BI6" s="46">
        <v>89609</v>
      </c>
      <c r="BJ6" s="46">
        <v>10000</v>
      </c>
      <c r="BK6" s="46">
        <v>175000</v>
      </c>
      <c r="BL6" s="46">
        <v>1411251</v>
      </c>
      <c r="BM6" s="92">
        <f t="shared" ref="BM6:BM49" si="34">BG6/10000/I6</f>
        <v>0.2113761789473684</v>
      </c>
      <c r="BN6" s="77">
        <v>61019</v>
      </c>
    </row>
    <row r="7" spans="1:68" s="77" customFormat="1" hidden="1">
      <c r="A7" s="78" t="s">
        <v>24</v>
      </c>
      <c r="B7" s="78" t="s">
        <v>24</v>
      </c>
      <c r="C7" s="81" t="s">
        <v>67</v>
      </c>
      <c r="D7" s="80" t="s">
        <v>65</v>
      </c>
      <c r="E7" s="80" t="s">
        <v>65</v>
      </c>
      <c r="F7" s="80" t="s">
        <v>68</v>
      </c>
      <c r="G7" s="80" t="s">
        <v>68</v>
      </c>
      <c r="H7" s="39" t="s">
        <v>63</v>
      </c>
      <c r="I7" s="143">
        <v>270</v>
      </c>
      <c r="J7" s="144">
        <v>215180.88</v>
      </c>
      <c r="K7" s="144">
        <v>10000</v>
      </c>
      <c r="L7" s="92">
        <f t="shared" si="0"/>
        <v>-0.95352746954097412</v>
      </c>
      <c r="M7" s="144">
        <v>146500</v>
      </c>
      <c r="N7" s="144">
        <v>83000</v>
      </c>
      <c r="O7" s="92">
        <f t="shared" si="1"/>
        <v>-0.43344709897610922</v>
      </c>
      <c r="P7" s="144">
        <f t="shared" si="4"/>
        <v>361680.88</v>
      </c>
      <c r="Q7" s="144">
        <f t="shared" si="5"/>
        <v>93000</v>
      </c>
      <c r="R7" s="92">
        <f t="shared" si="3"/>
        <v>-0.74286724805579984</v>
      </c>
      <c r="S7" s="22">
        <v>280836</v>
      </c>
      <c r="T7" s="22">
        <v>71000</v>
      </c>
      <c r="U7" s="92">
        <f t="shared" si="6"/>
        <v>-0.74718340953439011</v>
      </c>
      <c r="V7" s="22">
        <f t="shared" si="7"/>
        <v>642516.88</v>
      </c>
      <c r="W7" s="22">
        <f t="shared" si="8"/>
        <v>164000</v>
      </c>
      <c r="X7" s="92">
        <f t="shared" si="9"/>
        <v>-0.74475378763589839</v>
      </c>
      <c r="Y7" s="38">
        <v>201000</v>
      </c>
      <c r="Z7" s="38">
        <v>140000</v>
      </c>
      <c r="AA7" s="147">
        <f t="shared" si="10"/>
        <v>-0.30348258706467657</v>
      </c>
      <c r="AB7" s="38">
        <f t="shared" si="11"/>
        <v>843516.88</v>
      </c>
      <c r="AC7" s="38">
        <f t="shared" si="12"/>
        <v>304000</v>
      </c>
      <c r="AD7" s="147">
        <f t="shared" si="13"/>
        <v>-0.63960412979524484</v>
      </c>
      <c r="AE7" s="39">
        <v>182933</v>
      </c>
      <c r="AF7" s="143">
        <v>70000</v>
      </c>
      <c r="AG7" s="147">
        <f t="shared" si="14"/>
        <v>-0.61734624152011941</v>
      </c>
      <c r="AH7" s="143">
        <f t="shared" si="15"/>
        <v>1026449.88</v>
      </c>
      <c r="AI7" s="143">
        <f t="shared" si="16"/>
        <v>374000</v>
      </c>
      <c r="AJ7" s="147">
        <f t="shared" si="17"/>
        <v>-0.63563734841101061</v>
      </c>
      <c r="AK7" s="149">
        <v>205000</v>
      </c>
      <c r="AL7" s="149">
        <v>65840</v>
      </c>
      <c r="AM7" s="147">
        <f t="shared" si="18"/>
        <v>-0.67882926829268286</v>
      </c>
      <c r="AN7" s="149">
        <f t="shared" si="19"/>
        <v>1231449.8799999999</v>
      </c>
      <c r="AO7" s="149">
        <f t="shared" si="20"/>
        <v>439840</v>
      </c>
      <c r="AP7" s="147">
        <f t="shared" si="21"/>
        <v>-0.6428275262002543</v>
      </c>
      <c r="AQ7" s="149">
        <v>157000</v>
      </c>
      <c r="AR7" s="149">
        <v>39000</v>
      </c>
      <c r="AS7" s="147">
        <f t="shared" si="22"/>
        <v>-0.75159235668789814</v>
      </c>
      <c r="AT7" s="149">
        <f t="shared" si="23"/>
        <v>1388449.88</v>
      </c>
      <c r="AU7" s="149">
        <f t="shared" si="24"/>
        <v>478840</v>
      </c>
      <c r="AV7" s="147">
        <f t="shared" si="25"/>
        <v>-0.65512619007896777</v>
      </c>
      <c r="AW7" s="43">
        <v>106000</v>
      </c>
      <c r="AX7" s="43">
        <v>95500</v>
      </c>
      <c r="AY7" s="147">
        <f t="shared" si="26"/>
        <v>-9.9056603773584939E-2</v>
      </c>
      <c r="AZ7" s="43">
        <f t="shared" si="27"/>
        <v>1494449.88</v>
      </c>
      <c r="BA7" s="43">
        <f t="shared" si="28"/>
        <v>574340</v>
      </c>
      <c r="BB7" s="147">
        <f t="shared" si="32"/>
        <v>-0.61568466919747089</v>
      </c>
      <c r="BC7" s="43">
        <v>142000</v>
      </c>
      <c r="BD7" s="43">
        <v>19000</v>
      </c>
      <c r="BE7" s="147">
        <f t="shared" si="29"/>
        <v>-0.86619718309859151</v>
      </c>
      <c r="BF7" s="43">
        <f t="shared" si="30"/>
        <v>1636449.88</v>
      </c>
      <c r="BG7" s="43">
        <f t="shared" si="31"/>
        <v>593340</v>
      </c>
      <c r="BH7" s="147">
        <f t="shared" si="33"/>
        <v>-0.63742244278205451</v>
      </c>
      <c r="BI7" s="46">
        <v>219169</v>
      </c>
      <c r="BJ7" s="46">
        <v>239000</v>
      </c>
      <c r="BK7" s="46">
        <v>343500</v>
      </c>
      <c r="BL7" s="46">
        <v>2438118.88</v>
      </c>
      <c r="BM7" s="92">
        <f t="shared" si="34"/>
        <v>0.21975555555555557</v>
      </c>
      <c r="BN7" s="77">
        <v>106933</v>
      </c>
    </row>
    <row r="8" spans="1:68" s="77" customFormat="1" hidden="1">
      <c r="A8" s="78" t="s">
        <v>24</v>
      </c>
      <c r="B8" s="78" t="s">
        <v>24</v>
      </c>
      <c r="C8" s="134" t="s">
        <v>69</v>
      </c>
      <c r="D8" s="80" t="s">
        <v>65</v>
      </c>
      <c r="E8" s="80" t="s">
        <v>65</v>
      </c>
      <c r="F8" s="80" t="s">
        <v>70</v>
      </c>
      <c r="G8" s="80" t="s">
        <v>70</v>
      </c>
      <c r="H8" s="39" t="s">
        <v>63</v>
      </c>
      <c r="I8" s="143">
        <v>190</v>
      </c>
      <c r="J8" s="144">
        <v>100000</v>
      </c>
      <c r="K8" s="144">
        <v>149040</v>
      </c>
      <c r="L8" s="92">
        <f t="shared" si="0"/>
        <v>0.49039999999999995</v>
      </c>
      <c r="M8" s="144">
        <v>30000</v>
      </c>
      <c r="N8" s="144">
        <v>72140</v>
      </c>
      <c r="O8" s="92">
        <f t="shared" si="1"/>
        <v>1.4046666666666665</v>
      </c>
      <c r="P8" s="144">
        <f t="shared" si="4"/>
        <v>130000</v>
      </c>
      <c r="Q8" s="144">
        <f t="shared" si="5"/>
        <v>221180</v>
      </c>
      <c r="R8" s="92">
        <f t="shared" si="3"/>
        <v>0.7013846153846155</v>
      </c>
      <c r="S8" s="22">
        <v>70000</v>
      </c>
      <c r="T8" s="22">
        <v>160000</v>
      </c>
      <c r="U8" s="92">
        <f t="shared" si="6"/>
        <v>1.2857142857142856</v>
      </c>
      <c r="V8" s="22">
        <f t="shared" si="7"/>
        <v>200000</v>
      </c>
      <c r="W8" s="22">
        <f t="shared" si="8"/>
        <v>381180</v>
      </c>
      <c r="X8" s="92">
        <f t="shared" si="9"/>
        <v>0.90589999999999993</v>
      </c>
      <c r="Y8" s="38">
        <v>90000</v>
      </c>
      <c r="Z8" s="38">
        <v>100000</v>
      </c>
      <c r="AA8" s="147">
        <f t="shared" si="10"/>
        <v>0.11111111111111116</v>
      </c>
      <c r="AB8" s="38">
        <f t="shared" si="11"/>
        <v>290000</v>
      </c>
      <c r="AC8" s="38">
        <f t="shared" si="12"/>
        <v>481180</v>
      </c>
      <c r="AD8" s="147">
        <f t="shared" si="13"/>
        <v>0.65924137931034488</v>
      </c>
      <c r="AE8" s="39">
        <v>65253</v>
      </c>
      <c r="AF8" s="143">
        <v>90000</v>
      </c>
      <c r="AG8" s="147">
        <f t="shared" si="14"/>
        <v>0.37924693117557817</v>
      </c>
      <c r="AH8" s="143">
        <f t="shared" si="15"/>
        <v>355253</v>
      </c>
      <c r="AI8" s="143">
        <f t="shared" si="16"/>
        <v>571180</v>
      </c>
      <c r="AJ8" s="147">
        <f t="shared" si="17"/>
        <v>0.60781189743647479</v>
      </c>
      <c r="AK8" s="149">
        <v>555000</v>
      </c>
      <c r="AL8" s="149">
        <v>275000</v>
      </c>
      <c r="AM8" s="147">
        <f t="shared" si="18"/>
        <v>-0.50450450450450446</v>
      </c>
      <c r="AN8" s="149">
        <f t="shared" si="19"/>
        <v>910253</v>
      </c>
      <c r="AO8" s="149">
        <f t="shared" si="20"/>
        <v>846180</v>
      </c>
      <c r="AP8" s="147">
        <f t="shared" si="21"/>
        <v>-7.0390320053875133E-2</v>
      </c>
      <c r="AQ8" s="149"/>
      <c r="AR8" s="149"/>
      <c r="AS8" s="147" t="e">
        <f t="shared" si="22"/>
        <v>#DIV/0!</v>
      </c>
      <c r="AT8" s="149">
        <f t="shared" si="23"/>
        <v>910253</v>
      </c>
      <c r="AU8" s="149">
        <f t="shared" si="24"/>
        <v>846180</v>
      </c>
      <c r="AV8" s="147">
        <f t="shared" si="25"/>
        <v>-7.0390320053875133E-2</v>
      </c>
      <c r="AW8" s="43"/>
      <c r="AX8" s="43">
        <v>30000</v>
      </c>
      <c r="AY8" s="147" t="e">
        <f t="shared" si="26"/>
        <v>#DIV/0!</v>
      </c>
      <c r="AZ8" s="43">
        <f t="shared" si="27"/>
        <v>910253</v>
      </c>
      <c r="BA8" s="43">
        <f t="shared" si="28"/>
        <v>876180</v>
      </c>
      <c r="BB8" s="147">
        <f t="shared" si="32"/>
        <v>-3.7432450099038395E-2</v>
      </c>
      <c r="BC8" s="43">
        <v>6799</v>
      </c>
      <c r="BD8" s="43">
        <v>10000</v>
      </c>
      <c r="BE8" s="147">
        <f t="shared" si="29"/>
        <v>0.47080453007795264</v>
      </c>
      <c r="BF8" s="43">
        <f t="shared" si="30"/>
        <v>917052</v>
      </c>
      <c r="BG8" s="43">
        <f t="shared" si="31"/>
        <v>886180</v>
      </c>
      <c r="BH8" s="147">
        <f t="shared" si="33"/>
        <v>-3.3664394167397305E-2</v>
      </c>
      <c r="BI8" s="46">
        <v>137020</v>
      </c>
      <c r="BJ8" s="46">
        <v>182000</v>
      </c>
      <c r="BK8" s="46">
        <v>220000</v>
      </c>
      <c r="BL8" s="46">
        <v>1456072</v>
      </c>
      <c r="BM8" s="92">
        <f t="shared" si="34"/>
        <v>0.46641052631578944</v>
      </c>
      <c r="BN8" s="77">
        <v>50253</v>
      </c>
    </row>
    <row r="9" spans="1:68" s="77" customFormat="1" hidden="1">
      <c r="A9" s="78" t="s">
        <v>24</v>
      </c>
      <c r="B9" s="78" t="s">
        <v>24</v>
      </c>
      <c r="C9" s="174" t="s">
        <v>71</v>
      </c>
      <c r="D9" s="80" t="s">
        <v>61</v>
      </c>
      <c r="E9" s="80" t="s">
        <v>61</v>
      </c>
      <c r="F9" s="80" t="s">
        <v>72</v>
      </c>
      <c r="G9" s="80" t="s">
        <v>72</v>
      </c>
      <c r="H9" s="39" t="s">
        <v>63</v>
      </c>
      <c r="I9" s="143"/>
      <c r="J9" s="144">
        <v>10000</v>
      </c>
      <c r="K9" s="144"/>
      <c r="L9" s="92">
        <f t="shared" si="0"/>
        <v>-1</v>
      </c>
      <c r="M9" s="144"/>
      <c r="N9" s="144"/>
      <c r="O9" s="92" t="e">
        <f t="shared" si="1"/>
        <v>#DIV/0!</v>
      </c>
      <c r="P9" s="144">
        <f t="shared" si="4"/>
        <v>10000</v>
      </c>
      <c r="Q9" s="144">
        <f t="shared" si="5"/>
        <v>0</v>
      </c>
      <c r="R9" s="92">
        <f t="shared" si="3"/>
        <v>-1</v>
      </c>
      <c r="S9" s="22">
        <v>10000</v>
      </c>
      <c r="T9" s="22"/>
      <c r="U9" s="92">
        <f t="shared" si="6"/>
        <v>-1</v>
      </c>
      <c r="V9" s="22">
        <f t="shared" si="7"/>
        <v>20000</v>
      </c>
      <c r="W9" s="22">
        <f t="shared" si="8"/>
        <v>0</v>
      </c>
      <c r="X9" s="92">
        <f t="shared" si="9"/>
        <v>-1</v>
      </c>
      <c r="Y9" s="38">
        <v>10000</v>
      </c>
      <c r="Z9" s="38"/>
      <c r="AA9" s="147">
        <f t="shared" si="10"/>
        <v>-1</v>
      </c>
      <c r="AB9" s="38">
        <f t="shared" si="11"/>
        <v>30000</v>
      </c>
      <c r="AC9" s="38">
        <f t="shared" si="12"/>
        <v>0</v>
      </c>
      <c r="AD9" s="147">
        <f t="shared" si="13"/>
        <v>-1</v>
      </c>
      <c r="AE9" s="39"/>
      <c r="AF9" s="143"/>
      <c r="AG9" s="147" t="e">
        <f t="shared" si="14"/>
        <v>#DIV/0!</v>
      </c>
      <c r="AH9" s="143">
        <f t="shared" si="15"/>
        <v>30000</v>
      </c>
      <c r="AI9" s="143">
        <f t="shared" si="16"/>
        <v>0</v>
      </c>
      <c r="AJ9" s="147">
        <f t="shared" si="17"/>
        <v>-1</v>
      </c>
      <c r="AK9" s="149"/>
      <c r="AL9" s="149"/>
      <c r="AM9" s="147" t="e">
        <f t="shared" si="18"/>
        <v>#DIV/0!</v>
      </c>
      <c r="AN9" s="149">
        <f t="shared" si="19"/>
        <v>30000</v>
      </c>
      <c r="AO9" s="149">
        <f t="shared" si="20"/>
        <v>0</v>
      </c>
      <c r="AP9" s="147">
        <f t="shared" si="21"/>
        <v>-1</v>
      </c>
      <c r="AQ9" s="149"/>
      <c r="AR9" s="149"/>
      <c r="AS9" s="147" t="e">
        <f t="shared" si="22"/>
        <v>#DIV/0!</v>
      </c>
      <c r="AT9" s="149">
        <f t="shared" si="23"/>
        <v>30000</v>
      </c>
      <c r="AU9" s="149">
        <f t="shared" si="24"/>
        <v>0</v>
      </c>
      <c r="AV9" s="147">
        <f t="shared" si="25"/>
        <v>-1</v>
      </c>
      <c r="AW9" s="43"/>
      <c r="AX9" s="43"/>
      <c r="AY9" s="147" t="e">
        <f t="shared" si="26"/>
        <v>#DIV/0!</v>
      </c>
      <c r="AZ9" s="43">
        <f t="shared" si="27"/>
        <v>30000</v>
      </c>
      <c r="BA9" s="43">
        <f t="shared" si="28"/>
        <v>0</v>
      </c>
      <c r="BB9" s="147">
        <f t="shared" si="32"/>
        <v>-1</v>
      </c>
      <c r="BC9" s="43"/>
      <c r="BD9" s="43"/>
      <c r="BE9" s="147" t="e">
        <f t="shared" si="29"/>
        <v>#DIV/0!</v>
      </c>
      <c r="BF9" s="43">
        <f t="shared" si="30"/>
        <v>30000</v>
      </c>
      <c r="BG9" s="43">
        <f t="shared" si="31"/>
        <v>0</v>
      </c>
      <c r="BH9" s="147">
        <f t="shared" si="33"/>
        <v>-1</v>
      </c>
      <c r="BI9" s="46"/>
      <c r="BJ9" s="46"/>
      <c r="BK9" s="46"/>
      <c r="BL9" s="46">
        <v>30000</v>
      </c>
      <c r="BM9" s="92" t="e">
        <f t="shared" si="34"/>
        <v>#DIV/0!</v>
      </c>
    </row>
    <row r="10" spans="1:68" s="77" customFormat="1" hidden="1">
      <c r="A10" s="78" t="s">
        <v>24</v>
      </c>
      <c r="B10" s="78" t="s">
        <v>24</v>
      </c>
      <c r="C10" s="81" t="s">
        <v>73</v>
      </c>
      <c r="D10" s="80" t="s">
        <v>61</v>
      </c>
      <c r="E10" s="80" t="s">
        <v>61</v>
      </c>
      <c r="F10" s="80" t="s">
        <v>74</v>
      </c>
      <c r="G10" s="80" t="s">
        <v>74</v>
      </c>
      <c r="H10" s="39" t="s">
        <v>63</v>
      </c>
      <c r="I10" s="143">
        <v>60</v>
      </c>
      <c r="J10" s="144">
        <v>10980</v>
      </c>
      <c r="K10" s="144">
        <v>1887</v>
      </c>
      <c r="L10" s="92">
        <f t="shared" si="0"/>
        <v>-0.8281420765027323</v>
      </c>
      <c r="M10" s="144">
        <v>10390</v>
      </c>
      <c r="N10" s="144"/>
      <c r="O10" s="92">
        <f t="shared" si="1"/>
        <v>-1</v>
      </c>
      <c r="P10" s="144">
        <f t="shared" si="4"/>
        <v>21370</v>
      </c>
      <c r="Q10" s="144">
        <f t="shared" si="5"/>
        <v>1887</v>
      </c>
      <c r="R10" s="92">
        <f t="shared" si="3"/>
        <v>-0.91169864295741698</v>
      </c>
      <c r="S10" s="22">
        <v>20613</v>
      </c>
      <c r="T10" s="22">
        <v>21472</v>
      </c>
      <c r="U10" s="92">
        <f t="shared" si="6"/>
        <v>4.1672730800950797E-2</v>
      </c>
      <c r="V10" s="22">
        <f t="shared" si="7"/>
        <v>41983</v>
      </c>
      <c r="W10" s="22">
        <f t="shared" si="8"/>
        <v>23359</v>
      </c>
      <c r="X10" s="92">
        <f t="shared" si="9"/>
        <v>-0.44360812709906394</v>
      </c>
      <c r="Y10" s="38">
        <v>14343</v>
      </c>
      <c r="Z10" s="38">
        <v>24592</v>
      </c>
      <c r="AA10" s="147">
        <f t="shared" si="10"/>
        <v>0.71456459597015964</v>
      </c>
      <c r="AB10" s="38">
        <f t="shared" si="11"/>
        <v>56326</v>
      </c>
      <c r="AC10" s="38">
        <f t="shared" si="12"/>
        <v>47951</v>
      </c>
      <c r="AD10" s="147">
        <f t="shared" si="13"/>
        <v>-0.14868799488690831</v>
      </c>
      <c r="AE10" s="39">
        <v>10168</v>
      </c>
      <c r="AF10" s="143">
        <v>35823</v>
      </c>
      <c r="AG10" s="147">
        <f t="shared" si="14"/>
        <v>2.5231117230527143</v>
      </c>
      <c r="AH10" s="143">
        <f t="shared" si="15"/>
        <v>66494</v>
      </c>
      <c r="AI10" s="143">
        <f t="shared" si="16"/>
        <v>83774</v>
      </c>
      <c r="AJ10" s="147">
        <f t="shared" si="17"/>
        <v>0.25987307125454939</v>
      </c>
      <c r="AK10" s="149">
        <v>6124</v>
      </c>
      <c r="AL10" s="149">
        <v>40090</v>
      </c>
      <c r="AM10" s="147">
        <f t="shared" si="18"/>
        <v>5.546374918354017</v>
      </c>
      <c r="AN10" s="149">
        <f t="shared" si="19"/>
        <v>72618</v>
      </c>
      <c r="AO10" s="149">
        <f t="shared" si="20"/>
        <v>123864</v>
      </c>
      <c r="AP10" s="147">
        <f t="shared" si="21"/>
        <v>0.70569280343716434</v>
      </c>
      <c r="AQ10" s="149"/>
      <c r="AR10" s="149">
        <v>5841</v>
      </c>
      <c r="AS10" s="147" t="e">
        <f t="shared" si="22"/>
        <v>#DIV/0!</v>
      </c>
      <c r="AT10" s="149">
        <f t="shared" si="23"/>
        <v>72618</v>
      </c>
      <c r="AU10" s="149">
        <f t="shared" si="24"/>
        <v>129705</v>
      </c>
      <c r="AV10" s="147">
        <f t="shared" si="25"/>
        <v>0.78612740642815826</v>
      </c>
      <c r="AW10" s="43">
        <v>9927</v>
      </c>
      <c r="AX10" s="43">
        <v>19585</v>
      </c>
      <c r="AY10" s="147">
        <f t="shared" si="26"/>
        <v>0.97290218595748978</v>
      </c>
      <c r="AZ10" s="43">
        <f t="shared" si="27"/>
        <v>82545</v>
      </c>
      <c r="BA10" s="43">
        <f t="shared" si="28"/>
        <v>149290</v>
      </c>
      <c r="BB10" s="147">
        <f t="shared" si="32"/>
        <v>0.80858925434611417</v>
      </c>
      <c r="BC10" s="43">
        <v>97064</v>
      </c>
      <c r="BD10" s="43">
        <v>24536</v>
      </c>
      <c r="BE10" s="147">
        <f t="shared" si="29"/>
        <v>-0.74721833017390593</v>
      </c>
      <c r="BF10" s="43">
        <f>BC10+AZ10</f>
        <v>179609</v>
      </c>
      <c r="BG10" s="43">
        <f t="shared" si="31"/>
        <v>173826</v>
      </c>
      <c r="BH10" s="147">
        <f t="shared" si="33"/>
        <v>-3.2197718377141471E-2</v>
      </c>
      <c r="BI10" s="46">
        <v>75532</v>
      </c>
      <c r="BJ10" s="46"/>
      <c r="BK10" s="46">
        <v>119846</v>
      </c>
      <c r="BL10" s="46">
        <v>374987</v>
      </c>
      <c r="BM10" s="92">
        <f t="shared" si="34"/>
        <v>0.28971000000000002</v>
      </c>
    </row>
    <row r="11" spans="1:68" s="77" customFormat="1">
      <c r="A11" s="78" t="s">
        <v>24</v>
      </c>
      <c r="B11" s="78" t="s">
        <v>24</v>
      </c>
      <c r="C11" s="81" t="s">
        <v>75</v>
      </c>
      <c r="D11" s="80" t="s">
        <v>61</v>
      </c>
      <c r="E11" s="80" t="s">
        <v>61</v>
      </c>
      <c r="F11" s="80" t="s">
        <v>76</v>
      </c>
      <c r="G11" s="80" t="s">
        <v>77</v>
      </c>
      <c r="H11" s="39" t="s">
        <v>582</v>
      </c>
      <c r="I11" s="143">
        <v>10</v>
      </c>
      <c r="J11" s="144">
        <v>11748</v>
      </c>
      <c r="K11" s="144"/>
      <c r="L11" s="92">
        <f t="shared" si="0"/>
        <v>-1</v>
      </c>
      <c r="M11" s="144">
        <v>16445</v>
      </c>
      <c r="N11" s="144">
        <v>2274</v>
      </c>
      <c r="O11" s="92">
        <f t="shared" si="1"/>
        <v>-0.86172088780784439</v>
      </c>
      <c r="P11" s="144">
        <f t="shared" si="4"/>
        <v>28193</v>
      </c>
      <c r="Q11" s="144">
        <f t="shared" si="5"/>
        <v>2274</v>
      </c>
      <c r="R11" s="92">
        <f t="shared" si="3"/>
        <v>-0.919341680559004</v>
      </c>
      <c r="S11" s="22">
        <v>800</v>
      </c>
      <c r="T11" s="22"/>
      <c r="U11" s="92">
        <f t="shared" si="6"/>
        <v>-1</v>
      </c>
      <c r="V11" s="22">
        <f t="shared" si="7"/>
        <v>28993</v>
      </c>
      <c r="W11" s="22">
        <f t="shared" si="8"/>
        <v>2274</v>
      </c>
      <c r="X11" s="92">
        <f t="shared" si="9"/>
        <v>-0.92156727485944878</v>
      </c>
      <c r="Y11" s="38"/>
      <c r="Z11" s="38">
        <v>2217</v>
      </c>
      <c r="AA11" s="147" t="e">
        <f t="shared" si="10"/>
        <v>#DIV/0!</v>
      </c>
      <c r="AB11" s="38">
        <f t="shared" si="11"/>
        <v>28993</v>
      </c>
      <c r="AC11" s="38">
        <f t="shared" si="12"/>
        <v>4491</v>
      </c>
      <c r="AD11" s="147">
        <f t="shared" si="13"/>
        <v>-0.84510054151001968</v>
      </c>
      <c r="AE11" s="39">
        <v>19214</v>
      </c>
      <c r="AF11" s="143">
        <v>13140</v>
      </c>
      <c r="AG11" s="147">
        <f t="shared" si="14"/>
        <v>-0.31612365983137292</v>
      </c>
      <c r="AH11" s="143">
        <f t="shared" si="15"/>
        <v>48207</v>
      </c>
      <c r="AI11" s="143">
        <f t="shared" si="16"/>
        <v>17631</v>
      </c>
      <c r="AJ11" s="147">
        <f t="shared" si="17"/>
        <v>-0.63426473333748212</v>
      </c>
      <c r="AK11" s="149"/>
      <c r="AL11" s="149"/>
      <c r="AM11" s="147" t="e">
        <f t="shared" si="18"/>
        <v>#DIV/0!</v>
      </c>
      <c r="AN11" s="149">
        <f t="shared" si="19"/>
        <v>48207</v>
      </c>
      <c r="AO11" s="149">
        <f t="shared" si="20"/>
        <v>17631</v>
      </c>
      <c r="AP11" s="147">
        <f t="shared" si="21"/>
        <v>-0.63426473333748212</v>
      </c>
      <c r="AQ11" s="149">
        <v>4009</v>
      </c>
      <c r="AR11" s="149">
        <v>3043</v>
      </c>
      <c r="AS11" s="147">
        <f t="shared" si="22"/>
        <v>-0.24095784484908955</v>
      </c>
      <c r="AT11" s="149">
        <f t="shared" si="23"/>
        <v>52216</v>
      </c>
      <c r="AU11" s="149">
        <f t="shared" si="24"/>
        <v>20674</v>
      </c>
      <c r="AV11" s="147">
        <f t="shared" si="25"/>
        <v>-0.60406771870690978</v>
      </c>
      <c r="AW11" s="43">
        <v>10575</v>
      </c>
      <c r="AX11" s="43"/>
      <c r="AY11" s="147">
        <f t="shared" si="26"/>
        <v>-1</v>
      </c>
      <c r="AZ11" s="43">
        <f t="shared" si="27"/>
        <v>62791</v>
      </c>
      <c r="BA11" s="43">
        <f t="shared" si="28"/>
        <v>20674</v>
      </c>
      <c r="BB11" s="147">
        <f t="shared" si="32"/>
        <v>-0.67074899269003518</v>
      </c>
      <c r="BC11" s="43">
        <v>800</v>
      </c>
      <c r="BD11" s="43"/>
      <c r="BE11" s="147">
        <f t="shared" si="29"/>
        <v>-1</v>
      </c>
      <c r="BF11" s="43">
        <f t="shared" si="30"/>
        <v>63591</v>
      </c>
      <c r="BG11" s="43">
        <f t="shared" si="31"/>
        <v>20674</v>
      </c>
      <c r="BH11" s="147">
        <f t="shared" si="33"/>
        <v>-0.67489110094195714</v>
      </c>
      <c r="BI11" s="46">
        <v>3078</v>
      </c>
      <c r="BJ11" s="46"/>
      <c r="BK11" s="46">
        <v>3200</v>
      </c>
      <c r="BL11" s="46">
        <v>69869</v>
      </c>
      <c r="BM11" s="92">
        <f t="shared" si="34"/>
        <v>0.20674000000000001</v>
      </c>
    </row>
    <row r="12" spans="1:68" s="77" customFormat="1" hidden="1">
      <c r="A12" s="78" t="s">
        <v>24</v>
      </c>
      <c r="B12" s="78" t="s">
        <v>24</v>
      </c>
      <c r="C12" s="135" t="s">
        <v>78</v>
      </c>
      <c r="D12" s="80" t="s">
        <v>79</v>
      </c>
      <c r="E12" s="80" t="s">
        <v>79</v>
      </c>
      <c r="F12" s="80" t="s">
        <v>76</v>
      </c>
      <c r="G12" s="80" t="s">
        <v>80</v>
      </c>
      <c r="H12" s="39" t="s">
        <v>81</v>
      </c>
      <c r="I12" s="143">
        <v>560</v>
      </c>
      <c r="J12" s="144">
        <v>-55370.32</v>
      </c>
      <c r="K12" s="144">
        <v>513987.69</v>
      </c>
      <c r="L12" s="92">
        <f t="shared" si="0"/>
        <v>-10.282729267231975</v>
      </c>
      <c r="M12" s="144"/>
      <c r="N12" s="145">
        <v>456944.83</v>
      </c>
      <c r="O12" s="92" t="e">
        <f t="shared" si="1"/>
        <v>#DIV/0!</v>
      </c>
      <c r="P12" s="144">
        <f t="shared" si="4"/>
        <v>-55370.32</v>
      </c>
      <c r="Q12" s="144">
        <f t="shared" si="5"/>
        <v>970932.52</v>
      </c>
      <c r="R12" s="92">
        <f t="shared" si="3"/>
        <v>-18.535252098958431</v>
      </c>
      <c r="S12" s="22"/>
      <c r="T12" s="22">
        <f>591327.2+48000</f>
        <v>639327.19999999995</v>
      </c>
      <c r="U12" s="92" t="e">
        <f t="shared" si="6"/>
        <v>#DIV/0!</v>
      </c>
      <c r="V12" s="22">
        <f t="shared" si="7"/>
        <v>-55370.32</v>
      </c>
      <c r="W12" s="22">
        <f t="shared" si="8"/>
        <v>1610259.72</v>
      </c>
      <c r="X12" s="92">
        <f t="shared" si="9"/>
        <v>-30.081640127779647</v>
      </c>
      <c r="Y12" s="38">
        <v>442229.3</v>
      </c>
      <c r="Z12" s="38">
        <f>279375.22+41000+60000</f>
        <v>380375.22</v>
      </c>
      <c r="AA12" s="147">
        <f t="shared" si="10"/>
        <v>-0.13986879657227602</v>
      </c>
      <c r="AB12" s="38">
        <f t="shared" si="11"/>
        <v>386858.98</v>
      </c>
      <c r="AC12" s="38">
        <f t="shared" si="12"/>
        <v>1990634.94</v>
      </c>
      <c r="AD12" s="147">
        <f t="shared" si="13"/>
        <v>4.1456345668904984</v>
      </c>
      <c r="AE12" s="39">
        <v>309190.52</v>
      </c>
      <c r="AF12" s="143">
        <v>403454.03</v>
      </c>
      <c r="AG12" s="147">
        <f t="shared" si="14"/>
        <v>0.30487192815614139</v>
      </c>
      <c r="AH12" s="143">
        <f t="shared" si="15"/>
        <v>696049.5</v>
      </c>
      <c r="AI12" s="143">
        <f t="shared" si="16"/>
        <v>2394088.9699999997</v>
      </c>
      <c r="AJ12" s="147">
        <f t="shared" si="17"/>
        <v>2.439538380531844</v>
      </c>
      <c r="AK12" s="149">
        <v>319675.55</v>
      </c>
      <c r="AL12" s="149">
        <v>521128.98</v>
      </c>
      <c r="AM12" s="147">
        <f t="shared" si="18"/>
        <v>0.63018091311643953</v>
      </c>
      <c r="AN12" s="149">
        <f t="shared" si="19"/>
        <v>1015725.05</v>
      </c>
      <c r="AO12" s="149">
        <f t="shared" si="20"/>
        <v>2915217.9499999997</v>
      </c>
      <c r="AP12" s="147">
        <f t="shared" si="21"/>
        <v>1.8700857087259979</v>
      </c>
      <c r="AQ12" s="149">
        <v>528891.84</v>
      </c>
      <c r="AR12" s="149">
        <v>152639.85999999999</v>
      </c>
      <c r="AS12" s="147">
        <f t="shared" si="22"/>
        <v>-0.71139683304624257</v>
      </c>
      <c r="AT12" s="149">
        <f t="shared" si="23"/>
        <v>1544616.8900000001</v>
      </c>
      <c r="AU12" s="149">
        <f t="shared" si="24"/>
        <v>3067857.8099999996</v>
      </c>
      <c r="AV12" s="147">
        <f t="shared" si="25"/>
        <v>0.98616098908513128</v>
      </c>
      <c r="AW12" s="43">
        <v>226314.07</v>
      </c>
      <c r="AX12" s="43"/>
      <c r="AY12" s="147">
        <f t="shared" si="26"/>
        <v>-1</v>
      </c>
      <c r="AZ12" s="43">
        <f t="shared" si="27"/>
        <v>1770930.9600000002</v>
      </c>
      <c r="BA12" s="43">
        <f t="shared" si="28"/>
        <v>3067857.8099999996</v>
      </c>
      <c r="BB12" s="147">
        <f t="shared" si="32"/>
        <v>0.73234184691197624</v>
      </c>
      <c r="BC12" s="43">
        <v>174190.5</v>
      </c>
      <c r="BD12" s="43"/>
      <c r="BE12" s="147">
        <f t="shared" si="29"/>
        <v>-1</v>
      </c>
      <c r="BF12" s="43">
        <f t="shared" si="30"/>
        <v>1945121.4600000002</v>
      </c>
      <c r="BG12" s="43">
        <f t="shared" si="31"/>
        <v>3067857.8099999996</v>
      </c>
      <c r="BH12" s="147">
        <f t="shared" si="33"/>
        <v>0.57720629435654836</v>
      </c>
      <c r="BI12" s="46">
        <v>471478.84</v>
      </c>
      <c r="BJ12" s="46">
        <v>897862.49</v>
      </c>
      <c r="BK12" s="46">
        <v>233096.17</v>
      </c>
      <c r="BL12" s="46">
        <v>3547558.96</v>
      </c>
      <c r="BM12" s="92">
        <f t="shared" si="34"/>
        <v>0.5478317517857143</v>
      </c>
      <c r="BN12" s="77">
        <v>94000</v>
      </c>
      <c r="BO12" s="77">
        <f>48000+41000</f>
        <v>89000</v>
      </c>
      <c r="BP12" s="77" t="s">
        <v>82</v>
      </c>
    </row>
    <row r="13" spans="1:68" s="77" customFormat="1" hidden="1">
      <c r="A13" s="78" t="s">
        <v>24</v>
      </c>
      <c r="B13" s="78" t="s">
        <v>24</v>
      </c>
      <c r="C13" s="79" t="s">
        <v>83</v>
      </c>
      <c r="D13" s="80" t="s">
        <v>84</v>
      </c>
      <c r="E13" s="80" t="s">
        <v>84</v>
      </c>
      <c r="F13" s="80" t="s">
        <v>62</v>
      </c>
      <c r="G13" s="80" t="s">
        <v>62</v>
      </c>
      <c r="H13" s="39" t="s">
        <v>85</v>
      </c>
      <c r="I13" s="143">
        <v>180</v>
      </c>
      <c r="J13" s="144">
        <v>103977</v>
      </c>
      <c r="K13" s="144">
        <v>22066</v>
      </c>
      <c r="L13" s="92">
        <f t="shared" si="0"/>
        <v>-0.78777998980543773</v>
      </c>
      <c r="M13" s="144">
        <v>19500</v>
      </c>
      <c r="N13" s="144">
        <v>49149</v>
      </c>
      <c r="O13" s="92">
        <f t="shared" si="1"/>
        <v>1.5204615384615385</v>
      </c>
      <c r="P13" s="144">
        <f t="shared" si="4"/>
        <v>123477</v>
      </c>
      <c r="Q13" s="144">
        <f t="shared" si="5"/>
        <v>71215</v>
      </c>
      <c r="R13" s="92">
        <f t="shared" si="3"/>
        <v>-0.42325291349806038</v>
      </c>
      <c r="S13" s="22">
        <v>113494</v>
      </c>
      <c r="T13" s="22">
        <v>91366</v>
      </c>
      <c r="U13" s="92">
        <f t="shared" si="6"/>
        <v>-0.19497065924189827</v>
      </c>
      <c r="V13" s="22">
        <f t="shared" si="7"/>
        <v>236971</v>
      </c>
      <c r="W13" s="22">
        <f t="shared" si="8"/>
        <v>162581</v>
      </c>
      <c r="X13" s="92">
        <f t="shared" si="9"/>
        <v>-0.31392026872486511</v>
      </c>
      <c r="Y13" s="38">
        <v>109059</v>
      </c>
      <c r="Z13" s="38">
        <v>67817</v>
      </c>
      <c r="AA13" s="147">
        <f t="shared" si="10"/>
        <v>-0.37816227913331313</v>
      </c>
      <c r="AB13" s="38">
        <f t="shared" si="11"/>
        <v>346030</v>
      </c>
      <c r="AC13" s="38">
        <f t="shared" si="12"/>
        <v>230398</v>
      </c>
      <c r="AD13" s="147">
        <f t="shared" si="13"/>
        <v>-0.33416755772620876</v>
      </c>
      <c r="AE13" s="39">
        <v>111723</v>
      </c>
      <c r="AF13" s="143">
        <v>71689</v>
      </c>
      <c r="AG13" s="147">
        <f t="shared" si="14"/>
        <v>-0.35833266203019964</v>
      </c>
      <c r="AH13" s="143">
        <f t="shared" si="15"/>
        <v>457753</v>
      </c>
      <c r="AI13" s="143">
        <f t="shared" si="16"/>
        <v>302087</v>
      </c>
      <c r="AJ13" s="147">
        <f t="shared" si="17"/>
        <v>-0.34006549383619555</v>
      </c>
      <c r="AK13" s="149">
        <v>173284</v>
      </c>
      <c r="AL13" s="149">
        <v>123804</v>
      </c>
      <c r="AM13" s="147">
        <f t="shared" si="18"/>
        <v>-0.28554280833775769</v>
      </c>
      <c r="AN13" s="149">
        <f t="shared" si="19"/>
        <v>631037</v>
      </c>
      <c r="AO13" s="149">
        <f t="shared" si="20"/>
        <v>425891</v>
      </c>
      <c r="AP13" s="147">
        <f t="shared" si="21"/>
        <v>-0.32509345727746553</v>
      </c>
      <c r="AQ13" s="149">
        <v>72134</v>
      </c>
      <c r="AR13" s="149">
        <v>47933</v>
      </c>
      <c r="AS13" s="147">
        <f t="shared" si="22"/>
        <v>-0.33550059611279004</v>
      </c>
      <c r="AT13" s="149">
        <f t="shared" si="23"/>
        <v>703171</v>
      </c>
      <c r="AU13" s="149">
        <f t="shared" si="24"/>
        <v>473824</v>
      </c>
      <c r="AV13" s="147">
        <f t="shared" si="25"/>
        <v>-0.32616106181853344</v>
      </c>
      <c r="AW13" s="43">
        <v>94856</v>
      </c>
      <c r="AX13" s="43">
        <v>51793</v>
      </c>
      <c r="AY13" s="147">
        <f t="shared" si="26"/>
        <v>-0.45398287931179893</v>
      </c>
      <c r="AZ13" s="43">
        <f t="shared" si="27"/>
        <v>798027</v>
      </c>
      <c r="BA13" s="43">
        <f t="shared" si="28"/>
        <v>525617</v>
      </c>
      <c r="BB13" s="147">
        <f t="shared" si="32"/>
        <v>-0.3413543652031823</v>
      </c>
      <c r="BC13" s="43">
        <v>159320</v>
      </c>
      <c r="BD13" s="43">
        <v>24824</v>
      </c>
      <c r="BE13" s="147">
        <f t="shared" si="29"/>
        <v>-0.84418779814210398</v>
      </c>
      <c r="BF13" s="43">
        <f t="shared" si="30"/>
        <v>957347</v>
      </c>
      <c r="BG13" s="43">
        <f t="shared" si="31"/>
        <v>550441</v>
      </c>
      <c r="BH13" s="147">
        <f t="shared" si="33"/>
        <v>-0.42503501865049975</v>
      </c>
      <c r="BI13" s="46">
        <v>185198.4</v>
      </c>
      <c r="BJ13" s="46">
        <v>81513</v>
      </c>
      <c r="BK13" s="46">
        <v>177473</v>
      </c>
      <c r="BL13" s="46">
        <v>1401531.4</v>
      </c>
      <c r="BM13" s="92">
        <f t="shared" si="34"/>
        <v>0.30580055555555558</v>
      </c>
    </row>
    <row r="14" spans="1:68" s="77" customFormat="1">
      <c r="A14" s="78" t="s">
        <v>24</v>
      </c>
      <c r="B14" s="78" t="s">
        <v>24</v>
      </c>
      <c r="C14" s="81" t="s">
        <v>86</v>
      </c>
      <c r="D14" s="80" t="s">
        <v>61</v>
      </c>
      <c r="E14" s="80" t="s">
        <v>61</v>
      </c>
      <c r="F14" s="80" t="s">
        <v>57</v>
      </c>
      <c r="G14" s="80" t="s">
        <v>57</v>
      </c>
      <c r="H14" s="39" t="s">
        <v>58</v>
      </c>
      <c r="I14" s="143"/>
      <c r="J14" s="144">
        <v>800</v>
      </c>
      <c r="K14" s="144"/>
      <c r="L14" s="92">
        <f t="shared" si="0"/>
        <v>-1</v>
      </c>
      <c r="M14" s="144"/>
      <c r="N14" s="144"/>
      <c r="O14" s="92" t="e">
        <f t="shared" si="1"/>
        <v>#DIV/0!</v>
      </c>
      <c r="P14" s="144">
        <f t="shared" si="4"/>
        <v>800</v>
      </c>
      <c r="Q14" s="144">
        <f t="shared" si="5"/>
        <v>0</v>
      </c>
      <c r="R14" s="92">
        <f t="shared" si="3"/>
        <v>-1</v>
      </c>
      <c r="S14" s="22"/>
      <c r="T14" s="22"/>
      <c r="U14" s="92" t="e">
        <f t="shared" si="6"/>
        <v>#DIV/0!</v>
      </c>
      <c r="V14" s="22">
        <f t="shared" si="7"/>
        <v>800</v>
      </c>
      <c r="W14" s="22">
        <f t="shared" si="8"/>
        <v>0</v>
      </c>
      <c r="X14" s="92">
        <f t="shared" si="9"/>
        <v>-1</v>
      </c>
      <c r="Y14" s="38"/>
      <c r="Z14" s="38"/>
      <c r="AA14" s="147" t="e">
        <f t="shared" si="10"/>
        <v>#DIV/0!</v>
      </c>
      <c r="AB14" s="38">
        <f t="shared" si="11"/>
        <v>800</v>
      </c>
      <c r="AC14" s="38">
        <f t="shared" si="12"/>
        <v>0</v>
      </c>
      <c r="AD14" s="147">
        <f t="shared" si="13"/>
        <v>-1</v>
      </c>
      <c r="AE14" s="39"/>
      <c r="AF14" s="143"/>
      <c r="AG14" s="147" t="e">
        <f t="shared" si="14"/>
        <v>#DIV/0!</v>
      </c>
      <c r="AH14" s="143">
        <f t="shared" si="15"/>
        <v>800</v>
      </c>
      <c r="AI14" s="143">
        <f t="shared" si="16"/>
        <v>0</v>
      </c>
      <c r="AJ14" s="147">
        <f t="shared" si="17"/>
        <v>-1</v>
      </c>
      <c r="AK14" s="149">
        <v>6071</v>
      </c>
      <c r="AL14" s="149"/>
      <c r="AM14" s="147">
        <f t="shared" si="18"/>
        <v>-1</v>
      </c>
      <c r="AN14" s="149">
        <f t="shared" si="19"/>
        <v>6871</v>
      </c>
      <c r="AO14" s="149">
        <f t="shared" si="20"/>
        <v>0</v>
      </c>
      <c r="AP14" s="147">
        <f t="shared" si="21"/>
        <v>-1</v>
      </c>
      <c r="AQ14" s="149"/>
      <c r="AR14" s="149">
        <v>4498</v>
      </c>
      <c r="AS14" s="147" t="e">
        <f t="shared" si="22"/>
        <v>#DIV/0!</v>
      </c>
      <c r="AT14" s="149">
        <f t="shared" si="23"/>
        <v>6871</v>
      </c>
      <c r="AU14" s="149">
        <f t="shared" si="24"/>
        <v>4498</v>
      </c>
      <c r="AV14" s="147">
        <f t="shared" si="25"/>
        <v>-0.34536457575316548</v>
      </c>
      <c r="AW14" s="43">
        <v>6599</v>
      </c>
      <c r="AX14" s="43">
        <v>13050</v>
      </c>
      <c r="AY14" s="147">
        <f t="shared" si="26"/>
        <v>0.97757235944840137</v>
      </c>
      <c r="AZ14" s="43">
        <f t="shared" si="27"/>
        <v>13470</v>
      </c>
      <c r="BA14" s="43">
        <f t="shared" si="28"/>
        <v>17548</v>
      </c>
      <c r="BB14" s="147">
        <f t="shared" si="32"/>
        <v>0.30274684484038605</v>
      </c>
      <c r="BC14" s="43">
        <v>16646</v>
      </c>
      <c r="BD14" s="43"/>
      <c r="BE14" s="147">
        <f t="shared" si="29"/>
        <v>-1</v>
      </c>
      <c r="BF14" s="43">
        <f t="shared" si="30"/>
        <v>30116</v>
      </c>
      <c r="BG14" s="43">
        <f t="shared" si="31"/>
        <v>17548</v>
      </c>
      <c r="BH14" s="147">
        <f t="shared" si="33"/>
        <v>-0.41731969717093909</v>
      </c>
      <c r="BI14" s="46">
        <v>8396</v>
      </c>
      <c r="BJ14" s="46"/>
      <c r="BK14" s="46"/>
      <c r="BL14" s="46">
        <v>38512</v>
      </c>
      <c r="BM14" s="92" t="e">
        <f t="shared" si="34"/>
        <v>#DIV/0!</v>
      </c>
    </row>
    <row r="15" spans="1:68" s="77" customFormat="1" hidden="1">
      <c r="A15" s="78" t="s">
        <v>24</v>
      </c>
      <c r="B15" s="78" t="s">
        <v>24</v>
      </c>
      <c r="C15" s="136" t="s">
        <v>87</v>
      </c>
      <c r="D15" s="80" t="s">
        <v>88</v>
      </c>
      <c r="E15" s="80" t="s">
        <v>88</v>
      </c>
      <c r="F15" s="80" t="s">
        <v>76</v>
      </c>
      <c r="G15" s="80" t="s">
        <v>80</v>
      </c>
      <c r="H15" s="39" t="s">
        <v>89</v>
      </c>
      <c r="I15" s="143"/>
      <c r="J15" s="144">
        <v>111956.28</v>
      </c>
      <c r="K15" s="144">
        <v>76873.34</v>
      </c>
      <c r="L15" s="92">
        <f t="shared" si="0"/>
        <v>-0.313362859144659</v>
      </c>
      <c r="M15" s="144">
        <v>43919</v>
      </c>
      <c r="N15" s="144">
        <v>43284.9</v>
      </c>
      <c r="O15" s="92">
        <f t="shared" si="1"/>
        <v>-1.4437942576105978E-2</v>
      </c>
      <c r="P15" s="144">
        <f t="shared" si="4"/>
        <v>155875.28</v>
      </c>
      <c r="Q15" s="144">
        <f t="shared" si="5"/>
        <v>120158.23999999999</v>
      </c>
      <c r="R15" s="92">
        <f t="shared" si="3"/>
        <v>-0.22913857797079829</v>
      </c>
      <c r="S15" s="22">
        <v>80405.08</v>
      </c>
      <c r="T15" s="22">
        <v>119148.66</v>
      </c>
      <c r="U15" s="92">
        <f t="shared" si="6"/>
        <v>0.48185487782612735</v>
      </c>
      <c r="V15" s="22">
        <f t="shared" si="7"/>
        <v>236280.36</v>
      </c>
      <c r="W15" s="22">
        <f t="shared" si="8"/>
        <v>239306.9</v>
      </c>
      <c r="X15" s="92">
        <f t="shared" si="9"/>
        <v>1.2809105251067043E-2</v>
      </c>
      <c r="Y15" s="38">
        <v>82108.639999999999</v>
      </c>
      <c r="Z15" s="38">
        <v>310195.38</v>
      </c>
      <c r="AA15" s="147">
        <f t="shared" si="10"/>
        <v>2.7778652770280936</v>
      </c>
      <c r="AB15" s="38">
        <f t="shared" si="11"/>
        <v>318389</v>
      </c>
      <c r="AC15" s="38">
        <f t="shared" si="12"/>
        <v>549502.28</v>
      </c>
      <c r="AD15" s="147">
        <f t="shared" si="13"/>
        <v>0.72588336908624362</v>
      </c>
      <c r="AE15" s="39">
        <v>209042.8</v>
      </c>
      <c r="AF15" s="143">
        <v>36281.120000000003</v>
      </c>
      <c r="AG15" s="147">
        <f t="shared" si="14"/>
        <v>-0.82644166649126394</v>
      </c>
      <c r="AH15" s="143">
        <f t="shared" si="15"/>
        <v>527431.80000000005</v>
      </c>
      <c r="AI15" s="143">
        <f t="shared" si="16"/>
        <v>585783.4</v>
      </c>
      <c r="AJ15" s="147">
        <f t="shared" si="17"/>
        <v>0.11063345061863927</v>
      </c>
      <c r="AK15" s="149">
        <v>78620.759999999995</v>
      </c>
      <c r="AL15" s="149">
        <v>30684.400000000001</v>
      </c>
      <c r="AM15" s="147">
        <f t="shared" si="18"/>
        <v>-0.60971631411347327</v>
      </c>
      <c r="AN15" s="149">
        <f t="shared" si="19"/>
        <v>606052.56000000006</v>
      </c>
      <c r="AO15" s="149">
        <f t="shared" si="20"/>
        <v>616467.80000000005</v>
      </c>
      <c r="AP15" s="147">
        <f t="shared" si="21"/>
        <v>1.7185374153027233E-2</v>
      </c>
      <c r="AQ15" s="149">
        <v>153937.20000000001</v>
      </c>
      <c r="AR15" s="149">
        <v>271358.5</v>
      </c>
      <c r="AS15" s="147">
        <f t="shared" si="22"/>
        <v>0.76278703263408709</v>
      </c>
      <c r="AT15" s="149">
        <f t="shared" si="23"/>
        <v>759989.76000000001</v>
      </c>
      <c r="AU15" s="149">
        <f t="shared" si="24"/>
        <v>887826.3</v>
      </c>
      <c r="AV15" s="147">
        <f t="shared" si="25"/>
        <v>0.16820824006891888</v>
      </c>
      <c r="AW15" s="43">
        <v>172756.46</v>
      </c>
      <c r="AX15" s="43">
        <v>91767.56</v>
      </c>
      <c r="AY15" s="147">
        <f t="shared" si="26"/>
        <v>-0.46880388727576383</v>
      </c>
      <c r="AZ15" s="43">
        <f t="shared" si="27"/>
        <v>932746.22</v>
      </c>
      <c r="BA15" s="43">
        <f t="shared" si="28"/>
        <v>979593.8600000001</v>
      </c>
      <c r="BB15" s="147">
        <f t="shared" si="32"/>
        <v>5.0225494347219346E-2</v>
      </c>
      <c r="BC15" s="43">
        <v>226467.5</v>
      </c>
      <c r="BD15" s="43">
        <v>93879.44</v>
      </c>
      <c r="BE15" s="147">
        <f t="shared" si="29"/>
        <v>-0.58546175499795772</v>
      </c>
      <c r="BF15" s="43">
        <f t="shared" si="30"/>
        <v>1159213.72</v>
      </c>
      <c r="BG15" s="43">
        <f t="shared" si="31"/>
        <v>1073473.3</v>
      </c>
      <c r="BH15" s="147">
        <f t="shared" si="33"/>
        <v>-7.3964290208711425E-2</v>
      </c>
      <c r="BI15" s="46">
        <v>216712.16</v>
      </c>
      <c r="BJ15" s="46">
        <v>164087.41</v>
      </c>
      <c r="BK15" s="46">
        <v>375150.88</v>
      </c>
      <c r="BL15" s="46">
        <v>1915164.17</v>
      </c>
      <c r="BM15" s="92" t="e">
        <f t="shared" si="34"/>
        <v>#DIV/0!</v>
      </c>
    </row>
    <row r="16" spans="1:68" s="77" customFormat="1" hidden="1">
      <c r="A16" s="78" t="s">
        <v>24</v>
      </c>
      <c r="B16" s="78" t="s">
        <v>24</v>
      </c>
      <c r="C16" s="136" t="s">
        <v>90</v>
      </c>
      <c r="D16" s="80" t="s">
        <v>88</v>
      </c>
      <c r="E16" s="80" t="s">
        <v>88</v>
      </c>
      <c r="F16" s="80" t="s">
        <v>76</v>
      </c>
      <c r="G16" s="80" t="s">
        <v>80</v>
      </c>
      <c r="H16" s="39" t="s">
        <v>81</v>
      </c>
      <c r="I16" s="143"/>
      <c r="J16" s="144"/>
      <c r="K16" s="144"/>
      <c r="L16" s="92" t="e">
        <f t="shared" si="0"/>
        <v>#DIV/0!</v>
      </c>
      <c r="M16" s="144"/>
      <c r="N16" s="144">
        <v>6125</v>
      </c>
      <c r="O16" s="92" t="e">
        <f t="shared" si="1"/>
        <v>#DIV/0!</v>
      </c>
      <c r="P16" s="144">
        <f t="shared" si="4"/>
        <v>0</v>
      </c>
      <c r="Q16" s="144">
        <f t="shared" si="5"/>
        <v>6125</v>
      </c>
      <c r="R16" s="92" t="e">
        <f t="shared" si="3"/>
        <v>#DIV/0!</v>
      </c>
      <c r="S16" s="22"/>
      <c r="T16" s="22"/>
      <c r="U16" s="92" t="e">
        <f t="shared" si="6"/>
        <v>#DIV/0!</v>
      </c>
      <c r="V16" s="22">
        <f t="shared" si="7"/>
        <v>0</v>
      </c>
      <c r="W16" s="22">
        <f t="shared" si="8"/>
        <v>6125</v>
      </c>
      <c r="X16" s="92" t="e">
        <f t="shared" si="9"/>
        <v>#DIV/0!</v>
      </c>
      <c r="Y16" s="38"/>
      <c r="Z16" s="38"/>
      <c r="AA16" s="147" t="e">
        <f t="shared" si="10"/>
        <v>#DIV/0!</v>
      </c>
      <c r="AB16" s="38">
        <f t="shared" si="11"/>
        <v>0</v>
      </c>
      <c r="AC16" s="38">
        <f t="shared" si="12"/>
        <v>6125</v>
      </c>
      <c r="AD16" s="147" t="e">
        <f t="shared" si="13"/>
        <v>#DIV/0!</v>
      </c>
      <c r="AE16" s="39">
        <v>3636</v>
      </c>
      <c r="AF16" s="143"/>
      <c r="AG16" s="147">
        <f t="shared" si="14"/>
        <v>-1</v>
      </c>
      <c r="AH16" s="143">
        <f t="shared" si="15"/>
        <v>3636</v>
      </c>
      <c r="AI16" s="143">
        <f t="shared" si="16"/>
        <v>6125</v>
      </c>
      <c r="AJ16" s="147">
        <f t="shared" si="17"/>
        <v>0.68454345434543451</v>
      </c>
      <c r="AK16" s="149">
        <v>25759</v>
      </c>
      <c r="AL16" s="149"/>
      <c r="AM16" s="147">
        <f t="shared" si="18"/>
        <v>-1</v>
      </c>
      <c r="AN16" s="149">
        <f t="shared" si="19"/>
        <v>29395</v>
      </c>
      <c r="AO16" s="149">
        <f t="shared" si="20"/>
        <v>6125</v>
      </c>
      <c r="AP16" s="147">
        <f t="shared" si="21"/>
        <v>-0.79163122980098655</v>
      </c>
      <c r="AQ16" s="149"/>
      <c r="AR16" s="149"/>
      <c r="AS16" s="147" t="e">
        <f t="shared" si="22"/>
        <v>#DIV/0!</v>
      </c>
      <c r="AT16" s="149">
        <f t="shared" si="23"/>
        <v>29395</v>
      </c>
      <c r="AU16" s="149">
        <f t="shared" si="24"/>
        <v>6125</v>
      </c>
      <c r="AV16" s="147">
        <f t="shared" si="25"/>
        <v>-0.79163122980098655</v>
      </c>
      <c r="AW16" s="43">
        <v>2400</v>
      </c>
      <c r="AX16" s="43"/>
      <c r="AY16" s="147">
        <f t="shared" si="26"/>
        <v>-1</v>
      </c>
      <c r="AZ16" s="43">
        <f t="shared" si="27"/>
        <v>31795</v>
      </c>
      <c r="BA16" s="43">
        <f t="shared" si="28"/>
        <v>6125</v>
      </c>
      <c r="BB16" s="147">
        <f t="shared" si="32"/>
        <v>-0.80735964774335589</v>
      </c>
      <c r="BC16" s="43">
        <v>29589</v>
      </c>
      <c r="BD16" s="43"/>
      <c r="BE16" s="147">
        <f t="shared" si="29"/>
        <v>-1</v>
      </c>
      <c r="BF16" s="43">
        <f t="shared" si="30"/>
        <v>61384</v>
      </c>
      <c r="BG16" s="43">
        <f t="shared" si="31"/>
        <v>6125</v>
      </c>
      <c r="BH16" s="147">
        <f t="shared" si="33"/>
        <v>-0.90021829792779873</v>
      </c>
      <c r="BI16" s="46"/>
      <c r="BJ16" s="46"/>
      <c r="BK16" s="46"/>
      <c r="BL16" s="46">
        <v>61384</v>
      </c>
      <c r="BM16" s="92" t="e">
        <f t="shared" si="34"/>
        <v>#DIV/0!</v>
      </c>
    </row>
    <row r="17" spans="1:65" s="77" customFormat="1" hidden="1">
      <c r="A17" s="78" t="s">
        <v>24</v>
      </c>
      <c r="B17" s="78" t="s">
        <v>24</v>
      </c>
      <c r="C17" s="81" t="s">
        <v>91</v>
      </c>
      <c r="D17" s="80" t="s">
        <v>84</v>
      </c>
      <c r="E17" s="80" t="s">
        <v>84</v>
      </c>
      <c r="F17" s="80" t="s">
        <v>57</v>
      </c>
      <c r="G17" s="80" t="s">
        <v>57</v>
      </c>
      <c r="H17" s="39" t="s">
        <v>85</v>
      </c>
      <c r="I17" s="143"/>
      <c r="J17" s="144">
        <v>52801</v>
      </c>
      <c r="K17" s="144"/>
      <c r="L17" s="92">
        <f t="shared" ref="L17:L41" si="35">K17/J17-1</f>
        <v>-1</v>
      </c>
      <c r="M17" s="144"/>
      <c r="N17" s="144"/>
      <c r="O17" s="92" t="e">
        <f t="shared" si="1"/>
        <v>#DIV/0!</v>
      </c>
      <c r="P17" s="144">
        <f t="shared" si="4"/>
        <v>52801</v>
      </c>
      <c r="Q17" s="144">
        <f t="shared" si="5"/>
        <v>0</v>
      </c>
      <c r="R17" s="92">
        <f t="shared" si="3"/>
        <v>-1</v>
      </c>
      <c r="S17" s="22"/>
      <c r="T17" s="22"/>
      <c r="U17" s="92" t="e">
        <f t="shared" si="6"/>
        <v>#DIV/0!</v>
      </c>
      <c r="V17" s="22">
        <f t="shared" si="7"/>
        <v>52801</v>
      </c>
      <c r="W17" s="22">
        <f t="shared" si="8"/>
        <v>0</v>
      </c>
      <c r="X17" s="92">
        <f t="shared" si="9"/>
        <v>-1</v>
      </c>
      <c r="Y17" s="38"/>
      <c r="Z17" s="38"/>
      <c r="AA17" s="147" t="e">
        <f t="shared" si="10"/>
        <v>#DIV/0!</v>
      </c>
      <c r="AB17" s="38">
        <f t="shared" si="11"/>
        <v>52801</v>
      </c>
      <c r="AC17" s="38">
        <f t="shared" si="12"/>
        <v>0</v>
      </c>
      <c r="AD17" s="147">
        <f t="shared" si="13"/>
        <v>-1</v>
      </c>
      <c r="AE17" s="39"/>
      <c r="AF17" s="143"/>
      <c r="AG17" s="147" t="e">
        <f t="shared" si="14"/>
        <v>#DIV/0!</v>
      </c>
      <c r="AH17" s="143">
        <f t="shared" si="15"/>
        <v>52801</v>
      </c>
      <c r="AI17" s="143">
        <f t="shared" si="16"/>
        <v>0</v>
      </c>
      <c r="AJ17" s="147">
        <f t="shared" si="17"/>
        <v>-1</v>
      </c>
      <c r="AK17" s="149"/>
      <c r="AL17" s="149"/>
      <c r="AM17" s="147" t="e">
        <f t="shared" si="18"/>
        <v>#DIV/0!</v>
      </c>
      <c r="AN17" s="149">
        <f t="shared" si="19"/>
        <v>52801</v>
      </c>
      <c r="AO17" s="149">
        <f t="shared" si="20"/>
        <v>0</v>
      </c>
      <c r="AP17" s="147">
        <f t="shared" si="21"/>
        <v>-1</v>
      </c>
      <c r="AQ17" s="149"/>
      <c r="AR17" s="149"/>
      <c r="AS17" s="147" t="e">
        <f t="shared" si="22"/>
        <v>#DIV/0!</v>
      </c>
      <c r="AT17" s="149">
        <f t="shared" si="23"/>
        <v>52801</v>
      </c>
      <c r="AU17" s="149">
        <f t="shared" si="24"/>
        <v>0</v>
      </c>
      <c r="AV17" s="147">
        <f t="shared" si="25"/>
        <v>-1</v>
      </c>
      <c r="AW17" s="43"/>
      <c r="AX17" s="43"/>
      <c r="AY17" s="147" t="e">
        <f t="shared" si="26"/>
        <v>#DIV/0!</v>
      </c>
      <c r="AZ17" s="43">
        <f t="shared" si="27"/>
        <v>52801</v>
      </c>
      <c r="BA17" s="43">
        <f t="shared" si="28"/>
        <v>0</v>
      </c>
      <c r="BB17" s="147">
        <f t="shared" si="32"/>
        <v>-1</v>
      </c>
      <c r="BC17" s="43"/>
      <c r="BD17" s="43"/>
      <c r="BE17" s="147" t="e">
        <f t="shared" si="29"/>
        <v>#DIV/0!</v>
      </c>
      <c r="BF17" s="43">
        <f t="shared" si="30"/>
        <v>52801</v>
      </c>
      <c r="BG17" s="43">
        <f t="shared" si="31"/>
        <v>0</v>
      </c>
      <c r="BH17" s="147">
        <f t="shared" si="33"/>
        <v>-1</v>
      </c>
      <c r="BI17" s="46"/>
      <c r="BJ17" s="46"/>
      <c r="BK17" s="46"/>
      <c r="BL17" s="46">
        <v>52801</v>
      </c>
      <c r="BM17" s="92" t="e">
        <f t="shared" si="34"/>
        <v>#DIV/0!</v>
      </c>
    </row>
    <row r="18" spans="1:65" s="77" customFormat="1" hidden="1">
      <c r="A18" s="78" t="s">
        <v>24</v>
      </c>
      <c r="B18" s="78" t="s">
        <v>24</v>
      </c>
      <c r="C18" s="136" t="s">
        <v>92</v>
      </c>
      <c r="D18" s="80" t="s">
        <v>84</v>
      </c>
      <c r="E18" s="80" t="s">
        <v>84</v>
      </c>
      <c r="F18" s="80" t="s">
        <v>76</v>
      </c>
      <c r="G18" s="80" t="s">
        <v>93</v>
      </c>
      <c r="H18" s="39" t="s">
        <v>85</v>
      </c>
      <c r="I18" s="143"/>
      <c r="J18" s="144">
        <v>-16596</v>
      </c>
      <c r="K18" s="144"/>
      <c r="L18" s="92">
        <f t="shared" si="35"/>
        <v>-1</v>
      </c>
      <c r="M18" s="144"/>
      <c r="N18" s="144"/>
      <c r="O18" s="92" t="e">
        <f t="shared" si="1"/>
        <v>#DIV/0!</v>
      </c>
      <c r="P18" s="144">
        <f t="shared" si="4"/>
        <v>-16596</v>
      </c>
      <c r="Q18" s="144">
        <f t="shared" si="5"/>
        <v>0</v>
      </c>
      <c r="R18" s="92">
        <f t="shared" si="3"/>
        <v>-1</v>
      </c>
      <c r="S18" s="22"/>
      <c r="T18" s="22"/>
      <c r="U18" s="92" t="e">
        <f t="shared" si="6"/>
        <v>#DIV/0!</v>
      </c>
      <c r="V18" s="22">
        <f t="shared" si="7"/>
        <v>-16596</v>
      </c>
      <c r="W18" s="22">
        <f t="shared" si="8"/>
        <v>0</v>
      </c>
      <c r="X18" s="92">
        <f t="shared" si="9"/>
        <v>-1</v>
      </c>
      <c r="Y18" s="38"/>
      <c r="Z18" s="38"/>
      <c r="AA18" s="147" t="e">
        <f t="shared" si="10"/>
        <v>#DIV/0!</v>
      </c>
      <c r="AB18" s="38">
        <f t="shared" si="11"/>
        <v>-16596</v>
      </c>
      <c r="AC18" s="38">
        <f t="shared" si="12"/>
        <v>0</v>
      </c>
      <c r="AD18" s="147">
        <f t="shared" si="13"/>
        <v>-1</v>
      </c>
      <c r="AE18" s="39"/>
      <c r="AF18" s="143"/>
      <c r="AG18" s="147" t="e">
        <f t="shared" si="14"/>
        <v>#DIV/0!</v>
      </c>
      <c r="AH18" s="143">
        <f t="shared" si="15"/>
        <v>-16596</v>
      </c>
      <c r="AI18" s="143">
        <f t="shared" si="16"/>
        <v>0</v>
      </c>
      <c r="AJ18" s="147">
        <f t="shared" si="17"/>
        <v>-1</v>
      </c>
      <c r="AK18" s="149"/>
      <c r="AL18" s="149"/>
      <c r="AM18" s="147" t="e">
        <f t="shared" si="18"/>
        <v>#DIV/0!</v>
      </c>
      <c r="AN18" s="149">
        <f t="shared" si="19"/>
        <v>-16596</v>
      </c>
      <c r="AO18" s="149">
        <f t="shared" si="20"/>
        <v>0</v>
      </c>
      <c r="AP18" s="147">
        <f t="shared" si="21"/>
        <v>-1</v>
      </c>
      <c r="AQ18" s="149">
        <v>500</v>
      </c>
      <c r="AR18" s="149"/>
      <c r="AS18" s="147">
        <f t="shared" si="22"/>
        <v>-1</v>
      </c>
      <c r="AT18" s="149">
        <f t="shared" si="23"/>
        <v>-16096</v>
      </c>
      <c r="AU18" s="149">
        <f t="shared" si="24"/>
        <v>0</v>
      </c>
      <c r="AV18" s="147">
        <f t="shared" si="25"/>
        <v>-1</v>
      </c>
      <c r="AW18" s="43"/>
      <c r="AX18" s="43"/>
      <c r="AY18" s="147" t="e">
        <f t="shared" si="26"/>
        <v>#DIV/0!</v>
      </c>
      <c r="AZ18" s="43">
        <f t="shared" si="27"/>
        <v>-16096</v>
      </c>
      <c r="BA18" s="43">
        <f t="shared" si="28"/>
        <v>0</v>
      </c>
      <c r="BB18" s="147">
        <f t="shared" si="32"/>
        <v>-1</v>
      </c>
      <c r="BC18" s="43"/>
      <c r="BD18" s="43"/>
      <c r="BE18" s="147" t="e">
        <f t="shared" si="29"/>
        <v>#DIV/0!</v>
      </c>
      <c r="BF18" s="43">
        <f t="shared" si="30"/>
        <v>-16096</v>
      </c>
      <c r="BG18" s="43">
        <f t="shared" si="31"/>
        <v>0</v>
      </c>
      <c r="BH18" s="147">
        <f t="shared" si="33"/>
        <v>-1</v>
      </c>
      <c r="BI18" s="46"/>
      <c r="BJ18" s="46">
        <v>-4600</v>
      </c>
      <c r="BK18" s="46"/>
      <c r="BL18" s="46">
        <v>-20696</v>
      </c>
      <c r="BM18" s="92" t="e">
        <f t="shared" si="34"/>
        <v>#DIV/0!</v>
      </c>
    </row>
    <row r="19" spans="1:65" s="77" customFormat="1" hidden="1">
      <c r="A19" s="78" t="s">
        <v>24</v>
      </c>
      <c r="B19" s="78" t="s">
        <v>24</v>
      </c>
      <c r="C19" s="136" t="s">
        <v>94</v>
      </c>
      <c r="D19" s="80" t="s">
        <v>84</v>
      </c>
      <c r="E19" s="80" t="s">
        <v>84</v>
      </c>
      <c r="F19" s="80" t="s">
        <v>76</v>
      </c>
      <c r="G19" s="80" t="s">
        <v>80</v>
      </c>
      <c r="H19" s="39" t="s">
        <v>85</v>
      </c>
      <c r="I19" s="143"/>
      <c r="J19" s="144"/>
      <c r="K19" s="144"/>
      <c r="L19" s="92" t="e">
        <f t="shared" si="35"/>
        <v>#DIV/0!</v>
      </c>
      <c r="M19" s="144">
        <v>-3358</v>
      </c>
      <c r="N19" s="144"/>
      <c r="O19" s="92">
        <f t="shared" si="1"/>
        <v>-1</v>
      </c>
      <c r="P19" s="144">
        <f t="shared" si="4"/>
        <v>-3358</v>
      </c>
      <c r="Q19" s="144">
        <f t="shared" si="5"/>
        <v>0</v>
      </c>
      <c r="R19" s="92">
        <f t="shared" si="3"/>
        <v>-1</v>
      </c>
      <c r="S19" s="22"/>
      <c r="T19" s="22"/>
      <c r="U19" s="92" t="e">
        <f t="shared" si="6"/>
        <v>#DIV/0!</v>
      </c>
      <c r="V19" s="22">
        <f t="shared" si="7"/>
        <v>-3358</v>
      </c>
      <c r="W19" s="22">
        <f t="shared" si="8"/>
        <v>0</v>
      </c>
      <c r="X19" s="92">
        <f t="shared" si="9"/>
        <v>-1</v>
      </c>
      <c r="Y19" s="38"/>
      <c r="Z19" s="38"/>
      <c r="AA19" s="147" t="e">
        <f t="shared" si="10"/>
        <v>#DIV/0!</v>
      </c>
      <c r="AB19" s="38">
        <f t="shared" si="11"/>
        <v>-3358</v>
      </c>
      <c r="AC19" s="38">
        <f t="shared" si="12"/>
        <v>0</v>
      </c>
      <c r="AD19" s="147">
        <f t="shared" si="13"/>
        <v>-1</v>
      </c>
      <c r="AE19" s="39"/>
      <c r="AF19" s="143"/>
      <c r="AG19" s="147" t="e">
        <f t="shared" si="14"/>
        <v>#DIV/0!</v>
      </c>
      <c r="AH19" s="143">
        <f t="shared" si="15"/>
        <v>-3358</v>
      </c>
      <c r="AI19" s="143">
        <f t="shared" si="16"/>
        <v>0</v>
      </c>
      <c r="AJ19" s="147">
        <f t="shared" si="17"/>
        <v>-1</v>
      </c>
      <c r="AK19" s="149"/>
      <c r="AL19" s="149"/>
      <c r="AM19" s="147" t="e">
        <f t="shared" si="18"/>
        <v>#DIV/0!</v>
      </c>
      <c r="AN19" s="149">
        <f t="shared" si="19"/>
        <v>-3358</v>
      </c>
      <c r="AO19" s="149">
        <f t="shared" si="20"/>
        <v>0</v>
      </c>
      <c r="AP19" s="147">
        <f t="shared" si="21"/>
        <v>-1</v>
      </c>
      <c r="AQ19" s="149"/>
      <c r="AR19" s="149"/>
      <c r="AS19" s="147" t="e">
        <f t="shared" si="22"/>
        <v>#DIV/0!</v>
      </c>
      <c r="AT19" s="149">
        <f t="shared" si="23"/>
        <v>-3358</v>
      </c>
      <c r="AU19" s="149">
        <f t="shared" si="24"/>
        <v>0</v>
      </c>
      <c r="AV19" s="147">
        <f t="shared" si="25"/>
        <v>-1</v>
      </c>
      <c r="AW19" s="43"/>
      <c r="AX19" s="43"/>
      <c r="AY19" s="147" t="e">
        <f t="shared" si="26"/>
        <v>#DIV/0!</v>
      </c>
      <c r="AZ19" s="43">
        <f t="shared" si="27"/>
        <v>-3358</v>
      </c>
      <c r="BA19" s="43">
        <f t="shared" si="28"/>
        <v>0</v>
      </c>
      <c r="BB19" s="147">
        <f t="shared" si="32"/>
        <v>-1</v>
      </c>
      <c r="BC19" s="43"/>
      <c r="BD19" s="43"/>
      <c r="BE19" s="147" t="e">
        <f t="shared" si="29"/>
        <v>#DIV/0!</v>
      </c>
      <c r="BF19" s="43">
        <f t="shared" si="30"/>
        <v>-3358</v>
      </c>
      <c r="BG19" s="43">
        <f t="shared" si="31"/>
        <v>0</v>
      </c>
      <c r="BH19" s="147">
        <f t="shared" si="33"/>
        <v>-1</v>
      </c>
      <c r="BI19" s="46"/>
      <c r="BJ19" s="46"/>
      <c r="BK19" s="46"/>
      <c r="BL19" s="46">
        <v>-3358</v>
      </c>
      <c r="BM19" s="92" t="e">
        <f t="shared" si="34"/>
        <v>#DIV/0!</v>
      </c>
    </row>
    <row r="20" spans="1:65" s="77" customFormat="1" hidden="1">
      <c r="A20" s="78" t="s">
        <v>24</v>
      </c>
      <c r="B20" s="78" t="s">
        <v>24</v>
      </c>
      <c r="C20" s="136" t="s">
        <v>95</v>
      </c>
      <c r="D20" s="80" t="s">
        <v>84</v>
      </c>
      <c r="E20" s="80" t="s">
        <v>84</v>
      </c>
      <c r="F20" s="80" t="s">
        <v>76</v>
      </c>
      <c r="G20" s="137" t="s">
        <v>96</v>
      </c>
      <c r="H20" s="39" t="s">
        <v>85</v>
      </c>
      <c r="I20" s="143"/>
      <c r="J20" s="144"/>
      <c r="K20" s="144"/>
      <c r="L20" s="92" t="e">
        <f t="shared" si="35"/>
        <v>#DIV/0!</v>
      </c>
      <c r="M20" s="144"/>
      <c r="N20" s="144"/>
      <c r="O20" s="92" t="e">
        <f t="shared" si="1"/>
        <v>#DIV/0!</v>
      </c>
      <c r="P20" s="144">
        <f t="shared" si="4"/>
        <v>0</v>
      </c>
      <c r="Q20" s="144">
        <f t="shared" si="5"/>
        <v>0</v>
      </c>
      <c r="R20" s="92" t="e">
        <f t="shared" si="3"/>
        <v>#DIV/0!</v>
      </c>
      <c r="S20" s="22"/>
      <c r="T20" s="22"/>
      <c r="U20" s="92" t="e">
        <f t="shared" si="6"/>
        <v>#DIV/0!</v>
      </c>
      <c r="V20" s="22">
        <f t="shared" si="7"/>
        <v>0</v>
      </c>
      <c r="W20" s="22">
        <f t="shared" si="8"/>
        <v>0</v>
      </c>
      <c r="X20" s="92" t="e">
        <f t="shared" si="9"/>
        <v>#DIV/0!</v>
      </c>
      <c r="Y20" s="38"/>
      <c r="Z20" s="38"/>
      <c r="AA20" s="147" t="e">
        <f t="shared" si="10"/>
        <v>#DIV/0!</v>
      </c>
      <c r="AB20" s="38">
        <f t="shared" si="11"/>
        <v>0</v>
      </c>
      <c r="AC20" s="38">
        <f t="shared" si="12"/>
        <v>0</v>
      </c>
      <c r="AD20" s="147" t="e">
        <f t="shared" si="13"/>
        <v>#DIV/0!</v>
      </c>
      <c r="AE20" s="39"/>
      <c r="AF20" s="143"/>
      <c r="AG20" s="147" t="e">
        <f t="shared" si="14"/>
        <v>#DIV/0!</v>
      </c>
      <c r="AH20" s="143">
        <f t="shared" si="15"/>
        <v>0</v>
      </c>
      <c r="AI20" s="143">
        <f t="shared" si="16"/>
        <v>0</v>
      </c>
      <c r="AJ20" s="147" t="e">
        <f t="shared" si="17"/>
        <v>#DIV/0!</v>
      </c>
      <c r="AK20" s="149"/>
      <c r="AL20" s="149"/>
      <c r="AM20" s="147" t="e">
        <f t="shared" si="18"/>
        <v>#DIV/0!</v>
      </c>
      <c r="AN20" s="149">
        <f t="shared" si="19"/>
        <v>0</v>
      </c>
      <c r="AO20" s="149">
        <f t="shared" si="20"/>
        <v>0</v>
      </c>
      <c r="AP20" s="147" t="e">
        <f t="shared" si="21"/>
        <v>#DIV/0!</v>
      </c>
      <c r="AQ20" s="149"/>
      <c r="AR20" s="149"/>
      <c r="AS20" s="147" t="e">
        <f t="shared" si="22"/>
        <v>#DIV/0!</v>
      </c>
      <c r="AT20" s="149">
        <f t="shared" si="23"/>
        <v>0</v>
      </c>
      <c r="AU20" s="149">
        <f t="shared" si="24"/>
        <v>0</v>
      </c>
      <c r="AV20" s="147" t="e">
        <f t="shared" si="25"/>
        <v>#DIV/0!</v>
      </c>
      <c r="AW20" s="43"/>
      <c r="AX20" s="43"/>
      <c r="AY20" s="147" t="e">
        <f t="shared" si="26"/>
        <v>#DIV/0!</v>
      </c>
      <c r="AZ20" s="43">
        <f t="shared" si="27"/>
        <v>0</v>
      </c>
      <c r="BA20" s="43">
        <f t="shared" si="28"/>
        <v>0</v>
      </c>
      <c r="BB20" s="147" t="e">
        <f t="shared" si="32"/>
        <v>#DIV/0!</v>
      </c>
      <c r="BC20" s="43"/>
      <c r="BD20" s="43"/>
      <c r="BE20" s="147" t="e">
        <f t="shared" si="29"/>
        <v>#DIV/0!</v>
      </c>
      <c r="BF20" s="43">
        <f t="shared" si="30"/>
        <v>0</v>
      </c>
      <c r="BG20" s="43">
        <f t="shared" si="31"/>
        <v>0</v>
      </c>
      <c r="BH20" s="147" t="e">
        <f t="shared" si="33"/>
        <v>#DIV/0!</v>
      </c>
      <c r="BI20" s="46"/>
      <c r="BJ20" s="46"/>
      <c r="BK20" s="46"/>
      <c r="BL20" s="46">
        <v>0</v>
      </c>
      <c r="BM20" s="92" t="e">
        <f t="shared" si="34"/>
        <v>#DIV/0!</v>
      </c>
    </row>
    <row r="21" spans="1:65" s="77" customFormat="1" hidden="1">
      <c r="A21" s="78" t="s">
        <v>24</v>
      </c>
      <c r="B21" s="78" t="s">
        <v>24</v>
      </c>
      <c r="C21" s="136" t="s">
        <v>97</v>
      </c>
      <c r="D21" s="80" t="s">
        <v>84</v>
      </c>
      <c r="E21" s="80" t="s">
        <v>84</v>
      </c>
      <c r="F21" s="80" t="s">
        <v>76</v>
      </c>
      <c r="G21" s="80" t="s">
        <v>77</v>
      </c>
      <c r="H21" s="39" t="s">
        <v>85</v>
      </c>
      <c r="I21" s="143">
        <v>230</v>
      </c>
      <c r="J21" s="144">
        <v>164507</v>
      </c>
      <c r="K21" s="144">
        <v>108230.5</v>
      </c>
      <c r="L21" s="92">
        <f t="shared" si="35"/>
        <v>-0.34209182587974984</v>
      </c>
      <c r="M21" s="144">
        <v>107411</v>
      </c>
      <c r="N21" s="144">
        <v>59256.4</v>
      </c>
      <c r="O21" s="92">
        <f t="shared" si="1"/>
        <v>-0.44832093547215834</v>
      </c>
      <c r="P21" s="144">
        <f t="shared" si="4"/>
        <v>271918</v>
      </c>
      <c r="Q21" s="144">
        <f t="shared" si="5"/>
        <v>167486.9</v>
      </c>
      <c r="R21" s="92">
        <f t="shared" si="3"/>
        <v>-0.38405364852639401</v>
      </c>
      <c r="S21" s="22">
        <v>318901</v>
      </c>
      <c r="T21" s="22">
        <v>109309.1</v>
      </c>
      <c r="U21" s="92">
        <f t="shared" si="6"/>
        <v>-0.65723186819734014</v>
      </c>
      <c r="V21" s="22">
        <f t="shared" si="7"/>
        <v>590819</v>
      </c>
      <c r="W21" s="22">
        <f t="shared" si="8"/>
        <v>276796</v>
      </c>
      <c r="X21" s="92">
        <f t="shared" si="9"/>
        <v>-0.53150457246635607</v>
      </c>
      <c r="Y21" s="38">
        <v>286782</v>
      </c>
      <c r="Z21" s="38">
        <v>130231</v>
      </c>
      <c r="AA21" s="147">
        <f t="shared" si="10"/>
        <v>-0.54588851462086185</v>
      </c>
      <c r="AB21" s="38">
        <f t="shared" si="11"/>
        <v>877601</v>
      </c>
      <c r="AC21" s="38">
        <f t="shared" si="12"/>
        <v>407027</v>
      </c>
      <c r="AD21" s="147">
        <f t="shared" si="13"/>
        <v>-0.5362049496297292</v>
      </c>
      <c r="AE21" s="39">
        <v>277032</v>
      </c>
      <c r="AF21" s="143">
        <v>123067.1</v>
      </c>
      <c r="AG21" s="147">
        <f t="shared" si="14"/>
        <v>-0.55576575991221233</v>
      </c>
      <c r="AH21" s="143">
        <f t="shared" si="15"/>
        <v>1154633</v>
      </c>
      <c r="AI21" s="143">
        <f t="shared" si="16"/>
        <v>530094.1</v>
      </c>
      <c r="AJ21" s="147">
        <f t="shared" si="17"/>
        <v>-0.54089819016085627</v>
      </c>
      <c r="AK21" s="149">
        <v>219679</v>
      </c>
      <c r="AL21" s="149">
        <v>158341.79999999999</v>
      </c>
      <c r="AM21" s="147">
        <f t="shared" si="18"/>
        <v>-0.27921285147874864</v>
      </c>
      <c r="AN21" s="149">
        <f t="shared" si="19"/>
        <v>1374312</v>
      </c>
      <c r="AO21" s="149">
        <f t="shared" si="20"/>
        <v>688435.89999999991</v>
      </c>
      <c r="AP21" s="147">
        <f t="shared" si="21"/>
        <v>-0.49906869764653161</v>
      </c>
      <c r="AQ21" s="149">
        <v>159081</v>
      </c>
      <c r="AR21" s="149">
        <v>49102</v>
      </c>
      <c r="AS21" s="147">
        <f t="shared" si="22"/>
        <v>-0.69133963201136528</v>
      </c>
      <c r="AT21" s="149">
        <f t="shared" si="23"/>
        <v>1533393</v>
      </c>
      <c r="AU21" s="149">
        <f t="shared" si="24"/>
        <v>737537.89999999991</v>
      </c>
      <c r="AV21" s="147">
        <f t="shared" si="25"/>
        <v>-0.51901573830061842</v>
      </c>
      <c r="AW21" s="43">
        <v>201109</v>
      </c>
      <c r="AX21" s="43">
        <f>31899-3470</f>
        <v>28429</v>
      </c>
      <c r="AY21" s="147">
        <f t="shared" si="26"/>
        <v>-0.85863884759011277</v>
      </c>
      <c r="AZ21" s="43">
        <f t="shared" si="27"/>
        <v>1734502</v>
      </c>
      <c r="BA21" s="43">
        <f t="shared" si="28"/>
        <v>765966.89999999991</v>
      </c>
      <c r="BB21" s="147">
        <f t="shared" si="32"/>
        <v>-0.55839376374313787</v>
      </c>
      <c r="BC21" s="43">
        <v>242762.6</v>
      </c>
      <c r="BD21" s="43">
        <v>54601</v>
      </c>
      <c r="BE21" s="147">
        <f t="shared" si="29"/>
        <v>-0.77508479477481296</v>
      </c>
      <c r="BF21" s="43">
        <f t="shared" si="30"/>
        <v>1977264.6</v>
      </c>
      <c r="BG21" s="43">
        <f t="shared" si="31"/>
        <v>820567.89999999991</v>
      </c>
      <c r="BH21" s="147">
        <f t="shared" si="33"/>
        <v>-0.58499843672920671</v>
      </c>
      <c r="BI21" s="46">
        <v>349831.4</v>
      </c>
      <c r="BJ21" s="46">
        <v>127945.5</v>
      </c>
      <c r="BK21" s="46">
        <v>212464</v>
      </c>
      <c r="BL21" s="46">
        <v>2667505.5</v>
      </c>
      <c r="BM21" s="92">
        <f t="shared" si="34"/>
        <v>0.35676865217391301</v>
      </c>
    </row>
    <row r="22" spans="1:65" s="77" customFormat="1" hidden="1">
      <c r="A22" s="78" t="s">
        <v>24</v>
      </c>
      <c r="B22" s="78" t="s">
        <v>24</v>
      </c>
      <c r="C22" s="136" t="s">
        <v>98</v>
      </c>
      <c r="D22" s="80" t="s">
        <v>65</v>
      </c>
      <c r="E22" s="80" t="s">
        <v>65</v>
      </c>
      <c r="F22" s="80" t="s">
        <v>76</v>
      </c>
      <c r="G22" s="80" t="s">
        <v>96</v>
      </c>
      <c r="H22" s="39" t="s">
        <v>85</v>
      </c>
      <c r="I22" s="143"/>
      <c r="J22" s="144">
        <v>78855</v>
      </c>
      <c r="K22" s="144">
        <v>24931</v>
      </c>
      <c r="L22" s="92">
        <f t="shared" si="35"/>
        <v>-0.68383742311838192</v>
      </c>
      <c r="M22" s="144">
        <v>39609</v>
      </c>
      <c r="N22" s="144">
        <f>16033+14550</f>
        <v>30583</v>
      </c>
      <c r="O22" s="92">
        <f t="shared" si="1"/>
        <v>-0.22787750258779571</v>
      </c>
      <c r="P22" s="144">
        <f t="shared" si="4"/>
        <v>118464</v>
      </c>
      <c r="Q22" s="144">
        <f t="shared" si="5"/>
        <v>55514</v>
      </c>
      <c r="R22" s="92">
        <f t="shared" si="3"/>
        <v>-0.53138506212857917</v>
      </c>
      <c r="S22" s="22">
        <v>40486</v>
      </c>
      <c r="T22" s="22">
        <v>10700</v>
      </c>
      <c r="U22" s="92">
        <f t="shared" si="6"/>
        <v>-0.735711110013338</v>
      </c>
      <c r="V22" s="22">
        <f t="shared" si="7"/>
        <v>158950</v>
      </c>
      <c r="W22" s="22">
        <f t="shared" si="8"/>
        <v>66214</v>
      </c>
      <c r="X22" s="92">
        <f t="shared" si="9"/>
        <v>-0.58342875117961623</v>
      </c>
      <c r="Y22" s="38">
        <v>45990</v>
      </c>
      <c r="Z22" s="38"/>
      <c r="AA22" s="147">
        <f t="shared" si="10"/>
        <v>-1</v>
      </c>
      <c r="AB22" s="38">
        <f t="shared" si="11"/>
        <v>204940</v>
      </c>
      <c r="AC22" s="38">
        <f t="shared" si="12"/>
        <v>66214</v>
      </c>
      <c r="AD22" s="147">
        <f t="shared" si="13"/>
        <v>-0.67691031521420908</v>
      </c>
      <c r="AE22" s="39">
        <v>26265</v>
      </c>
      <c r="AF22" s="143">
        <v>-3281.96</v>
      </c>
      <c r="AG22" s="147">
        <f t="shared" si="14"/>
        <v>-1.1249556443936799</v>
      </c>
      <c r="AH22" s="143">
        <f t="shared" si="15"/>
        <v>231205</v>
      </c>
      <c r="AI22" s="143">
        <f t="shared" si="16"/>
        <v>62932.04</v>
      </c>
      <c r="AJ22" s="147">
        <f t="shared" si="17"/>
        <v>-0.72780848165048329</v>
      </c>
      <c r="AK22" s="149">
        <v>67133</v>
      </c>
      <c r="AL22" s="149"/>
      <c r="AM22" s="147">
        <f t="shared" si="18"/>
        <v>-1</v>
      </c>
      <c r="AN22" s="149">
        <f t="shared" si="19"/>
        <v>298338</v>
      </c>
      <c r="AO22" s="149">
        <f t="shared" si="20"/>
        <v>62932.04</v>
      </c>
      <c r="AP22" s="147">
        <f t="shared" si="21"/>
        <v>-0.78905791417787874</v>
      </c>
      <c r="AQ22" s="149">
        <v>58226</v>
      </c>
      <c r="AR22" s="149"/>
      <c r="AS22" s="147">
        <f t="shared" si="22"/>
        <v>-1</v>
      </c>
      <c r="AT22" s="149">
        <f t="shared" si="23"/>
        <v>356564</v>
      </c>
      <c r="AU22" s="149">
        <f t="shared" si="24"/>
        <v>62932.04</v>
      </c>
      <c r="AV22" s="147">
        <f t="shared" si="25"/>
        <v>-0.82350422364568487</v>
      </c>
      <c r="AW22" s="43">
        <v>24848</v>
      </c>
      <c r="AX22" s="43"/>
      <c r="AY22" s="147">
        <f t="shared" si="26"/>
        <v>-1</v>
      </c>
      <c r="AZ22" s="43">
        <f t="shared" si="27"/>
        <v>381412</v>
      </c>
      <c r="BA22" s="43">
        <f t="shared" si="28"/>
        <v>62932.04</v>
      </c>
      <c r="BB22" s="147">
        <f t="shared" si="32"/>
        <v>-0.83500246452654869</v>
      </c>
      <c r="BC22" s="43">
        <v>34493</v>
      </c>
      <c r="BD22" s="43"/>
      <c r="BE22" s="147">
        <f t="shared" si="29"/>
        <v>-1</v>
      </c>
      <c r="BF22" s="43">
        <f t="shared" si="30"/>
        <v>415905</v>
      </c>
      <c r="BG22" s="43">
        <f t="shared" si="31"/>
        <v>62932.04</v>
      </c>
      <c r="BH22" s="147">
        <f t="shared" si="33"/>
        <v>-0.84868650292735115</v>
      </c>
      <c r="BI22" s="46">
        <v>20231</v>
      </c>
      <c r="BJ22" s="46">
        <v>24237</v>
      </c>
      <c r="BK22" s="46">
        <v>103577</v>
      </c>
      <c r="BL22" s="46">
        <v>563950</v>
      </c>
      <c r="BM22" s="92" t="e">
        <f t="shared" si="34"/>
        <v>#DIV/0!</v>
      </c>
    </row>
    <row r="23" spans="1:65" s="77" customFormat="1" hidden="1">
      <c r="A23" s="78" t="s">
        <v>24</v>
      </c>
      <c r="B23" s="78" t="s">
        <v>24</v>
      </c>
      <c r="C23" s="136" t="s">
        <v>99</v>
      </c>
      <c r="D23" s="80" t="s">
        <v>84</v>
      </c>
      <c r="E23" s="80" t="s">
        <v>84</v>
      </c>
      <c r="F23" s="80" t="s">
        <v>76</v>
      </c>
      <c r="G23" s="80" t="s">
        <v>100</v>
      </c>
      <c r="H23" s="38" t="s">
        <v>85</v>
      </c>
      <c r="I23" s="143">
        <v>280</v>
      </c>
      <c r="J23" s="146">
        <v>155330</v>
      </c>
      <c r="K23" s="144">
        <v>156262</v>
      </c>
      <c r="L23" s="92">
        <f t="shared" si="35"/>
        <v>6.0001287581279428E-3</v>
      </c>
      <c r="M23" s="146">
        <v>84728</v>
      </c>
      <c r="N23" s="144">
        <v>143497</v>
      </c>
      <c r="O23" s="92">
        <f t="shared" si="1"/>
        <v>0.69361958266452639</v>
      </c>
      <c r="P23" s="144">
        <f t="shared" si="4"/>
        <v>240058</v>
      </c>
      <c r="Q23" s="144">
        <f t="shared" si="5"/>
        <v>299759</v>
      </c>
      <c r="R23" s="92">
        <f t="shared" si="3"/>
        <v>0.2486940656008132</v>
      </c>
      <c r="S23" s="22">
        <v>296842</v>
      </c>
      <c r="T23" s="22">
        <v>199854.6</v>
      </c>
      <c r="U23" s="92">
        <f t="shared" si="6"/>
        <v>-0.32673071869883641</v>
      </c>
      <c r="V23" s="22">
        <f t="shared" si="7"/>
        <v>536900</v>
      </c>
      <c r="W23" s="22">
        <f t="shared" si="8"/>
        <v>499613.6</v>
      </c>
      <c r="X23" s="92">
        <f t="shared" si="9"/>
        <v>-6.9447569379772811E-2</v>
      </c>
      <c r="Y23" s="38">
        <v>180500</v>
      </c>
      <c r="Z23" s="38">
        <v>131199.70000000001</v>
      </c>
      <c r="AA23" s="147">
        <f t="shared" si="10"/>
        <v>-0.27313185595567857</v>
      </c>
      <c r="AB23" s="38">
        <f t="shared" si="11"/>
        <v>717400</v>
      </c>
      <c r="AC23" s="38">
        <f t="shared" si="12"/>
        <v>630813.30000000005</v>
      </c>
      <c r="AD23" s="147">
        <f t="shared" si="13"/>
        <v>-0.12069514914970725</v>
      </c>
      <c r="AE23" s="38">
        <v>190972</v>
      </c>
      <c r="AF23" s="143">
        <v>160705</v>
      </c>
      <c r="AG23" s="147">
        <f t="shared" si="14"/>
        <v>-0.15848920260561761</v>
      </c>
      <c r="AH23" s="143">
        <f t="shared" si="15"/>
        <v>908372</v>
      </c>
      <c r="AI23" s="143">
        <f t="shared" si="16"/>
        <v>791518.3</v>
      </c>
      <c r="AJ23" s="147">
        <f t="shared" si="17"/>
        <v>-0.12864079914396298</v>
      </c>
      <c r="AK23" s="149">
        <v>207825</v>
      </c>
      <c r="AL23" s="149">
        <v>164883</v>
      </c>
      <c r="AM23" s="147">
        <f t="shared" si="18"/>
        <v>-0.20662576687116563</v>
      </c>
      <c r="AN23" s="149">
        <f t="shared" si="19"/>
        <v>1116197</v>
      </c>
      <c r="AO23" s="149">
        <f t="shared" si="20"/>
        <v>956401.3</v>
      </c>
      <c r="AP23" s="147">
        <f t="shared" si="21"/>
        <v>-0.14316083988758255</v>
      </c>
      <c r="AQ23" s="149">
        <v>114990</v>
      </c>
      <c r="AR23" s="149">
        <v>50432</v>
      </c>
      <c r="AS23" s="147">
        <f t="shared" si="22"/>
        <v>-0.56142273241151397</v>
      </c>
      <c r="AT23" s="149">
        <f t="shared" si="23"/>
        <v>1231187</v>
      </c>
      <c r="AU23" s="149">
        <f t="shared" si="24"/>
        <v>1006833.3</v>
      </c>
      <c r="AV23" s="147">
        <f t="shared" si="25"/>
        <v>-0.18222552707265427</v>
      </c>
      <c r="AW23" s="43">
        <v>62417</v>
      </c>
      <c r="AX23" s="43">
        <v>52672</v>
      </c>
      <c r="AY23" s="147">
        <f t="shared" si="26"/>
        <v>-0.15612733710367366</v>
      </c>
      <c r="AZ23" s="43">
        <f t="shared" si="27"/>
        <v>1293604</v>
      </c>
      <c r="BA23" s="43">
        <f t="shared" si="28"/>
        <v>1059505.3</v>
      </c>
      <c r="BB23" s="147">
        <f t="shared" si="32"/>
        <v>-0.18096627716055291</v>
      </c>
      <c r="BC23" s="150">
        <v>213083</v>
      </c>
      <c r="BD23" s="43">
        <v>98642</v>
      </c>
      <c r="BE23" s="147">
        <f t="shared" si="29"/>
        <v>-0.53707240840423687</v>
      </c>
      <c r="BF23" s="43">
        <f t="shared" si="30"/>
        <v>1506687</v>
      </c>
      <c r="BG23" s="43">
        <f t="shared" si="31"/>
        <v>1158147.3</v>
      </c>
      <c r="BH23" s="147">
        <f t="shared" si="33"/>
        <v>-0.2313285373803583</v>
      </c>
      <c r="BI23" s="151">
        <v>304051.40000000002</v>
      </c>
      <c r="BJ23" s="151">
        <v>330136</v>
      </c>
      <c r="BK23" s="46">
        <v>394635</v>
      </c>
      <c r="BL23" s="46">
        <v>2535509.4</v>
      </c>
      <c r="BM23" s="92">
        <f t="shared" si="34"/>
        <v>0.41362403571428574</v>
      </c>
    </row>
    <row r="24" spans="1:65" s="77" customFormat="1" hidden="1">
      <c r="A24" s="78" t="s">
        <v>24</v>
      </c>
      <c r="B24" s="78" t="s">
        <v>24</v>
      </c>
      <c r="C24" s="138" t="s">
        <v>101</v>
      </c>
      <c r="D24" s="80" t="s">
        <v>102</v>
      </c>
      <c r="E24" s="80" t="s">
        <v>102</v>
      </c>
      <c r="F24" s="80" t="s">
        <v>76</v>
      </c>
      <c r="G24" s="80" t="s">
        <v>93</v>
      </c>
      <c r="H24" s="22" t="s">
        <v>103</v>
      </c>
      <c r="I24" s="143"/>
      <c r="J24" s="144"/>
      <c r="K24" s="144"/>
      <c r="L24" s="92" t="e">
        <f t="shared" si="35"/>
        <v>#DIV/0!</v>
      </c>
      <c r="M24" s="144"/>
      <c r="N24" s="144"/>
      <c r="O24" s="92" t="e">
        <f t="shared" si="1"/>
        <v>#DIV/0!</v>
      </c>
      <c r="P24" s="144">
        <f t="shared" si="4"/>
        <v>0</v>
      </c>
      <c r="Q24" s="144">
        <f t="shared" si="5"/>
        <v>0</v>
      </c>
      <c r="R24" s="92" t="e">
        <f t="shared" si="3"/>
        <v>#DIV/0!</v>
      </c>
      <c r="S24" s="22">
        <v>790</v>
      </c>
      <c r="T24" s="22"/>
      <c r="U24" s="92">
        <f t="shared" si="6"/>
        <v>-1</v>
      </c>
      <c r="V24" s="22">
        <f t="shared" si="7"/>
        <v>790</v>
      </c>
      <c r="W24" s="22">
        <f t="shared" si="8"/>
        <v>0</v>
      </c>
      <c r="X24" s="92">
        <f t="shared" si="9"/>
        <v>-1</v>
      </c>
      <c r="Y24" s="38"/>
      <c r="Z24" s="38"/>
      <c r="AA24" s="147" t="e">
        <f t="shared" si="10"/>
        <v>#DIV/0!</v>
      </c>
      <c r="AB24" s="38">
        <f t="shared" si="11"/>
        <v>790</v>
      </c>
      <c r="AC24" s="38">
        <f t="shared" si="12"/>
        <v>0</v>
      </c>
      <c r="AD24" s="147">
        <f t="shared" si="13"/>
        <v>-1</v>
      </c>
      <c r="AE24" s="39"/>
      <c r="AF24" s="143"/>
      <c r="AG24" s="147" t="e">
        <f t="shared" si="14"/>
        <v>#DIV/0!</v>
      </c>
      <c r="AH24" s="143">
        <f t="shared" si="15"/>
        <v>790</v>
      </c>
      <c r="AI24" s="143">
        <f t="shared" si="16"/>
        <v>0</v>
      </c>
      <c r="AJ24" s="147">
        <f t="shared" si="17"/>
        <v>-1</v>
      </c>
      <c r="AK24" s="149"/>
      <c r="AL24" s="149"/>
      <c r="AM24" s="147" t="e">
        <f t="shared" si="18"/>
        <v>#DIV/0!</v>
      </c>
      <c r="AN24" s="149">
        <f t="shared" si="19"/>
        <v>790</v>
      </c>
      <c r="AO24" s="149">
        <f t="shared" si="20"/>
        <v>0</v>
      </c>
      <c r="AP24" s="147">
        <f t="shared" si="21"/>
        <v>-1</v>
      </c>
      <c r="AQ24" s="149"/>
      <c r="AR24" s="149"/>
      <c r="AS24" s="147" t="e">
        <f t="shared" si="22"/>
        <v>#DIV/0!</v>
      </c>
      <c r="AT24" s="149">
        <f t="shared" si="23"/>
        <v>790</v>
      </c>
      <c r="AU24" s="149">
        <f t="shared" si="24"/>
        <v>0</v>
      </c>
      <c r="AV24" s="147">
        <f t="shared" si="25"/>
        <v>-1</v>
      </c>
      <c r="AW24" s="43"/>
      <c r="AX24" s="43"/>
      <c r="AY24" s="147" t="e">
        <f t="shared" si="26"/>
        <v>#DIV/0!</v>
      </c>
      <c r="AZ24" s="43">
        <f t="shared" si="27"/>
        <v>790</v>
      </c>
      <c r="BA24" s="43">
        <f t="shared" si="28"/>
        <v>0</v>
      </c>
      <c r="BB24" s="147">
        <f t="shared" si="32"/>
        <v>-1</v>
      </c>
      <c r="BC24" s="43"/>
      <c r="BD24" s="43"/>
      <c r="BE24" s="147" t="e">
        <f t="shared" si="29"/>
        <v>#DIV/0!</v>
      </c>
      <c r="BF24" s="43">
        <f t="shared" si="30"/>
        <v>790</v>
      </c>
      <c r="BG24" s="43">
        <f t="shared" si="31"/>
        <v>0</v>
      </c>
      <c r="BH24" s="147">
        <f t="shared" si="33"/>
        <v>-1</v>
      </c>
      <c r="BI24" s="46"/>
      <c r="BJ24" s="46"/>
      <c r="BK24" s="46"/>
      <c r="BL24" s="46">
        <v>790</v>
      </c>
      <c r="BM24" s="92" t="e">
        <f t="shared" si="34"/>
        <v>#DIV/0!</v>
      </c>
    </row>
    <row r="25" spans="1:65" s="77" customFormat="1" hidden="1">
      <c r="A25" s="78" t="s">
        <v>24</v>
      </c>
      <c r="B25" s="78" t="s">
        <v>24</v>
      </c>
      <c r="C25" s="139" t="s">
        <v>104</v>
      </c>
      <c r="D25" s="80" t="s">
        <v>102</v>
      </c>
      <c r="E25" s="80" t="s">
        <v>102</v>
      </c>
      <c r="F25" s="80" t="s">
        <v>76</v>
      </c>
      <c r="G25" s="80" t="s">
        <v>96</v>
      </c>
      <c r="H25" s="22" t="s">
        <v>103</v>
      </c>
      <c r="I25" s="143"/>
      <c r="J25" s="144"/>
      <c r="K25" s="144"/>
      <c r="L25" s="92" t="e">
        <f t="shared" si="35"/>
        <v>#DIV/0!</v>
      </c>
      <c r="M25" s="144"/>
      <c r="N25" s="144"/>
      <c r="O25" s="92" t="e">
        <f t="shared" si="1"/>
        <v>#DIV/0!</v>
      </c>
      <c r="P25" s="144">
        <f t="shared" si="4"/>
        <v>0</v>
      </c>
      <c r="Q25" s="144">
        <f t="shared" si="5"/>
        <v>0</v>
      </c>
      <c r="R25" s="92" t="e">
        <f t="shared" si="3"/>
        <v>#DIV/0!</v>
      </c>
      <c r="S25" s="22"/>
      <c r="T25" s="22"/>
      <c r="U25" s="92" t="e">
        <f t="shared" si="6"/>
        <v>#DIV/0!</v>
      </c>
      <c r="V25" s="22">
        <f t="shared" si="7"/>
        <v>0</v>
      </c>
      <c r="W25" s="22">
        <f t="shared" si="8"/>
        <v>0</v>
      </c>
      <c r="X25" s="92" t="e">
        <f t="shared" si="9"/>
        <v>#DIV/0!</v>
      </c>
      <c r="Y25" s="38"/>
      <c r="Z25" s="38"/>
      <c r="AA25" s="147" t="e">
        <f t="shared" si="10"/>
        <v>#DIV/0!</v>
      </c>
      <c r="AB25" s="38">
        <f t="shared" si="11"/>
        <v>0</v>
      </c>
      <c r="AC25" s="38">
        <f t="shared" si="12"/>
        <v>0</v>
      </c>
      <c r="AD25" s="147" t="e">
        <f t="shared" si="13"/>
        <v>#DIV/0!</v>
      </c>
      <c r="AE25" s="39"/>
      <c r="AF25" s="143"/>
      <c r="AG25" s="147" t="e">
        <f t="shared" si="14"/>
        <v>#DIV/0!</v>
      </c>
      <c r="AH25" s="143">
        <f t="shared" si="15"/>
        <v>0</v>
      </c>
      <c r="AI25" s="143">
        <f t="shared" si="16"/>
        <v>0</v>
      </c>
      <c r="AJ25" s="147" t="e">
        <f t="shared" si="17"/>
        <v>#DIV/0!</v>
      </c>
      <c r="AK25" s="149"/>
      <c r="AL25" s="149"/>
      <c r="AM25" s="147" t="e">
        <f t="shared" si="18"/>
        <v>#DIV/0!</v>
      </c>
      <c r="AN25" s="149">
        <f t="shared" si="19"/>
        <v>0</v>
      </c>
      <c r="AO25" s="149">
        <f t="shared" si="20"/>
        <v>0</v>
      </c>
      <c r="AP25" s="147" t="e">
        <f t="shared" si="21"/>
        <v>#DIV/0!</v>
      </c>
      <c r="AQ25" s="149"/>
      <c r="AR25" s="149"/>
      <c r="AS25" s="147" t="e">
        <f t="shared" si="22"/>
        <v>#DIV/0!</v>
      </c>
      <c r="AT25" s="149">
        <f t="shared" si="23"/>
        <v>0</v>
      </c>
      <c r="AU25" s="149">
        <f t="shared" si="24"/>
        <v>0</v>
      </c>
      <c r="AV25" s="147" t="e">
        <f t="shared" si="25"/>
        <v>#DIV/0!</v>
      </c>
      <c r="AW25" s="43"/>
      <c r="AX25" s="43"/>
      <c r="AY25" s="147" t="e">
        <f t="shared" si="26"/>
        <v>#DIV/0!</v>
      </c>
      <c r="AZ25" s="43">
        <f t="shared" si="27"/>
        <v>0</v>
      </c>
      <c r="BA25" s="43">
        <f t="shared" si="28"/>
        <v>0</v>
      </c>
      <c r="BB25" s="147" t="e">
        <f t="shared" si="32"/>
        <v>#DIV/0!</v>
      </c>
      <c r="BC25" s="43"/>
      <c r="BD25" s="43"/>
      <c r="BE25" s="147" t="e">
        <f t="shared" si="29"/>
        <v>#DIV/0!</v>
      </c>
      <c r="BF25" s="43">
        <f t="shared" si="30"/>
        <v>0</v>
      </c>
      <c r="BG25" s="43">
        <f t="shared" si="31"/>
        <v>0</v>
      </c>
      <c r="BH25" s="147" t="e">
        <f t="shared" si="33"/>
        <v>#DIV/0!</v>
      </c>
      <c r="BI25" s="46">
        <v>12039</v>
      </c>
      <c r="BJ25" s="46"/>
      <c r="BK25" s="46"/>
      <c r="BL25" s="46">
        <v>12039</v>
      </c>
      <c r="BM25" s="92" t="e">
        <f t="shared" si="34"/>
        <v>#DIV/0!</v>
      </c>
    </row>
    <row r="26" spans="1:65" s="77" customFormat="1">
      <c r="A26" s="78" t="s">
        <v>24</v>
      </c>
      <c r="B26" s="78" t="s">
        <v>24</v>
      </c>
      <c r="C26" s="139" t="s">
        <v>105</v>
      </c>
      <c r="D26" s="80" t="s">
        <v>61</v>
      </c>
      <c r="E26" s="80" t="s">
        <v>61</v>
      </c>
      <c r="F26" s="80" t="s">
        <v>76</v>
      </c>
      <c r="G26" s="80" t="s">
        <v>106</v>
      </c>
      <c r="H26" s="39" t="s">
        <v>58</v>
      </c>
      <c r="I26" s="143">
        <v>24</v>
      </c>
      <c r="J26" s="144">
        <v>20000</v>
      </c>
      <c r="K26" s="144">
        <v>10000</v>
      </c>
      <c r="L26" s="92">
        <f t="shared" si="35"/>
        <v>-0.5</v>
      </c>
      <c r="M26" s="144"/>
      <c r="N26" s="144"/>
      <c r="O26" s="92" t="e">
        <f t="shared" si="1"/>
        <v>#DIV/0!</v>
      </c>
      <c r="P26" s="144">
        <f t="shared" si="4"/>
        <v>20000</v>
      </c>
      <c r="Q26" s="144">
        <f t="shared" si="5"/>
        <v>10000</v>
      </c>
      <c r="R26" s="92">
        <f t="shared" si="3"/>
        <v>-0.5</v>
      </c>
      <c r="S26" s="22">
        <v>40000</v>
      </c>
      <c r="T26" s="22">
        <v>24752.5</v>
      </c>
      <c r="U26" s="92">
        <f t="shared" si="6"/>
        <v>-0.38118750000000001</v>
      </c>
      <c r="V26" s="22">
        <f t="shared" si="7"/>
        <v>60000</v>
      </c>
      <c r="W26" s="22">
        <f t="shared" si="8"/>
        <v>34752.5</v>
      </c>
      <c r="X26" s="92">
        <f t="shared" si="9"/>
        <v>-0.42079166666666667</v>
      </c>
      <c r="Y26" s="38">
        <v>30000</v>
      </c>
      <c r="Z26" s="38"/>
      <c r="AA26" s="147">
        <f t="shared" si="10"/>
        <v>-1</v>
      </c>
      <c r="AB26" s="38">
        <f t="shared" si="11"/>
        <v>90000</v>
      </c>
      <c r="AC26" s="38">
        <f t="shared" si="12"/>
        <v>34752.5</v>
      </c>
      <c r="AD26" s="147">
        <f t="shared" si="13"/>
        <v>-0.61386111111111119</v>
      </c>
      <c r="AE26" s="39">
        <v>40100</v>
      </c>
      <c r="AF26" s="143"/>
      <c r="AG26" s="147">
        <f t="shared" si="14"/>
        <v>-1</v>
      </c>
      <c r="AH26" s="143">
        <f t="shared" si="15"/>
        <v>130100</v>
      </c>
      <c r="AI26" s="143">
        <f t="shared" si="16"/>
        <v>34752.5</v>
      </c>
      <c r="AJ26" s="147">
        <f t="shared" si="17"/>
        <v>-0.7328785549577248</v>
      </c>
      <c r="AK26" s="149"/>
      <c r="AL26" s="149"/>
      <c r="AM26" s="147" t="e">
        <f t="shared" si="18"/>
        <v>#DIV/0!</v>
      </c>
      <c r="AN26" s="149">
        <f t="shared" si="19"/>
        <v>130100</v>
      </c>
      <c r="AO26" s="149">
        <f t="shared" si="20"/>
        <v>34752.5</v>
      </c>
      <c r="AP26" s="147">
        <f t="shared" si="21"/>
        <v>-0.7328785549577248</v>
      </c>
      <c r="AQ26" s="149">
        <v>20000</v>
      </c>
      <c r="AR26" s="149"/>
      <c r="AS26" s="147">
        <f t="shared" si="22"/>
        <v>-1</v>
      </c>
      <c r="AT26" s="149">
        <f t="shared" si="23"/>
        <v>150100</v>
      </c>
      <c r="AU26" s="149">
        <f t="shared" si="24"/>
        <v>34752.5</v>
      </c>
      <c r="AV26" s="147">
        <f t="shared" si="25"/>
        <v>-0.76847101932045303</v>
      </c>
      <c r="AW26" s="43">
        <v>20000</v>
      </c>
      <c r="AX26" s="43"/>
      <c r="AY26" s="147">
        <f t="shared" si="26"/>
        <v>-1</v>
      </c>
      <c r="AZ26" s="43">
        <f t="shared" si="27"/>
        <v>170100</v>
      </c>
      <c r="BA26" s="43">
        <f t="shared" si="28"/>
        <v>34752.5</v>
      </c>
      <c r="BB26" s="147">
        <f t="shared" si="32"/>
        <v>-0.79569370958259844</v>
      </c>
      <c r="BC26" s="43"/>
      <c r="BD26" s="43">
        <v>20000</v>
      </c>
      <c r="BE26" s="147" t="e">
        <f t="shared" si="29"/>
        <v>#DIV/0!</v>
      </c>
      <c r="BF26" s="43">
        <f t="shared" si="30"/>
        <v>170100</v>
      </c>
      <c r="BG26" s="43">
        <f t="shared" si="31"/>
        <v>54752.5</v>
      </c>
      <c r="BH26" s="147">
        <f t="shared" si="33"/>
        <v>-0.67811581422692535</v>
      </c>
      <c r="BI26" s="46">
        <v>11428</v>
      </c>
      <c r="BJ26" s="46">
        <v>20000</v>
      </c>
      <c r="BK26" s="46">
        <v>20000</v>
      </c>
      <c r="BL26" s="46">
        <v>221528</v>
      </c>
      <c r="BM26" s="92">
        <f t="shared" si="34"/>
        <v>0.22813541666666667</v>
      </c>
    </row>
    <row r="27" spans="1:65" s="77" customFormat="1" hidden="1">
      <c r="A27" s="78" t="s">
        <v>24</v>
      </c>
      <c r="B27" s="78" t="s">
        <v>24</v>
      </c>
      <c r="C27" s="139" t="s">
        <v>107</v>
      </c>
      <c r="D27" s="80" t="s">
        <v>84</v>
      </c>
      <c r="E27" s="80" t="s">
        <v>84</v>
      </c>
      <c r="F27" s="80" t="s">
        <v>76</v>
      </c>
      <c r="G27" s="80" t="s">
        <v>93</v>
      </c>
      <c r="H27" s="38" t="s">
        <v>85</v>
      </c>
      <c r="I27" s="143">
        <v>400</v>
      </c>
      <c r="J27" s="146">
        <v>304654</v>
      </c>
      <c r="K27" s="144">
        <v>248878.5</v>
      </c>
      <c r="L27" s="92">
        <f t="shared" si="35"/>
        <v>-0.18307818049328095</v>
      </c>
      <c r="M27" s="146">
        <v>67549</v>
      </c>
      <c r="N27" s="144">
        <v>359062</v>
      </c>
      <c r="O27" s="92">
        <f t="shared" si="1"/>
        <v>4.3155783209225893</v>
      </c>
      <c r="P27" s="144">
        <f t="shared" si="4"/>
        <v>372203</v>
      </c>
      <c r="Q27" s="144">
        <f t="shared" si="5"/>
        <v>607940.5</v>
      </c>
      <c r="R27" s="92">
        <f t="shared" si="3"/>
        <v>0.6333573345728003</v>
      </c>
      <c r="S27" s="22">
        <v>191851</v>
      </c>
      <c r="T27" s="22">
        <v>586860</v>
      </c>
      <c r="U27" s="92">
        <f t="shared" si="6"/>
        <v>2.0589363620726502</v>
      </c>
      <c r="V27" s="22">
        <f t="shared" si="7"/>
        <v>564054</v>
      </c>
      <c r="W27" s="22">
        <f t="shared" si="8"/>
        <v>1194800.5</v>
      </c>
      <c r="X27" s="92">
        <f t="shared" si="9"/>
        <v>1.1182377928354379</v>
      </c>
      <c r="Y27" s="38">
        <v>73138</v>
      </c>
      <c r="Z27" s="38">
        <v>381502</v>
      </c>
      <c r="AA27" s="147">
        <f t="shared" si="10"/>
        <v>4.2161940441357437</v>
      </c>
      <c r="AB27" s="38">
        <f t="shared" si="11"/>
        <v>637192</v>
      </c>
      <c r="AC27" s="38">
        <f t="shared" si="12"/>
        <v>1576302.5</v>
      </c>
      <c r="AD27" s="147">
        <f t="shared" si="13"/>
        <v>1.473826570327311</v>
      </c>
      <c r="AE27" s="38">
        <v>208668</v>
      </c>
      <c r="AF27" s="143">
        <v>418566</v>
      </c>
      <c r="AG27" s="147">
        <f t="shared" si="14"/>
        <v>1.0058945310253606</v>
      </c>
      <c r="AH27" s="143">
        <f t="shared" si="15"/>
        <v>845860</v>
      </c>
      <c r="AI27" s="143">
        <f t="shared" si="16"/>
        <v>1994868.5</v>
      </c>
      <c r="AJ27" s="147">
        <f t="shared" si="17"/>
        <v>1.3583908684652308</v>
      </c>
      <c r="AK27" s="149">
        <v>296204</v>
      </c>
      <c r="AL27" s="149">
        <v>579201</v>
      </c>
      <c r="AM27" s="147">
        <f t="shared" si="18"/>
        <v>0.95541248598938577</v>
      </c>
      <c r="AN27" s="149">
        <f t="shared" si="19"/>
        <v>1142064</v>
      </c>
      <c r="AO27" s="149">
        <f t="shared" si="20"/>
        <v>2574069.5</v>
      </c>
      <c r="AP27" s="147">
        <f t="shared" si="21"/>
        <v>1.2538750017512155</v>
      </c>
      <c r="AQ27" s="149">
        <v>217892</v>
      </c>
      <c r="AR27" s="149">
        <v>250281</v>
      </c>
      <c r="AS27" s="147">
        <f t="shared" si="22"/>
        <v>0.14864703614634767</v>
      </c>
      <c r="AT27" s="149">
        <f t="shared" si="23"/>
        <v>1359956</v>
      </c>
      <c r="AU27" s="149">
        <f t="shared" si="24"/>
        <v>2824350.5</v>
      </c>
      <c r="AV27" s="147">
        <f t="shared" si="25"/>
        <v>1.0767954992661526</v>
      </c>
      <c r="AW27" s="43">
        <v>307848</v>
      </c>
      <c r="AX27" s="43">
        <v>403353</v>
      </c>
      <c r="AY27" s="147">
        <f t="shared" si="26"/>
        <v>0.31023427145864191</v>
      </c>
      <c r="AZ27" s="43">
        <f t="shared" si="27"/>
        <v>1667804</v>
      </c>
      <c r="BA27" s="43">
        <f t="shared" si="28"/>
        <v>3227703.5</v>
      </c>
      <c r="BB27" s="147">
        <f t="shared" si="32"/>
        <v>0.93530145029032186</v>
      </c>
      <c r="BC27" s="43">
        <v>427373</v>
      </c>
      <c r="BD27" s="43">
        <v>322595</v>
      </c>
      <c r="BE27" s="147">
        <f t="shared" si="29"/>
        <v>-0.24516757024893943</v>
      </c>
      <c r="BF27" s="43">
        <f t="shared" si="30"/>
        <v>2095177</v>
      </c>
      <c r="BG27" s="43">
        <f t="shared" si="31"/>
        <v>3550298.5</v>
      </c>
      <c r="BH27" s="147">
        <f t="shared" si="33"/>
        <v>0.69451005810010313</v>
      </c>
      <c r="BI27" s="151">
        <v>677990.8</v>
      </c>
      <c r="BJ27" s="151">
        <v>260034.45</v>
      </c>
      <c r="BK27" s="46">
        <v>408726.6</v>
      </c>
      <c r="BL27" s="46">
        <v>3441928.85</v>
      </c>
      <c r="BM27" s="92">
        <f t="shared" si="34"/>
        <v>0.88757462500000006</v>
      </c>
    </row>
    <row r="28" spans="1:65" s="77" customFormat="1" hidden="1">
      <c r="A28" s="78" t="s">
        <v>24</v>
      </c>
      <c r="B28" s="78" t="s">
        <v>24</v>
      </c>
      <c r="C28" s="139" t="s">
        <v>108</v>
      </c>
      <c r="D28" s="80" t="s">
        <v>61</v>
      </c>
      <c r="E28" s="80" t="s">
        <v>61</v>
      </c>
      <c r="F28" s="80" t="s">
        <v>76</v>
      </c>
      <c r="G28" s="80" t="s">
        <v>106</v>
      </c>
      <c r="H28" s="39" t="s">
        <v>63</v>
      </c>
      <c r="I28" s="143">
        <v>0</v>
      </c>
      <c r="J28" s="144">
        <v>4124</v>
      </c>
      <c r="K28" s="144"/>
      <c r="L28" s="92">
        <f t="shared" si="35"/>
        <v>-1</v>
      </c>
      <c r="M28" s="144"/>
      <c r="N28" s="144"/>
      <c r="O28" s="92" t="e">
        <f t="shared" si="1"/>
        <v>#DIV/0!</v>
      </c>
      <c r="P28" s="144">
        <f t="shared" si="4"/>
        <v>4124</v>
      </c>
      <c r="Q28" s="144">
        <f t="shared" si="5"/>
        <v>0</v>
      </c>
      <c r="R28" s="92">
        <f t="shared" si="3"/>
        <v>-1</v>
      </c>
      <c r="S28" s="22">
        <v>4124</v>
      </c>
      <c r="T28" s="22"/>
      <c r="U28" s="92">
        <f t="shared" si="6"/>
        <v>-1</v>
      </c>
      <c r="V28" s="22">
        <f t="shared" si="7"/>
        <v>8248</v>
      </c>
      <c r="W28" s="22">
        <f t="shared" si="8"/>
        <v>0</v>
      </c>
      <c r="X28" s="92">
        <f t="shared" si="9"/>
        <v>-1</v>
      </c>
      <c r="Y28" s="38"/>
      <c r="Z28" s="38"/>
      <c r="AA28" s="147" t="e">
        <f t="shared" si="10"/>
        <v>#DIV/0!</v>
      </c>
      <c r="AB28" s="38">
        <f t="shared" si="11"/>
        <v>8248</v>
      </c>
      <c r="AC28" s="38">
        <f t="shared" si="12"/>
        <v>0</v>
      </c>
      <c r="AD28" s="147">
        <f t="shared" si="13"/>
        <v>-1</v>
      </c>
      <c r="AE28" s="39"/>
      <c r="AF28" s="143"/>
      <c r="AG28" s="147" t="e">
        <f t="shared" si="14"/>
        <v>#DIV/0!</v>
      </c>
      <c r="AH28" s="143">
        <f t="shared" si="15"/>
        <v>8248</v>
      </c>
      <c r="AI28" s="143">
        <f t="shared" si="16"/>
        <v>0</v>
      </c>
      <c r="AJ28" s="147">
        <f t="shared" si="17"/>
        <v>-1</v>
      </c>
      <c r="AK28" s="149"/>
      <c r="AL28" s="149"/>
      <c r="AM28" s="147" t="e">
        <f t="shared" si="18"/>
        <v>#DIV/0!</v>
      </c>
      <c r="AN28" s="149">
        <f t="shared" si="19"/>
        <v>8248</v>
      </c>
      <c r="AO28" s="149">
        <f t="shared" si="20"/>
        <v>0</v>
      </c>
      <c r="AP28" s="147">
        <f t="shared" si="21"/>
        <v>-1</v>
      </c>
      <c r="AQ28" s="149"/>
      <c r="AR28" s="149"/>
      <c r="AS28" s="147" t="e">
        <f t="shared" si="22"/>
        <v>#DIV/0!</v>
      </c>
      <c r="AT28" s="149">
        <f t="shared" si="23"/>
        <v>8248</v>
      </c>
      <c r="AU28" s="149">
        <f t="shared" si="24"/>
        <v>0</v>
      </c>
      <c r="AV28" s="147">
        <f t="shared" si="25"/>
        <v>-1</v>
      </c>
      <c r="AW28" s="43"/>
      <c r="AX28" s="43"/>
      <c r="AY28" s="147" t="e">
        <f t="shared" si="26"/>
        <v>#DIV/0!</v>
      </c>
      <c r="AZ28" s="43">
        <f t="shared" si="27"/>
        <v>8248</v>
      </c>
      <c r="BA28" s="43">
        <f t="shared" si="28"/>
        <v>0</v>
      </c>
      <c r="BB28" s="147">
        <f t="shared" si="32"/>
        <v>-1</v>
      </c>
      <c r="BC28" s="43"/>
      <c r="BD28" s="43"/>
      <c r="BE28" s="147" t="e">
        <f t="shared" si="29"/>
        <v>#DIV/0!</v>
      </c>
      <c r="BF28" s="43">
        <f t="shared" si="30"/>
        <v>8248</v>
      </c>
      <c r="BG28" s="43">
        <f t="shared" si="31"/>
        <v>0</v>
      </c>
      <c r="BH28" s="147">
        <f t="shared" si="33"/>
        <v>-1</v>
      </c>
      <c r="BI28" s="46"/>
      <c r="BJ28" s="46"/>
      <c r="BK28" s="46"/>
      <c r="BL28" s="46">
        <v>8248</v>
      </c>
      <c r="BM28" s="92" t="e">
        <f t="shared" si="34"/>
        <v>#DIV/0!</v>
      </c>
    </row>
    <row r="29" spans="1:65" s="77" customFormat="1" hidden="1">
      <c r="A29" s="78" t="s">
        <v>24</v>
      </c>
      <c r="B29" s="78" t="s">
        <v>24</v>
      </c>
      <c r="C29" s="139" t="s">
        <v>109</v>
      </c>
      <c r="D29" s="80" t="s">
        <v>61</v>
      </c>
      <c r="E29" s="80" t="s">
        <v>61</v>
      </c>
      <c r="F29" s="80" t="s">
        <v>62</v>
      </c>
      <c r="G29" s="80" t="s">
        <v>62</v>
      </c>
      <c r="H29" s="39" t="s">
        <v>63</v>
      </c>
      <c r="I29" s="143"/>
      <c r="J29" s="144">
        <v>10000</v>
      </c>
      <c r="K29" s="144"/>
      <c r="L29" s="92">
        <f t="shared" si="35"/>
        <v>-1</v>
      </c>
      <c r="M29" s="144"/>
      <c r="N29" s="144"/>
      <c r="O29" s="92" t="e">
        <f t="shared" si="1"/>
        <v>#DIV/0!</v>
      </c>
      <c r="P29" s="144">
        <f t="shared" si="4"/>
        <v>10000</v>
      </c>
      <c r="Q29" s="144">
        <f t="shared" si="5"/>
        <v>0</v>
      </c>
      <c r="R29" s="92">
        <f t="shared" si="3"/>
        <v>-1</v>
      </c>
      <c r="S29" s="22"/>
      <c r="T29" s="22"/>
      <c r="U29" s="92" t="e">
        <f t="shared" si="6"/>
        <v>#DIV/0!</v>
      </c>
      <c r="V29" s="22">
        <f t="shared" si="7"/>
        <v>10000</v>
      </c>
      <c r="W29" s="22">
        <f t="shared" si="8"/>
        <v>0</v>
      </c>
      <c r="X29" s="92">
        <f t="shared" si="9"/>
        <v>-1</v>
      </c>
      <c r="Y29" s="38"/>
      <c r="Z29" s="38"/>
      <c r="AA29" s="147" t="e">
        <f t="shared" si="10"/>
        <v>#DIV/0!</v>
      </c>
      <c r="AB29" s="38">
        <f t="shared" si="11"/>
        <v>10000</v>
      </c>
      <c r="AC29" s="38">
        <f t="shared" si="12"/>
        <v>0</v>
      </c>
      <c r="AD29" s="147">
        <f t="shared" si="13"/>
        <v>-1</v>
      </c>
      <c r="AE29" s="39"/>
      <c r="AF29" s="143"/>
      <c r="AG29" s="147" t="e">
        <f t="shared" si="14"/>
        <v>#DIV/0!</v>
      </c>
      <c r="AH29" s="143">
        <f t="shared" si="15"/>
        <v>10000</v>
      </c>
      <c r="AI29" s="143">
        <f t="shared" si="16"/>
        <v>0</v>
      </c>
      <c r="AJ29" s="147">
        <f t="shared" si="17"/>
        <v>-1</v>
      </c>
      <c r="AK29" s="149"/>
      <c r="AL29" s="149"/>
      <c r="AM29" s="147" t="e">
        <f t="shared" si="18"/>
        <v>#DIV/0!</v>
      </c>
      <c r="AN29" s="149">
        <f t="shared" si="19"/>
        <v>10000</v>
      </c>
      <c r="AO29" s="149">
        <f t="shared" si="20"/>
        <v>0</v>
      </c>
      <c r="AP29" s="147">
        <f t="shared" si="21"/>
        <v>-1</v>
      </c>
      <c r="AQ29" s="149"/>
      <c r="AR29" s="149"/>
      <c r="AS29" s="147" t="e">
        <f t="shared" si="22"/>
        <v>#DIV/0!</v>
      </c>
      <c r="AT29" s="149">
        <f t="shared" si="23"/>
        <v>10000</v>
      </c>
      <c r="AU29" s="149">
        <f t="shared" si="24"/>
        <v>0</v>
      </c>
      <c r="AV29" s="147">
        <f t="shared" si="25"/>
        <v>-1</v>
      </c>
      <c r="AW29" s="43">
        <v>491</v>
      </c>
      <c r="AX29" s="43"/>
      <c r="AY29" s="147">
        <f t="shared" si="26"/>
        <v>-1</v>
      </c>
      <c r="AZ29" s="43">
        <f t="shared" si="27"/>
        <v>10491</v>
      </c>
      <c r="BA29" s="43">
        <f t="shared" si="28"/>
        <v>0</v>
      </c>
      <c r="BB29" s="147">
        <f t="shared" si="32"/>
        <v>-1</v>
      </c>
      <c r="BC29" s="43"/>
      <c r="BD29" s="43"/>
      <c r="BE29" s="147" t="e">
        <f t="shared" si="29"/>
        <v>#DIV/0!</v>
      </c>
      <c r="BF29" s="43">
        <f t="shared" si="30"/>
        <v>10491</v>
      </c>
      <c r="BG29" s="43">
        <f t="shared" si="31"/>
        <v>0</v>
      </c>
      <c r="BH29" s="147">
        <f t="shared" si="33"/>
        <v>-1</v>
      </c>
      <c r="BI29" s="46"/>
      <c r="BJ29" s="46"/>
      <c r="BK29" s="46"/>
      <c r="BL29" s="46">
        <v>10491</v>
      </c>
      <c r="BM29" s="92" t="e">
        <f t="shared" si="34"/>
        <v>#DIV/0!</v>
      </c>
    </row>
    <row r="30" spans="1:65" s="77" customFormat="1" hidden="1">
      <c r="A30" s="78" t="s">
        <v>24</v>
      </c>
      <c r="B30" s="78" t="s">
        <v>24</v>
      </c>
      <c r="C30" s="139" t="s">
        <v>110</v>
      </c>
      <c r="D30" s="80" t="s">
        <v>102</v>
      </c>
      <c r="E30" s="80" t="s">
        <v>102</v>
      </c>
      <c r="F30" s="80" t="s">
        <v>76</v>
      </c>
      <c r="G30" s="80" t="s">
        <v>77</v>
      </c>
      <c r="H30" s="22" t="s">
        <v>103</v>
      </c>
      <c r="I30" s="143"/>
      <c r="J30" s="144">
        <v>2591</v>
      </c>
      <c r="K30" s="144"/>
      <c r="L30" s="92">
        <f t="shared" si="35"/>
        <v>-1</v>
      </c>
      <c r="M30" s="144"/>
      <c r="N30" s="144"/>
      <c r="O30" s="92" t="e">
        <f t="shared" si="1"/>
        <v>#DIV/0!</v>
      </c>
      <c r="P30" s="144">
        <f t="shared" si="4"/>
        <v>2591</v>
      </c>
      <c r="Q30" s="144">
        <f t="shared" si="5"/>
        <v>0</v>
      </c>
      <c r="R30" s="92">
        <f t="shared" si="3"/>
        <v>-1</v>
      </c>
      <c r="S30" s="22"/>
      <c r="T30" s="22"/>
      <c r="U30" s="92" t="e">
        <f t="shared" si="6"/>
        <v>#DIV/0!</v>
      </c>
      <c r="V30" s="22">
        <f t="shared" si="7"/>
        <v>2591</v>
      </c>
      <c r="W30" s="22">
        <f t="shared" si="8"/>
        <v>0</v>
      </c>
      <c r="X30" s="92">
        <f t="shared" si="9"/>
        <v>-1</v>
      </c>
      <c r="Y30" s="38"/>
      <c r="Z30" s="38"/>
      <c r="AA30" s="147" t="e">
        <f t="shared" si="10"/>
        <v>#DIV/0!</v>
      </c>
      <c r="AB30" s="38">
        <f t="shared" si="11"/>
        <v>2591</v>
      </c>
      <c r="AC30" s="38">
        <f t="shared" si="12"/>
        <v>0</v>
      </c>
      <c r="AD30" s="147">
        <f t="shared" si="13"/>
        <v>-1</v>
      </c>
      <c r="AE30" s="39"/>
      <c r="AF30" s="143"/>
      <c r="AG30" s="147" t="e">
        <f t="shared" si="14"/>
        <v>#DIV/0!</v>
      </c>
      <c r="AH30" s="143">
        <f t="shared" si="15"/>
        <v>2591</v>
      </c>
      <c r="AI30" s="143">
        <f t="shared" si="16"/>
        <v>0</v>
      </c>
      <c r="AJ30" s="147">
        <f t="shared" si="17"/>
        <v>-1</v>
      </c>
      <c r="AK30" s="149"/>
      <c r="AL30" s="149"/>
      <c r="AM30" s="147" t="e">
        <f t="shared" si="18"/>
        <v>#DIV/0!</v>
      </c>
      <c r="AN30" s="149">
        <f t="shared" si="19"/>
        <v>2591</v>
      </c>
      <c r="AO30" s="149">
        <f t="shared" si="20"/>
        <v>0</v>
      </c>
      <c r="AP30" s="147">
        <f t="shared" si="21"/>
        <v>-1</v>
      </c>
      <c r="AQ30" s="149"/>
      <c r="AR30" s="149"/>
      <c r="AS30" s="147" t="e">
        <f t="shared" si="22"/>
        <v>#DIV/0!</v>
      </c>
      <c r="AT30" s="149">
        <f t="shared" si="23"/>
        <v>2591</v>
      </c>
      <c r="AU30" s="149">
        <f t="shared" si="24"/>
        <v>0</v>
      </c>
      <c r="AV30" s="147">
        <f t="shared" si="25"/>
        <v>-1</v>
      </c>
      <c r="AW30" s="43"/>
      <c r="AX30" s="43"/>
      <c r="AY30" s="147" t="e">
        <f t="shared" si="26"/>
        <v>#DIV/0!</v>
      </c>
      <c r="AZ30" s="43">
        <f t="shared" si="27"/>
        <v>2591</v>
      </c>
      <c r="BA30" s="43">
        <f t="shared" si="28"/>
        <v>0</v>
      </c>
      <c r="BB30" s="147">
        <f t="shared" si="32"/>
        <v>-1</v>
      </c>
      <c r="BC30" s="43"/>
      <c r="BD30" s="43"/>
      <c r="BE30" s="147" t="e">
        <f t="shared" si="29"/>
        <v>#DIV/0!</v>
      </c>
      <c r="BF30" s="43">
        <f t="shared" si="30"/>
        <v>2591</v>
      </c>
      <c r="BG30" s="43">
        <f t="shared" si="31"/>
        <v>0</v>
      </c>
      <c r="BH30" s="147">
        <f t="shared" si="33"/>
        <v>-1</v>
      </c>
      <c r="BI30" s="46"/>
      <c r="BJ30" s="46"/>
      <c r="BK30" s="46"/>
      <c r="BL30" s="46">
        <v>2591</v>
      </c>
      <c r="BM30" s="92" t="e">
        <f t="shared" si="34"/>
        <v>#DIV/0!</v>
      </c>
    </row>
    <row r="31" spans="1:65" s="77" customFormat="1" hidden="1">
      <c r="A31" s="78" t="s">
        <v>24</v>
      </c>
      <c r="B31" s="78" t="s">
        <v>24</v>
      </c>
      <c r="C31" s="139" t="s">
        <v>111</v>
      </c>
      <c r="D31" s="80" t="s">
        <v>61</v>
      </c>
      <c r="E31" s="80" t="s">
        <v>61</v>
      </c>
      <c r="F31" s="80" t="s">
        <v>76</v>
      </c>
      <c r="G31" s="80" t="s">
        <v>100</v>
      </c>
      <c r="H31" s="39" t="s">
        <v>112</v>
      </c>
      <c r="I31" s="143">
        <v>30</v>
      </c>
      <c r="J31" s="144">
        <v>20582</v>
      </c>
      <c r="K31" s="144">
        <v>14679</v>
      </c>
      <c r="L31" s="92">
        <f t="shared" si="35"/>
        <v>-0.28680400349820234</v>
      </c>
      <c r="M31" s="144">
        <v>3939</v>
      </c>
      <c r="N31" s="144"/>
      <c r="O31" s="92">
        <f t="shared" si="1"/>
        <v>-1</v>
      </c>
      <c r="P31" s="144">
        <f t="shared" si="4"/>
        <v>24521</v>
      </c>
      <c r="Q31" s="144">
        <f t="shared" si="5"/>
        <v>14679</v>
      </c>
      <c r="R31" s="92">
        <f t="shared" si="3"/>
        <v>-0.4013702540679418</v>
      </c>
      <c r="S31" s="22"/>
      <c r="T31" s="22">
        <v>3148</v>
      </c>
      <c r="U31" s="92" t="e">
        <f t="shared" si="6"/>
        <v>#DIV/0!</v>
      </c>
      <c r="V31" s="22">
        <f t="shared" si="7"/>
        <v>24521</v>
      </c>
      <c r="W31" s="22">
        <f t="shared" si="8"/>
        <v>17827</v>
      </c>
      <c r="X31" s="92">
        <f t="shared" si="9"/>
        <v>-0.27299049794054076</v>
      </c>
      <c r="Y31" s="38">
        <v>23069</v>
      </c>
      <c r="Z31" s="38">
        <v>13909</v>
      </c>
      <c r="AA31" s="147">
        <f t="shared" si="10"/>
        <v>-0.39706966058346704</v>
      </c>
      <c r="AB31" s="38">
        <f t="shared" si="11"/>
        <v>47590</v>
      </c>
      <c r="AC31" s="38">
        <f t="shared" si="12"/>
        <v>31736</v>
      </c>
      <c r="AD31" s="147">
        <f t="shared" si="13"/>
        <v>-0.3331372137003572</v>
      </c>
      <c r="AE31" s="39">
        <v>27908</v>
      </c>
      <c r="AF31" s="143">
        <v>8765</v>
      </c>
      <c r="AG31" s="147">
        <f t="shared" si="14"/>
        <v>-0.68593234914719792</v>
      </c>
      <c r="AH31" s="143">
        <f t="shared" si="15"/>
        <v>75498</v>
      </c>
      <c r="AI31" s="143">
        <f t="shared" si="16"/>
        <v>40501</v>
      </c>
      <c r="AJ31" s="147">
        <f t="shared" si="17"/>
        <v>-0.463548703276908</v>
      </c>
      <c r="AK31" s="149">
        <v>25192</v>
      </c>
      <c r="AL31" s="149">
        <v>9307</v>
      </c>
      <c r="AM31" s="147">
        <f t="shared" si="18"/>
        <v>-0.63055731978405838</v>
      </c>
      <c r="AN31" s="149">
        <f t="shared" si="19"/>
        <v>100690</v>
      </c>
      <c r="AO31" s="149">
        <f t="shared" si="20"/>
        <v>49808</v>
      </c>
      <c r="AP31" s="147">
        <f t="shared" si="21"/>
        <v>-0.50533320091369549</v>
      </c>
      <c r="AQ31" s="149"/>
      <c r="AR31" s="149">
        <v>11183</v>
      </c>
      <c r="AS31" s="147" t="e">
        <f t="shared" si="22"/>
        <v>#DIV/0!</v>
      </c>
      <c r="AT31" s="149">
        <f t="shared" si="23"/>
        <v>100690</v>
      </c>
      <c r="AU31" s="149">
        <f t="shared" si="24"/>
        <v>60991</v>
      </c>
      <c r="AV31" s="147">
        <f t="shared" si="25"/>
        <v>-0.39426954017280758</v>
      </c>
      <c r="AW31" s="43">
        <v>16800</v>
      </c>
      <c r="AX31" s="43">
        <v>6109</v>
      </c>
      <c r="AY31" s="147">
        <f t="shared" si="26"/>
        <v>-0.63636904761904756</v>
      </c>
      <c r="AZ31" s="43">
        <f t="shared" si="27"/>
        <v>117490</v>
      </c>
      <c r="BA31" s="43">
        <f t="shared" si="28"/>
        <v>67100</v>
      </c>
      <c r="BB31" s="147">
        <f t="shared" si="32"/>
        <v>-0.42888756489914037</v>
      </c>
      <c r="BC31" s="43">
        <v>24480</v>
      </c>
      <c r="BD31" s="43"/>
      <c r="BE31" s="147">
        <f t="shared" si="29"/>
        <v>-1</v>
      </c>
      <c r="BF31" s="43">
        <f t="shared" si="30"/>
        <v>141970</v>
      </c>
      <c r="BG31" s="43">
        <f t="shared" si="31"/>
        <v>67100</v>
      </c>
      <c r="BH31" s="147">
        <f t="shared" si="33"/>
        <v>-0.52736493625413816</v>
      </c>
      <c r="BI31" s="46"/>
      <c r="BJ31" s="46">
        <v>18985</v>
      </c>
      <c r="BK31" s="46"/>
      <c r="BL31" s="46">
        <v>160955</v>
      </c>
      <c r="BM31" s="92">
        <f t="shared" si="34"/>
        <v>0.22366666666666665</v>
      </c>
    </row>
    <row r="32" spans="1:65" s="77" customFormat="1" hidden="1">
      <c r="A32" s="78" t="s">
        <v>24</v>
      </c>
      <c r="B32" s="78" t="s">
        <v>24</v>
      </c>
      <c r="C32" s="139" t="s">
        <v>113</v>
      </c>
      <c r="D32" s="80" t="s">
        <v>114</v>
      </c>
      <c r="E32" s="80" t="s">
        <v>114</v>
      </c>
      <c r="F32" s="80" t="s">
        <v>76</v>
      </c>
      <c r="G32" s="80" t="s">
        <v>106</v>
      </c>
      <c r="H32" s="39" t="s">
        <v>112</v>
      </c>
      <c r="I32" s="143"/>
      <c r="J32" s="144">
        <v>7088</v>
      </c>
      <c r="K32" s="144"/>
      <c r="L32" s="92">
        <f t="shared" si="35"/>
        <v>-1</v>
      </c>
      <c r="M32" s="144"/>
      <c r="N32" s="144"/>
      <c r="O32" s="92" t="e">
        <f t="shared" si="1"/>
        <v>#DIV/0!</v>
      </c>
      <c r="P32" s="144">
        <f t="shared" si="4"/>
        <v>7088</v>
      </c>
      <c r="Q32" s="144">
        <f t="shared" si="5"/>
        <v>0</v>
      </c>
      <c r="R32" s="92">
        <f t="shared" si="3"/>
        <v>-1</v>
      </c>
      <c r="S32" s="22"/>
      <c r="T32" s="22"/>
      <c r="U32" s="92" t="e">
        <f t="shared" si="6"/>
        <v>#DIV/0!</v>
      </c>
      <c r="V32" s="22">
        <f t="shared" si="7"/>
        <v>7088</v>
      </c>
      <c r="W32" s="22">
        <f t="shared" si="8"/>
        <v>0</v>
      </c>
      <c r="X32" s="92">
        <f t="shared" si="9"/>
        <v>-1</v>
      </c>
      <c r="Y32" s="38"/>
      <c r="Z32" s="38"/>
      <c r="AA32" s="147" t="e">
        <f t="shared" si="10"/>
        <v>#DIV/0!</v>
      </c>
      <c r="AB32" s="38">
        <f t="shared" si="11"/>
        <v>7088</v>
      </c>
      <c r="AC32" s="38">
        <f t="shared" si="12"/>
        <v>0</v>
      </c>
      <c r="AD32" s="147">
        <f t="shared" si="13"/>
        <v>-1</v>
      </c>
      <c r="AE32" s="39"/>
      <c r="AF32" s="143"/>
      <c r="AG32" s="147" t="e">
        <f t="shared" si="14"/>
        <v>#DIV/0!</v>
      </c>
      <c r="AH32" s="143">
        <f t="shared" si="15"/>
        <v>7088</v>
      </c>
      <c r="AI32" s="143">
        <f t="shared" si="16"/>
        <v>0</v>
      </c>
      <c r="AJ32" s="147">
        <f t="shared" si="17"/>
        <v>-1</v>
      </c>
      <c r="AK32" s="149"/>
      <c r="AL32" s="149"/>
      <c r="AM32" s="147" t="e">
        <f t="shared" si="18"/>
        <v>#DIV/0!</v>
      </c>
      <c r="AN32" s="149">
        <f t="shared" si="19"/>
        <v>7088</v>
      </c>
      <c r="AO32" s="149">
        <f t="shared" si="20"/>
        <v>0</v>
      </c>
      <c r="AP32" s="147">
        <f t="shared" si="21"/>
        <v>-1</v>
      </c>
      <c r="AQ32" s="149"/>
      <c r="AR32" s="149"/>
      <c r="AS32" s="147" t="e">
        <f t="shared" si="22"/>
        <v>#DIV/0!</v>
      </c>
      <c r="AT32" s="149">
        <f t="shared" si="23"/>
        <v>7088</v>
      </c>
      <c r="AU32" s="149">
        <f t="shared" si="24"/>
        <v>0</v>
      </c>
      <c r="AV32" s="147">
        <f t="shared" si="25"/>
        <v>-1</v>
      </c>
      <c r="AW32" s="43"/>
      <c r="AX32" s="43"/>
      <c r="AY32" s="147" t="e">
        <f t="shared" si="26"/>
        <v>#DIV/0!</v>
      </c>
      <c r="AZ32" s="43">
        <f t="shared" si="27"/>
        <v>7088</v>
      </c>
      <c r="BA32" s="43">
        <f t="shared" si="28"/>
        <v>0</v>
      </c>
      <c r="BB32" s="147">
        <f t="shared" si="32"/>
        <v>-1</v>
      </c>
      <c r="BC32" s="43"/>
      <c r="BD32" s="43"/>
      <c r="BE32" s="147" t="e">
        <f t="shared" si="29"/>
        <v>#DIV/0!</v>
      </c>
      <c r="BF32" s="43">
        <f t="shared" si="30"/>
        <v>7088</v>
      </c>
      <c r="BG32" s="43">
        <f t="shared" si="31"/>
        <v>0</v>
      </c>
      <c r="BH32" s="147">
        <f t="shared" si="33"/>
        <v>-1</v>
      </c>
      <c r="BI32" s="46"/>
      <c r="BJ32" s="46"/>
      <c r="BK32" s="46"/>
      <c r="BL32" s="46">
        <v>7088</v>
      </c>
      <c r="BM32" s="92" t="e">
        <f t="shared" si="34"/>
        <v>#DIV/0!</v>
      </c>
    </row>
    <row r="33" spans="1:67" s="77" customFormat="1" hidden="1">
      <c r="A33" s="78" t="s">
        <v>24</v>
      </c>
      <c r="B33" s="78" t="s">
        <v>24</v>
      </c>
      <c r="C33" s="139" t="s">
        <v>115</v>
      </c>
      <c r="D33" s="80" t="s">
        <v>114</v>
      </c>
      <c r="E33" s="80" t="s">
        <v>114</v>
      </c>
      <c r="F33" s="80" t="s">
        <v>76</v>
      </c>
      <c r="G33" s="80" t="s">
        <v>106</v>
      </c>
      <c r="H33" s="39" t="s">
        <v>112</v>
      </c>
      <c r="I33" s="143">
        <v>200</v>
      </c>
      <c r="J33" s="144">
        <v>91657.279999999999</v>
      </c>
      <c r="K33" s="144">
        <v>218873.82</v>
      </c>
      <c r="L33" s="92">
        <f t="shared" si="35"/>
        <v>1.3879589269941244</v>
      </c>
      <c r="M33" s="144"/>
      <c r="N33" s="144">
        <v>131893.4</v>
      </c>
      <c r="O33" s="92" t="e">
        <f t="shared" si="1"/>
        <v>#DIV/0!</v>
      </c>
      <c r="P33" s="144">
        <f t="shared" si="4"/>
        <v>91657.279999999999</v>
      </c>
      <c r="Q33" s="144">
        <f t="shared" si="5"/>
        <v>350767.22</v>
      </c>
      <c r="R33" s="92">
        <f t="shared" si="3"/>
        <v>2.8269433699101696</v>
      </c>
      <c r="S33" s="22">
        <v>98407.6</v>
      </c>
      <c r="T33" s="22">
        <v>143496.71</v>
      </c>
      <c r="U33" s="92">
        <f t="shared" si="6"/>
        <v>0.45818727415362215</v>
      </c>
      <c r="V33" s="22">
        <f t="shared" si="7"/>
        <v>190064.88</v>
      </c>
      <c r="W33" s="22">
        <f t="shared" si="8"/>
        <v>494263.92999999993</v>
      </c>
      <c r="X33" s="92">
        <f t="shared" si="9"/>
        <v>1.6005011025708691</v>
      </c>
      <c r="Y33" s="38">
        <v>88389.8</v>
      </c>
      <c r="Z33" s="38">
        <v>34200.39</v>
      </c>
      <c r="AA33" s="147">
        <f t="shared" si="10"/>
        <v>-0.61307311477116144</v>
      </c>
      <c r="AB33" s="38">
        <f t="shared" si="11"/>
        <v>278454.68</v>
      </c>
      <c r="AC33" s="38">
        <f t="shared" si="12"/>
        <v>528464.31999999995</v>
      </c>
      <c r="AD33" s="147">
        <f t="shared" si="13"/>
        <v>0.89784678785071947</v>
      </c>
      <c r="AE33" s="39">
        <v>181882.45</v>
      </c>
      <c r="AF33" s="143">
        <v>134290.18</v>
      </c>
      <c r="AG33" s="147">
        <f t="shared" si="14"/>
        <v>-0.26166499296661117</v>
      </c>
      <c r="AH33" s="143">
        <f t="shared" si="15"/>
        <v>460337.13</v>
      </c>
      <c r="AI33" s="143">
        <f t="shared" si="16"/>
        <v>662754.5</v>
      </c>
      <c r="AJ33" s="147">
        <f t="shared" si="17"/>
        <v>0.43971549720527658</v>
      </c>
      <c r="AK33" s="149">
        <v>187566.88</v>
      </c>
      <c r="AL33" s="149">
        <v>128859.37</v>
      </c>
      <c r="AM33" s="147">
        <f t="shared" si="18"/>
        <v>-0.31299507674275973</v>
      </c>
      <c r="AN33" s="149">
        <f t="shared" si="19"/>
        <v>647904.01</v>
      </c>
      <c r="AO33" s="149">
        <f t="shared" si="20"/>
        <v>791613.87</v>
      </c>
      <c r="AP33" s="147">
        <f t="shared" si="21"/>
        <v>0.22180733223120508</v>
      </c>
      <c r="AQ33" s="149">
        <v>130044.44</v>
      </c>
      <c r="AR33" s="149">
        <v>273758.71999999997</v>
      </c>
      <c r="AS33" s="147">
        <f t="shared" si="22"/>
        <v>1.1051166816512876</v>
      </c>
      <c r="AT33" s="149">
        <f t="shared" si="23"/>
        <v>777948.45</v>
      </c>
      <c r="AU33" s="149">
        <f t="shared" si="24"/>
        <v>1065372.5899999999</v>
      </c>
      <c r="AV33" s="147">
        <f t="shared" si="25"/>
        <v>0.36946424920571519</v>
      </c>
      <c r="AW33" s="43">
        <v>128967.95</v>
      </c>
      <c r="AX33" s="43">
        <v>121546.09</v>
      </c>
      <c r="AY33" s="147">
        <f t="shared" si="26"/>
        <v>-5.7548096251820668E-2</v>
      </c>
      <c r="AZ33" s="43">
        <f t="shared" si="27"/>
        <v>906916.39999999991</v>
      </c>
      <c r="BA33" s="43">
        <f t="shared" si="28"/>
        <v>1186918.68</v>
      </c>
      <c r="BB33" s="147">
        <f t="shared" si="32"/>
        <v>0.30874100413224426</v>
      </c>
      <c r="BC33" s="43">
        <v>101883.54</v>
      </c>
      <c r="BD33" s="43">
        <v>139207.99</v>
      </c>
      <c r="BE33" s="147">
        <f t="shared" si="29"/>
        <v>0.36634425933767112</v>
      </c>
      <c r="BF33" s="43">
        <f t="shared" si="30"/>
        <v>1008799.94</v>
      </c>
      <c r="BG33" s="43">
        <f t="shared" si="31"/>
        <v>1326126.67</v>
      </c>
      <c r="BH33" s="147">
        <f t="shared" si="33"/>
        <v>0.31455863290396313</v>
      </c>
      <c r="BI33" s="46">
        <v>164644.69</v>
      </c>
      <c r="BJ33" s="46">
        <v>214221.12</v>
      </c>
      <c r="BK33" s="46">
        <v>171825.22</v>
      </c>
      <c r="BL33" s="46">
        <v>1559490.97</v>
      </c>
      <c r="BM33" s="92">
        <f t="shared" si="34"/>
        <v>0.66306333499999992</v>
      </c>
    </row>
    <row r="34" spans="1:67" s="77" customFormat="1" hidden="1">
      <c r="A34" s="78" t="s">
        <v>24</v>
      </c>
      <c r="B34" s="78" t="s">
        <v>24</v>
      </c>
      <c r="C34" s="139" t="s">
        <v>116</v>
      </c>
      <c r="D34" s="80" t="s">
        <v>114</v>
      </c>
      <c r="E34" s="80" t="s">
        <v>114</v>
      </c>
      <c r="F34" s="80" t="s">
        <v>76</v>
      </c>
      <c r="G34" s="80" t="s">
        <v>96</v>
      </c>
      <c r="H34" s="39" t="s">
        <v>112</v>
      </c>
      <c r="I34" s="143">
        <v>60</v>
      </c>
      <c r="J34" s="144">
        <v>16779</v>
      </c>
      <c r="K34" s="144">
        <v>37387</v>
      </c>
      <c r="L34" s="92">
        <f t="shared" si="35"/>
        <v>1.2282019190654987</v>
      </c>
      <c r="M34" s="144"/>
      <c r="N34" s="144"/>
      <c r="O34" s="92" t="e">
        <f t="shared" si="1"/>
        <v>#DIV/0!</v>
      </c>
      <c r="P34" s="144">
        <f t="shared" si="4"/>
        <v>16779</v>
      </c>
      <c r="Q34" s="144">
        <f t="shared" si="5"/>
        <v>37387</v>
      </c>
      <c r="R34" s="92">
        <f t="shared" si="3"/>
        <v>1.2282019190654987</v>
      </c>
      <c r="S34" s="22">
        <v>7332</v>
      </c>
      <c r="T34" s="22"/>
      <c r="U34" s="92">
        <f t="shared" si="6"/>
        <v>-1</v>
      </c>
      <c r="V34" s="22">
        <f t="shared" si="7"/>
        <v>24111</v>
      </c>
      <c r="W34" s="22">
        <f t="shared" si="8"/>
        <v>37387</v>
      </c>
      <c r="X34" s="92">
        <f t="shared" si="9"/>
        <v>0.55062004894031769</v>
      </c>
      <c r="Y34" s="38">
        <v>49926</v>
      </c>
      <c r="Z34" s="38">
        <v>71744</v>
      </c>
      <c r="AA34" s="147">
        <f t="shared" si="10"/>
        <v>0.43700677001962895</v>
      </c>
      <c r="AB34" s="38">
        <f t="shared" si="11"/>
        <v>74037</v>
      </c>
      <c r="AC34" s="38">
        <f t="shared" si="12"/>
        <v>109131</v>
      </c>
      <c r="AD34" s="147">
        <f t="shared" si="13"/>
        <v>0.47400624012318171</v>
      </c>
      <c r="AE34" s="39">
        <v>57887</v>
      </c>
      <c r="AF34" s="143">
        <f>85422-575</f>
        <v>84847</v>
      </c>
      <c r="AG34" s="147">
        <f t="shared" si="14"/>
        <v>0.46573496640005518</v>
      </c>
      <c r="AH34" s="143">
        <f t="shared" si="15"/>
        <v>131924</v>
      </c>
      <c r="AI34" s="143">
        <f t="shared" si="16"/>
        <v>193978</v>
      </c>
      <c r="AJ34" s="147">
        <f t="shared" si="17"/>
        <v>0.47037688366028929</v>
      </c>
      <c r="AK34" s="149">
        <v>40556</v>
      </c>
      <c r="AL34" s="149">
        <f>20243+141304</f>
        <v>161547</v>
      </c>
      <c r="AM34" s="147">
        <f t="shared" si="18"/>
        <v>2.9833070322517012</v>
      </c>
      <c r="AN34" s="149">
        <f t="shared" si="19"/>
        <v>172480</v>
      </c>
      <c r="AO34" s="149">
        <f t="shared" si="20"/>
        <v>355525</v>
      </c>
      <c r="AP34" s="147">
        <f t="shared" si="21"/>
        <v>1.061253478664193</v>
      </c>
      <c r="AQ34" s="149">
        <v>50598</v>
      </c>
      <c r="AR34" s="149">
        <v>25131</v>
      </c>
      <c r="AS34" s="147">
        <f t="shared" si="22"/>
        <v>-0.50332028933949957</v>
      </c>
      <c r="AT34" s="149">
        <f t="shared" si="23"/>
        <v>223078</v>
      </c>
      <c r="AU34" s="149">
        <f t="shared" si="24"/>
        <v>380656</v>
      </c>
      <c r="AV34" s="147">
        <f t="shared" si="25"/>
        <v>0.70638072781717609</v>
      </c>
      <c r="AW34" s="43">
        <v>56103</v>
      </c>
      <c r="AX34" s="43">
        <v>17220</v>
      </c>
      <c r="AY34" s="147">
        <f t="shared" si="26"/>
        <v>-0.69306454200310141</v>
      </c>
      <c r="AZ34" s="43">
        <f t="shared" si="27"/>
        <v>279181</v>
      </c>
      <c r="BA34" s="43">
        <f t="shared" si="28"/>
        <v>397876</v>
      </c>
      <c r="BB34" s="147">
        <f t="shared" si="32"/>
        <v>0.42515429058567733</v>
      </c>
      <c r="BC34" s="43">
        <v>42232</v>
      </c>
      <c r="BD34" s="43">
        <f>40340+24037</f>
        <v>64377</v>
      </c>
      <c r="BE34" s="147">
        <f t="shared" si="29"/>
        <v>0.52436541011555216</v>
      </c>
      <c r="BF34" s="43">
        <f t="shared" si="30"/>
        <v>321413</v>
      </c>
      <c r="BG34" s="43">
        <f t="shared" si="31"/>
        <v>462253</v>
      </c>
      <c r="BH34" s="147">
        <f t="shared" si="33"/>
        <v>0.43819011676565656</v>
      </c>
      <c r="BI34" s="46">
        <v>50318</v>
      </c>
      <c r="BJ34" s="46">
        <v>21001</v>
      </c>
      <c r="BK34" s="46"/>
      <c r="BL34" s="46">
        <v>392732</v>
      </c>
      <c r="BM34" s="92">
        <f t="shared" si="34"/>
        <v>0.77042166666666667</v>
      </c>
    </row>
    <row r="35" spans="1:67" s="77" customFormat="1" hidden="1">
      <c r="A35" s="78" t="s">
        <v>24</v>
      </c>
      <c r="B35" s="22" t="s">
        <v>24</v>
      </c>
      <c r="C35" s="86" t="s">
        <v>117</v>
      </c>
      <c r="D35" s="140" t="s">
        <v>61</v>
      </c>
      <c r="E35" s="80" t="s">
        <v>61</v>
      </c>
      <c r="F35" s="22" t="s">
        <v>70</v>
      </c>
      <c r="G35" s="22" t="s">
        <v>70</v>
      </c>
      <c r="H35" s="22" t="s">
        <v>63</v>
      </c>
      <c r="I35" s="143">
        <v>0</v>
      </c>
      <c r="J35" s="144"/>
      <c r="K35" s="144"/>
      <c r="L35" s="92" t="e">
        <f t="shared" si="35"/>
        <v>#DIV/0!</v>
      </c>
      <c r="M35" s="144"/>
      <c r="N35" s="144"/>
      <c r="O35" s="92" t="e">
        <f t="shared" si="1"/>
        <v>#DIV/0!</v>
      </c>
      <c r="P35" s="144">
        <f t="shared" si="4"/>
        <v>0</v>
      </c>
      <c r="Q35" s="144">
        <f t="shared" si="5"/>
        <v>0</v>
      </c>
      <c r="R35" s="92" t="e">
        <f t="shared" si="3"/>
        <v>#DIV/0!</v>
      </c>
      <c r="S35" s="22">
        <v>26405</v>
      </c>
      <c r="T35" s="22"/>
      <c r="U35" s="92">
        <f t="shared" si="6"/>
        <v>-1</v>
      </c>
      <c r="V35" s="22">
        <f t="shared" si="7"/>
        <v>26405</v>
      </c>
      <c r="W35" s="22">
        <f t="shared" si="8"/>
        <v>0</v>
      </c>
      <c r="X35" s="92">
        <f t="shared" si="9"/>
        <v>-1</v>
      </c>
      <c r="Y35" s="38"/>
      <c r="Z35" s="38"/>
      <c r="AA35" s="147" t="e">
        <f t="shared" si="10"/>
        <v>#DIV/0!</v>
      </c>
      <c r="AB35" s="38">
        <f t="shared" si="11"/>
        <v>26405</v>
      </c>
      <c r="AC35" s="38">
        <f t="shared" si="12"/>
        <v>0</v>
      </c>
      <c r="AD35" s="147">
        <f t="shared" si="13"/>
        <v>-1</v>
      </c>
      <c r="AE35" s="39"/>
      <c r="AF35" s="143"/>
      <c r="AG35" s="147" t="e">
        <f t="shared" si="14"/>
        <v>#DIV/0!</v>
      </c>
      <c r="AH35" s="143">
        <f t="shared" si="15"/>
        <v>26405</v>
      </c>
      <c r="AI35" s="143">
        <f t="shared" si="16"/>
        <v>0</v>
      </c>
      <c r="AJ35" s="147">
        <f t="shared" si="17"/>
        <v>-1</v>
      </c>
      <c r="AK35" s="149"/>
      <c r="AL35" s="149"/>
      <c r="AM35" s="147" t="e">
        <f t="shared" si="18"/>
        <v>#DIV/0!</v>
      </c>
      <c r="AN35" s="149">
        <f t="shared" si="19"/>
        <v>26405</v>
      </c>
      <c r="AO35" s="149">
        <f t="shared" si="20"/>
        <v>0</v>
      </c>
      <c r="AP35" s="147">
        <f t="shared" si="21"/>
        <v>-1</v>
      </c>
      <c r="AQ35" s="149"/>
      <c r="AR35" s="149"/>
      <c r="AS35" s="147" t="e">
        <f t="shared" si="22"/>
        <v>#DIV/0!</v>
      </c>
      <c r="AT35" s="149">
        <f t="shared" si="23"/>
        <v>26405</v>
      </c>
      <c r="AU35" s="149">
        <f t="shared" si="24"/>
        <v>0</v>
      </c>
      <c r="AV35" s="147">
        <f t="shared" si="25"/>
        <v>-1</v>
      </c>
      <c r="AW35" s="43"/>
      <c r="AX35" s="43"/>
      <c r="AY35" s="147" t="e">
        <f t="shared" si="26"/>
        <v>#DIV/0!</v>
      </c>
      <c r="AZ35" s="43">
        <f t="shared" si="27"/>
        <v>26405</v>
      </c>
      <c r="BA35" s="43">
        <f t="shared" si="28"/>
        <v>0</v>
      </c>
      <c r="BB35" s="147">
        <f t="shared" si="32"/>
        <v>-1</v>
      </c>
      <c r="BC35" s="43"/>
      <c r="BD35" s="43"/>
      <c r="BE35" s="147" t="e">
        <f t="shared" si="29"/>
        <v>#DIV/0!</v>
      </c>
      <c r="BF35" s="43">
        <f t="shared" si="30"/>
        <v>26405</v>
      </c>
      <c r="BG35" s="43">
        <f t="shared" si="31"/>
        <v>0</v>
      </c>
      <c r="BH35" s="147">
        <f t="shared" si="33"/>
        <v>-1</v>
      </c>
      <c r="BI35" s="46"/>
      <c r="BJ35" s="46"/>
      <c r="BK35" s="46"/>
      <c r="BL35" s="46">
        <v>26405</v>
      </c>
      <c r="BM35" s="92" t="e">
        <f t="shared" si="34"/>
        <v>#DIV/0!</v>
      </c>
    </row>
    <row r="36" spans="1:67" s="77" customFormat="1" hidden="1">
      <c r="A36" s="78" t="s">
        <v>24</v>
      </c>
      <c r="B36" s="22" t="s">
        <v>24</v>
      </c>
      <c r="C36" s="109" t="s">
        <v>118</v>
      </c>
      <c r="D36" s="140" t="s">
        <v>61</v>
      </c>
      <c r="E36" s="80" t="s">
        <v>61</v>
      </c>
      <c r="F36" s="80" t="s">
        <v>76</v>
      </c>
      <c r="G36" s="80" t="s">
        <v>80</v>
      </c>
      <c r="H36" s="22" t="s">
        <v>103</v>
      </c>
      <c r="I36" s="143"/>
      <c r="J36" s="144">
        <v>50000</v>
      </c>
      <c r="K36" s="144"/>
      <c r="L36" s="92">
        <f t="shared" si="35"/>
        <v>-1</v>
      </c>
      <c r="M36" s="144">
        <v>39000</v>
      </c>
      <c r="N36" s="144">
        <v>20000</v>
      </c>
      <c r="O36" s="92">
        <f t="shared" si="1"/>
        <v>-0.48717948717948723</v>
      </c>
      <c r="P36" s="144">
        <f t="shared" si="4"/>
        <v>89000</v>
      </c>
      <c r="Q36" s="144">
        <f t="shared" si="5"/>
        <v>20000</v>
      </c>
      <c r="R36" s="92">
        <f t="shared" si="3"/>
        <v>-0.7752808988764045</v>
      </c>
      <c r="S36" s="22">
        <v>35000</v>
      </c>
      <c r="T36" s="22"/>
      <c r="U36" s="92">
        <f t="shared" si="6"/>
        <v>-1</v>
      </c>
      <c r="V36" s="22">
        <f t="shared" si="7"/>
        <v>124000</v>
      </c>
      <c r="W36" s="22">
        <f t="shared" si="8"/>
        <v>20000</v>
      </c>
      <c r="X36" s="92">
        <f t="shared" si="9"/>
        <v>-0.83870967741935487</v>
      </c>
      <c r="Y36" s="38">
        <v>190000</v>
      </c>
      <c r="Z36" s="38"/>
      <c r="AA36" s="147">
        <f t="shared" si="10"/>
        <v>-1</v>
      </c>
      <c r="AB36" s="38">
        <f t="shared" si="11"/>
        <v>314000</v>
      </c>
      <c r="AC36" s="38">
        <f t="shared" si="12"/>
        <v>20000</v>
      </c>
      <c r="AD36" s="147">
        <f t="shared" si="13"/>
        <v>-0.93630573248407645</v>
      </c>
      <c r="AE36" s="39">
        <v>50000</v>
      </c>
      <c r="AF36" s="143"/>
      <c r="AG36" s="147">
        <f t="shared" si="14"/>
        <v>-1</v>
      </c>
      <c r="AH36" s="143">
        <f t="shared" si="15"/>
        <v>364000</v>
      </c>
      <c r="AI36" s="143">
        <f t="shared" si="16"/>
        <v>20000</v>
      </c>
      <c r="AJ36" s="147">
        <f t="shared" si="17"/>
        <v>-0.94505494505494503</v>
      </c>
      <c r="AK36" s="149">
        <v>139500</v>
      </c>
      <c r="AL36" s="149">
        <v>10000</v>
      </c>
      <c r="AM36" s="147">
        <f t="shared" si="18"/>
        <v>-0.92831541218637992</v>
      </c>
      <c r="AN36" s="149">
        <f t="shared" si="19"/>
        <v>503500</v>
      </c>
      <c r="AO36" s="149">
        <f t="shared" si="20"/>
        <v>30000</v>
      </c>
      <c r="AP36" s="147">
        <f t="shared" si="21"/>
        <v>-0.94041708043694139</v>
      </c>
      <c r="AQ36" s="149">
        <v>52000</v>
      </c>
      <c r="AR36" s="149"/>
      <c r="AS36" s="147">
        <f t="shared" si="22"/>
        <v>-1</v>
      </c>
      <c r="AT36" s="149">
        <f t="shared" si="23"/>
        <v>555500</v>
      </c>
      <c r="AU36" s="149">
        <f t="shared" si="24"/>
        <v>30000</v>
      </c>
      <c r="AV36" s="147">
        <f t="shared" si="25"/>
        <v>-0.94599459945994602</v>
      </c>
      <c r="AW36" s="43"/>
      <c r="AX36" s="43"/>
      <c r="AY36" s="147" t="e">
        <f t="shared" si="26"/>
        <v>#DIV/0!</v>
      </c>
      <c r="AZ36" s="43">
        <f t="shared" si="27"/>
        <v>555500</v>
      </c>
      <c r="BA36" s="43">
        <f t="shared" si="28"/>
        <v>30000</v>
      </c>
      <c r="BB36" s="147">
        <f t="shared" si="32"/>
        <v>-0.94599459945994602</v>
      </c>
      <c r="BC36" s="43">
        <v>30000</v>
      </c>
      <c r="BD36" s="43">
        <v>32000</v>
      </c>
      <c r="BE36" s="147">
        <f t="shared" si="29"/>
        <v>6.6666666666666652E-2</v>
      </c>
      <c r="BF36" s="43">
        <f t="shared" si="30"/>
        <v>585500</v>
      </c>
      <c r="BG36" s="43">
        <f t="shared" si="31"/>
        <v>62000</v>
      </c>
      <c r="BH36" s="147">
        <f t="shared" si="33"/>
        <v>-0.89410760034158843</v>
      </c>
      <c r="BI36" s="46">
        <v>27000</v>
      </c>
      <c r="BJ36" s="46"/>
      <c r="BK36" s="46">
        <v>28000</v>
      </c>
      <c r="BL36" s="46">
        <v>554479</v>
      </c>
      <c r="BM36" s="92" t="e">
        <f t="shared" si="34"/>
        <v>#DIV/0!</v>
      </c>
    </row>
    <row r="37" spans="1:67" s="77" customFormat="1" hidden="1">
      <c r="A37" s="78" t="s">
        <v>24</v>
      </c>
      <c r="B37" s="22" t="s">
        <v>24</v>
      </c>
      <c r="C37" s="22" t="s">
        <v>119</v>
      </c>
      <c r="D37" s="85" t="s">
        <v>61</v>
      </c>
      <c r="E37" s="80" t="s">
        <v>61</v>
      </c>
      <c r="F37" s="80" t="s">
        <v>76</v>
      </c>
      <c r="G37" s="80" t="s">
        <v>80</v>
      </c>
      <c r="H37" s="22" t="s">
        <v>103</v>
      </c>
      <c r="I37" s="143"/>
      <c r="J37" s="144"/>
      <c r="K37" s="144">
        <v>5208.12</v>
      </c>
      <c r="L37" s="92" t="e">
        <f t="shared" si="35"/>
        <v>#DIV/0!</v>
      </c>
      <c r="M37" s="144"/>
      <c r="N37" s="144">
        <v>713</v>
      </c>
      <c r="O37" s="92" t="e">
        <f t="shared" si="1"/>
        <v>#DIV/0!</v>
      </c>
      <c r="P37" s="144">
        <f t="shared" si="4"/>
        <v>0</v>
      </c>
      <c r="Q37" s="144">
        <f t="shared" si="5"/>
        <v>5921.12</v>
      </c>
      <c r="R37" s="92" t="e">
        <f t="shared" si="3"/>
        <v>#DIV/0!</v>
      </c>
      <c r="S37" s="22"/>
      <c r="T37" s="22"/>
      <c r="U37" s="92" t="e">
        <f t="shared" si="6"/>
        <v>#DIV/0!</v>
      </c>
      <c r="V37" s="22">
        <f t="shared" si="7"/>
        <v>0</v>
      </c>
      <c r="W37" s="22">
        <f t="shared" si="8"/>
        <v>5921.12</v>
      </c>
      <c r="X37" s="92" t="e">
        <f t="shared" si="9"/>
        <v>#DIV/0!</v>
      </c>
      <c r="Y37" s="38"/>
      <c r="Z37" s="38"/>
      <c r="AA37" s="147" t="e">
        <f t="shared" si="10"/>
        <v>#DIV/0!</v>
      </c>
      <c r="AB37" s="38">
        <f t="shared" si="11"/>
        <v>0</v>
      </c>
      <c r="AC37" s="38">
        <f t="shared" si="12"/>
        <v>5921.12</v>
      </c>
      <c r="AD37" s="147" t="e">
        <f t="shared" si="13"/>
        <v>#DIV/0!</v>
      </c>
      <c r="AE37" s="39"/>
      <c r="AF37" s="143"/>
      <c r="AG37" s="147" t="e">
        <f t="shared" si="14"/>
        <v>#DIV/0!</v>
      </c>
      <c r="AH37" s="143">
        <f t="shared" si="15"/>
        <v>0</v>
      </c>
      <c r="AI37" s="143">
        <f t="shared" si="16"/>
        <v>5921.12</v>
      </c>
      <c r="AJ37" s="147" t="e">
        <f t="shared" si="17"/>
        <v>#DIV/0!</v>
      </c>
      <c r="AK37" s="38"/>
      <c r="AL37" s="149"/>
      <c r="AM37" s="147" t="e">
        <f t="shared" si="18"/>
        <v>#DIV/0!</v>
      </c>
      <c r="AN37" s="149">
        <f t="shared" si="19"/>
        <v>0</v>
      </c>
      <c r="AO37" s="149">
        <f t="shared" si="20"/>
        <v>5921.12</v>
      </c>
      <c r="AP37" s="147" t="e">
        <f t="shared" si="21"/>
        <v>#DIV/0!</v>
      </c>
      <c r="AQ37" s="149">
        <v>1971.76</v>
      </c>
      <c r="AR37" s="149"/>
      <c r="AS37" s="147">
        <f t="shared" si="22"/>
        <v>-1</v>
      </c>
      <c r="AT37" s="149">
        <f t="shared" si="23"/>
        <v>1971.76</v>
      </c>
      <c r="AU37" s="149">
        <f t="shared" si="24"/>
        <v>5921.12</v>
      </c>
      <c r="AV37" s="147">
        <f t="shared" si="25"/>
        <v>2.002961820911267</v>
      </c>
      <c r="AW37" s="43">
        <v>3472.08</v>
      </c>
      <c r="AX37" s="43"/>
      <c r="AY37" s="147">
        <f t="shared" si="26"/>
        <v>-1</v>
      </c>
      <c r="AZ37" s="43">
        <f t="shared" si="27"/>
        <v>5443.84</v>
      </c>
      <c r="BA37" s="43">
        <f t="shared" si="28"/>
        <v>5921.12</v>
      </c>
      <c r="BB37" s="147">
        <f t="shared" si="32"/>
        <v>8.7673407006818582E-2</v>
      </c>
      <c r="BC37" s="43">
        <v>885.4</v>
      </c>
      <c r="BD37" s="43"/>
      <c r="BE37" s="147">
        <f t="shared" si="29"/>
        <v>-1</v>
      </c>
      <c r="BF37" s="43">
        <f t="shared" si="30"/>
        <v>6329.24</v>
      </c>
      <c r="BG37" s="43">
        <f t="shared" si="31"/>
        <v>5921.12</v>
      </c>
      <c r="BH37" s="147">
        <f t="shared" si="33"/>
        <v>-6.4481675525023485E-2</v>
      </c>
      <c r="BI37" s="46">
        <v>3797.04</v>
      </c>
      <c r="BJ37" s="46">
        <v>2514.36</v>
      </c>
      <c r="BK37" s="46">
        <v>0</v>
      </c>
      <c r="BL37" s="46">
        <v>12640.64</v>
      </c>
      <c r="BM37" s="92" t="e">
        <f t="shared" si="34"/>
        <v>#DIV/0!</v>
      </c>
    </row>
    <row r="38" spans="1:67" s="77" customFormat="1" hidden="1">
      <c r="A38" s="78" t="s">
        <v>24</v>
      </c>
      <c r="B38" s="22" t="s">
        <v>24</v>
      </c>
      <c r="C38" s="86" t="s">
        <v>120</v>
      </c>
      <c r="D38" s="85" t="s">
        <v>61</v>
      </c>
      <c r="E38" s="80" t="s">
        <v>61</v>
      </c>
      <c r="F38" s="80" t="s">
        <v>76</v>
      </c>
      <c r="G38" s="80" t="s">
        <v>80</v>
      </c>
      <c r="H38" s="22" t="s">
        <v>81</v>
      </c>
      <c r="I38" s="143">
        <v>10</v>
      </c>
      <c r="J38" s="144"/>
      <c r="K38" s="144"/>
      <c r="L38" s="92" t="e">
        <f t="shared" si="35"/>
        <v>#DIV/0!</v>
      </c>
      <c r="M38" s="144"/>
      <c r="N38" s="144"/>
      <c r="O38" s="92" t="e">
        <f t="shared" si="1"/>
        <v>#DIV/0!</v>
      </c>
      <c r="P38" s="144">
        <f t="shared" si="4"/>
        <v>0</v>
      </c>
      <c r="Q38" s="144">
        <f t="shared" si="5"/>
        <v>0</v>
      </c>
      <c r="R38" s="92" t="e">
        <f t="shared" si="3"/>
        <v>#DIV/0!</v>
      </c>
      <c r="S38" s="22"/>
      <c r="T38" s="22"/>
      <c r="U38" s="92" t="e">
        <f t="shared" si="6"/>
        <v>#DIV/0!</v>
      </c>
      <c r="V38" s="22">
        <f t="shared" si="7"/>
        <v>0</v>
      </c>
      <c r="W38" s="22">
        <f t="shared" si="8"/>
        <v>0</v>
      </c>
      <c r="X38" s="92" t="e">
        <f t="shared" si="9"/>
        <v>#DIV/0!</v>
      </c>
      <c r="Y38" s="38"/>
      <c r="Z38" s="38"/>
      <c r="AA38" s="147" t="e">
        <f t="shared" si="10"/>
        <v>#DIV/0!</v>
      </c>
      <c r="AB38" s="38">
        <f t="shared" si="11"/>
        <v>0</v>
      </c>
      <c r="AC38" s="38">
        <f t="shared" si="12"/>
        <v>0</v>
      </c>
      <c r="AD38" s="147" t="e">
        <f t="shared" si="13"/>
        <v>#DIV/0!</v>
      </c>
      <c r="AE38" s="39"/>
      <c r="AF38" s="143"/>
      <c r="AG38" s="147" t="e">
        <f t="shared" si="14"/>
        <v>#DIV/0!</v>
      </c>
      <c r="AH38" s="143">
        <f t="shared" si="15"/>
        <v>0</v>
      </c>
      <c r="AI38" s="143">
        <f t="shared" si="16"/>
        <v>0</v>
      </c>
      <c r="AJ38" s="147" t="e">
        <f t="shared" si="17"/>
        <v>#DIV/0!</v>
      </c>
      <c r="AK38" s="38"/>
      <c r="AL38" s="149"/>
      <c r="AM38" s="147" t="e">
        <f t="shared" si="18"/>
        <v>#DIV/0!</v>
      </c>
      <c r="AN38" s="149">
        <f t="shared" si="19"/>
        <v>0</v>
      </c>
      <c r="AO38" s="149">
        <f t="shared" si="20"/>
        <v>0</v>
      </c>
      <c r="AP38" s="147" t="e">
        <f t="shared" si="21"/>
        <v>#DIV/0!</v>
      </c>
      <c r="AQ38" s="149"/>
      <c r="AR38" s="149">
        <v>6789</v>
      </c>
      <c r="AS38" s="147" t="e">
        <f t="shared" si="22"/>
        <v>#DIV/0!</v>
      </c>
      <c r="AT38" s="149">
        <f t="shared" si="23"/>
        <v>0</v>
      </c>
      <c r="AU38" s="149">
        <f t="shared" si="24"/>
        <v>6789</v>
      </c>
      <c r="AV38" s="147" t="e">
        <f t="shared" si="25"/>
        <v>#DIV/0!</v>
      </c>
      <c r="AW38" s="43">
        <v>18173</v>
      </c>
      <c r="AX38" s="43"/>
      <c r="AY38" s="147">
        <f t="shared" si="26"/>
        <v>-1</v>
      </c>
      <c r="AZ38" s="43">
        <f t="shared" si="27"/>
        <v>18173</v>
      </c>
      <c r="BA38" s="43">
        <f t="shared" si="28"/>
        <v>6789</v>
      </c>
      <c r="BB38" s="147">
        <f t="shared" si="32"/>
        <v>-0.62642381555054194</v>
      </c>
      <c r="BC38" s="43">
        <v>10416</v>
      </c>
      <c r="BD38" s="43"/>
      <c r="BE38" s="147">
        <f t="shared" si="29"/>
        <v>-1</v>
      </c>
      <c r="BF38" s="43">
        <f t="shared" si="30"/>
        <v>28589</v>
      </c>
      <c r="BG38" s="43">
        <f t="shared" si="31"/>
        <v>6789</v>
      </c>
      <c r="BH38" s="147">
        <f t="shared" si="33"/>
        <v>-0.76253104340830391</v>
      </c>
      <c r="BI38" s="46"/>
      <c r="BJ38" s="46"/>
      <c r="BK38" s="46"/>
      <c r="BL38" s="46">
        <v>28589</v>
      </c>
      <c r="BM38" s="92">
        <f t="shared" si="34"/>
        <v>6.7889999999999992E-2</v>
      </c>
    </row>
    <row r="39" spans="1:67" s="77" customFormat="1" hidden="1">
      <c r="A39" s="141" t="s">
        <v>24</v>
      </c>
      <c r="B39" s="142" t="s">
        <v>24</v>
      </c>
      <c r="C39" s="86" t="s">
        <v>121</v>
      </c>
      <c r="D39" s="85" t="s">
        <v>84</v>
      </c>
      <c r="E39" s="80" t="s">
        <v>84</v>
      </c>
      <c r="F39" s="80" t="s">
        <v>76</v>
      </c>
      <c r="G39" s="80" t="s">
        <v>100</v>
      </c>
      <c r="H39" s="39" t="s">
        <v>85</v>
      </c>
      <c r="I39" s="143">
        <v>370</v>
      </c>
      <c r="J39" s="144"/>
      <c r="K39" s="144">
        <v>128272</v>
      </c>
      <c r="L39" s="92" t="e">
        <f t="shared" si="35"/>
        <v>#DIV/0!</v>
      </c>
      <c r="M39" s="144"/>
      <c r="N39" s="144">
        <f>306557-6125</f>
        <v>300432</v>
      </c>
      <c r="O39" s="92" t="e">
        <f t="shared" si="1"/>
        <v>#DIV/0!</v>
      </c>
      <c r="P39" s="144">
        <f t="shared" si="4"/>
        <v>0</v>
      </c>
      <c r="Q39" s="144">
        <f t="shared" si="5"/>
        <v>428704</v>
      </c>
      <c r="R39" s="92" t="e">
        <f t="shared" si="3"/>
        <v>#DIV/0!</v>
      </c>
      <c r="S39" s="22"/>
      <c r="T39" s="22">
        <v>378127</v>
      </c>
      <c r="U39" s="92" t="e">
        <f t="shared" si="6"/>
        <v>#DIV/0!</v>
      </c>
      <c r="V39" s="22">
        <f t="shared" si="7"/>
        <v>0</v>
      </c>
      <c r="W39" s="22">
        <f t="shared" si="8"/>
        <v>806831</v>
      </c>
      <c r="X39" s="92" t="e">
        <f t="shared" si="9"/>
        <v>#DIV/0!</v>
      </c>
      <c r="Y39" s="38"/>
      <c r="Z39" s="38">
        <v>418240</v>
      </c>
      <c r="AA39" s="147" t="e">
        <f t="shared" si="10"/>
        <v>#DIV/0!</v>
      </c>
      <c r="AB39" s="38">
        <f t="shared" si="11"/>
        <v>0</v>
      </c>
      <c r="AC39" s="38">
        <f t="shared" si="12"/>
        <v>1225071</v>
      </c>
      <c r="AD39" s="147" t="e">
        <f t="shared" si="13"/>
        <v>#DIV/0!</v>
      </c>
      <c r="AE39" s="39"/>
      <c r="AF39" s="143">
        <v>306225</v>
      </c>
      <c r="AG39" s="147" t="e">
        <f t="shared" si="14"/>
        <v>#DIV/0!</v>
      </c>
      <c r="AH39" s="143">
        <f t="shared" si="15"/>
        <v>0</v>
      </c>
      <c r="AI39" s="143">
        <f t="shared" si="16"/>
        <v>1531296</v>
      </c>
      <c r="AJ39" s="147" t="e">
        <f t="shared" si="17"/>
        <v>#DIV/0!</v>
      </c>
      <c r="AK39" s="38"/>
      <c r="AL39" s="149">
        <v>574778</v>
      </c>
      <c r="AM39" s="147" t="e">
        <f t="shared" si="18"/>
        <v>#DIV/0!</v>
      </c>
      <c r="AN39" s="149">
        <f t="shared" si="19"/>
        <v>0</v>
      </c>
      <c r="AO39" s="149">
        <f t="shared" si="20"/>
        <v>2106074</v>
      </c>
      <c r="AP39" s="147" t="e">
        <f t="shared" si="21"/>
        <v>#DIV/0!</v>
      </c>
      <c r="AQ39" s="149"/>
      <c r="AR39" s="149">
        <v>166425</v>
      </c>
      <c r="AS39" s="147" t="e">
        <f t="shared" si="22"/>
        <v>#DIV/0!</v>
      </c>
      <c r="AT39" s="149">
        <f t="shared" si="23"/>
        <v>0</v>
      </c>
      <c r="AU39" s="149">
        <f t="shared" si="24"/>
        <v>2272499</v>
      </c>
      <c r="AV39" s="147" t="e">
        <f t="shared" si="25"/>
        <v>#DIV/0!</v>
      </c>
      <c r="AW39" s="43"/>
      <c r="AX39" s="43">
        <f>178386+17758+5061</f>
        <v>201205</v>
      </c>
      <c r="AY39" s="147" t="e">
        <f t="shared" si="26"/>
        <v>#DIV/0!</v>
      </c>
      <c r="AZ39" s="43">
        <f t="shared" si="27"/>
        <v>0</v>
      </c>
      <c r="BA39" s="43">
        <f t="shared" si="28"/>
        <v>2473704</v>
      </c>
      <c r="BB39" s="147" t="e">
        <f t="shared" si="32"/>
        <v>#DIV/0!</v>
      </c>
      <c r="BC39" s="43">
        <v>16307</v>
      </c>
      <c r="BD39" s="43">
        <v>218669</v>
      </c>
      <c r="BE39" s="147">
        <f t="shared" si="29"/>
        <v>12.409517385172013</v>
      </c>
      <c r="BF39" s="43">
        <f t="shared" si="30"/>
        <v>16307</v>
      </c>
      <c r="BG39" s="43">
        <f t="shared" si="31"/>
        <v>2692373</v>
      </c>
      <c r="BH39" s="147">
        <f t="shared" si="33"/>
        <v>164.10535352915926</v>
      </c>
      <c r="BI39" s="46">
        <v>397749</v>
      </c>
      <c r="BJ39" s="46">
        <v>198239</v>
      </c>
      <c r="BK39" s="46">
        <v>452484</v>
      </c>
      <c r="BL39" s="46">
        <v>1064779</v>
      </c>
      <c r="BM39" s="92">
        <f t="shared" si="34"/>
        <v>0.72766837837837839</v>
      </c>
    </row>
    <row r="40" spans="1:67" s="77" customFormat="1" hidden="1">
      <c r="A40" s="141" t="s">
        <v>24</v>
      </c>
      <c r="B40" s="142" t="s">
        <v>24</v>
      </c>
      <c r="C40" s="86" t="s">
        <v>122</v>
      </c>
      <c r="D40" s="85" t="s">
        <v>84</v>
      </c>
      <c r="E40" s="80" t="s">
        <v>84</v>
      </c>
      <c r="F40" s="80" t="s">
        <v>57</v>
      </c>
      <c r="G40" s="80" t="s">
        <v>80</v>
      </c>
      <c r="H40" s="39" t="s">
        <v>85</v>
      </c>
      <c r="I40" s="143">
        <v>170</v>
      </c>
      <c r="J40" s="144"/>
      <c r="K40" s="144">
        <v>840</v>
      </c>
      <c r="L40" s="92" t="e">
        <f t="shared" si="35"/>
        <v>#DIV/0!</v>
      </c>
      <c r="M40" s="144"/>
      <c r="N40" s="144">
        <v>30008</v>
      </c>
      <c r="O40" s="92" t="e">
        <f t="shared" si="1"/>
        <v>#DIV/0!</v>
      </c>
      <c r="P40" s="144">
        <f t="shared" si="4"/>
        <v>0</v>
      </c>
      <c r="Q40" s="144">
        <f t="shared" si="5"/>
        <v>30848</v>
      </c>
      <c r="R40" s="92" t="e">
        <f t="shared" si="3"/>
        <v>#DIV/0!</v>
      </c>
      <c r="S40" s="22"/>
      <c r="T40" s="22">
        <v>250109.6</v>
      </c>
      <c r="U40" s="92" t="e">
        <f t="shared" si="6"/>
        <v>#DIV/0!</v>
      </c>
      <c r="V40" s="22">
        <f t="shared" si="7"/>
        <v>0</v>
      </c>
      <c r="W40" s="22">
        <f t="shared" si="8"/>
        <v>280957.59999999998</v>
      </c>
      <c r="X40" s="92" t="e">
        <f t="shared" si="9"/>
        <v>#DIV/0!</v>
      </c>
      <c r="Y40" s="38"/>
      <c r="Z40" s="38">
        <v>296574</v>
      </c>
      <c r="AA40" s="147" t="e">
        <f t="shared" si="10"/>
        <v>#DIV/0!</v>
      </c>
      <c r="AB40" s="38">
        <f t="shared" si="11"/>
        <v>0</v>
      </c>
      <c r="AC40" s="38">
        <f t="shared" si="12"/>
        <v>577531.6</v>
      </c>
      <c r="AD40" s="147" t="e">
        <f t="shared" si="13"/>
        <v>#DIV/0!</v>
      </c>
      <c r="AE40" s="39"/>
      <c r="AF40" s="143">
        <v>255533</v>
      </c>
      <c r="AG40" s="147" t="e">
        <f t="shared" si="14"/>
        <v>#DIV/0!</v>
      </c>
      <c r="AH40" s="143">
        <f t="shared" si="15"/>
        <v>0</v>
      </c>
      <c r="AI40" s="143">
        <f t="shared" si="16"/>
        <v>833064.6</v>
      </c>
      <c r="AJ40" s="147" t="e">
        <f t="shared" si="17"/>
        <v>#DIV/0!</v>
      </c>
      <c r="AK40" s="38"/>
      <c r="AL40" s="149">
        <v>386476</v>
      </c>
      <c r="AM40" s="147" t="e">
        <f t="shared" si="18"/>
        <v>#DIV/0!</v>
      </c>
      <c r="AN40" s="149">
        <f t="shared" si="19"/>
        <v>0</v>
      </c>
      <c r="AO40" s="149">
        <f t="shared" si="20"/>
        <v>1219540.6000000001</v>
      </c>
      <c r="AP40" s="147" t="e">
        <f t="shared" si="21"/>
        <v>#DIV/0!</v>
      </c>
      <c r="AQ40" s="149"/>
      <c r="AR40" s="149">
        <v>63776</v>
      </c>
      <c r="AS40" s="147" t="e">
        <f t="shared" si="22"/>
        <v>#DIV/0!</v>
      </c>
      <c r="AT40" s="149">
        <f t="shared" si="23"/>
        <v>0</v>
      </c>
      <c r="AU40" s="149">
        <f t="shared" si="24"/>
        <v>1283316.6000000001</v>
      </c>
      <c r="AV40" s="147" t="e">
        <f t="shared" si="25"/>
        <v>#DIV/0!</v>
      </c>
      <c r="AW40" s="43"/>
      <c r="AX40" s="43">
        <v>105175</v>
      </c>
      <c r="AY40" s="147" t="e">
        <f t="shared" si="26"/>
        <v>#DIV/0!</v>
      </c>
      <c r="AZ40" s="43">
        <f t="shared" si="27"/>
        <v>0</v>
      </c>
      <c r="BA40" s="43">
        <f t="shared" si="28"/>
        <v>1388491.6</v>
      </c>
      <c r="BB40" s="147" t="e">
        <f t="shared" si="32"/>
        <v>#DIV/0!</v>
      </c>
      <c r="BC40" s="43"/>
      <c r="BD40" s="43">
        <v>87258</v>
      </c>
      <c r="BE40" s="147" t="e">
        <f t="shared" si="29"/>
        <v>#DIV/0!</v>
      </c>
      <c r="BF40" s="43">
        <f t="shared" si="30"/>
        <v>0</v>
      </c>
      <c r="BG40" s="43">
        <f t="shared" si="31"/>
        <v>1475749.6</v>
      </c>
      <c r="BH40" s="147" t="e">
        <f t="shared" si="33"/>
        <v>#DIV/0!</v>
      </c>
      <c r="BI40" s="46"/>
      <c r="BJ40" s="46">
        <v>898</v>
      </c>
      <c r="BK40" s="46">
        <v>11486</v>
      </c>
      <c r="BL40" s="46">
        <v>12384</v>
      </c>
      <c r="BM40" s="92">
        <f t="shared" si="34"/>
        <v>0.86808799999999997</v>
      </c>
    </row>
    <row r="41" spans="1:67" s="77" customFormat="1" hidden="1">
      <c r="A41" s="141" t="s">
        <v>24</v>
      </c>
      <c r="B41" s="142" t="s">
        <v>24</v>
      </c>
      <c r="C41" s="86" t="s">
        <v>123</v>
      </c>
      <c r="D41" s="85" t="s">
        <v>61</v>
      </c>
      <c r="E41" s="80" t="s">
        <v>61</v>
      </c>
      <c r="F41" s="80" t="s">
        <v>76</v>
      </c>
      <c r="G41" s="80"/>
      <c r="H41" s="22" t="s">
        <v>103</v>
      </c>
      <c r="I41" s="143"/>
      <c r="J41" s="144"/>
      <c r="K41" s="144"/>
      <c r="L41" s="92" t="e">
        <f t="shared" si="35"/>
        <v>#DIV/0!</v>
      </c>
      <c r="M41" s="144"/>
      <c r="N41" s="144"/>
      <c r="O41" s="92" t="e">
        <f t="shared" si="1"/>
        <v>#DIV/0!</v>
      </c>
      <c r="P41" s="144">
        <f t="shared" si="4"/>
        <v>0</v>
      </c>
      <c r="Q41" s="144">
        <f t="shared" si="5"/>
        <v>0</v>
      </c>
      <c r="R41" s="92" t="e">
        <f t="shared" si="3"/>
        <v>#DIV/0!</v>
      </c>
      <c r="S41" s="22"/>
      <c r="T41" s="22"/>
      <c r="U41" s="92" t="e">
        <f t="shared" si="6"/>
        <v>#DIV/0!</v>
      </c>
      <c r="V41" s="22">
        <f t="shared" si="7"/>
        <v>0</v>
      </c>
      <c r="W41" s="22">
        <f t="shared" si="8"/>
        <v>0</v>
      </c>
      <c r="X41" s="92" t="e">
        <f t="shared" si="9"/>
        <v>#DIV/0!</v>
      </c>
      <c r="Y41" s="38"/>
      <c r="Z41" s="38"/>
      <c r="AA41" s="147" t="e">
        <f t="shared" si="10"/>
        <v>#DIV/0!</v>
      </c>
      <c r="AB41" s="38">
        <f t="shared" si="11"/>
        <v>0</v>
      </c>
      <c r="AC41" s="38">
        <f t="shared" si="12"/>
        <v>0</v>
      </c>
      <c r="AD41" s="147" t="e">
        <f t="shared" si="13"/>
        <v>#DIV/0!</v>
      </c>
      <c r="AE41" s="39"/>
      <c r="AF41" s="143"/>
      <c r="AG41" s="147" t="e">
        <f t="shared" si="14"/>
        <v>#DIV/0!</v>
      </c>
      <c r="AH41" s="143">
        <f t="shared" si="15"/>
        <v>0</v>
      </c>
      <c r="AI41" s="143">
        <f t="shared" si="16"/>
        <v>0</v>
      </c>
      <c r="AJ41" s="147" t="e">
        <f t="shared" si="17"/>
        <v>#DIV/0!</v>
      </c>
      <c r="AK41" s="38"/>
      <c r="AL41" s="149"/>
      <c r="AM41" s="147" t="e">
        <f t="shared" si="18"/>
        <v>#DIV/0!</v>
      </c>
      <c r="AN41" s="149">
        <f t="shared" si="19"/>
        <v>0</v>
      </c>
      <c r="AO41" s="149">
        <f t="shared" si="20"/>
        <v>0</v>
      </c>
      <c r="AP41" s="147" t="e">
        <f t="shared" si="21"/>
        <v>#DIV/0!</v>
      </c>
      <c r="AQ41" s="149"/>
      <c r="AR41" s="149"/>
      <c r="AS41" s="147" t="e">
        <f t="shared" si="22"/>
        <v>#DIV/0!</v>
      </c>
      <c r="AT41" s="149">
        <f t="shared" si="23"/>
        <v>0</v>
      </c>
      <c r="AU41" s="149">
        <f t="shared" si="24"/>
        <v>0</v>
      </c>
      <c r="AV41" s="147" t="e">
        <f t="shared" si="25"/>
        <v>#DIV/0!</v>
      </c>
      <c r="AW41" s="43"/>
      <c r="AX41" s="43"/>
      <c r="AY41" s="147" t="e">
        <f t="shared" si="26"/>
        <v>#DIV/0!</v>
      </c>
      <c r="AZ41" s="43">
        <f t="shared" si="27"/>
        <v>0</v>
      </c>
      <c r="BA41" s="43">
        <f t="shared" si="28"/>
        <v>0</v>
      </c>
      <c r="BB41" s="147" t="e">
        <f t="shared" si="32"/>
        <v>#DIV/0!</v>
      </c>
      <c r="BC41" s="43"/>
      <c r="BD41" s="43"/>
      <c r="BE41" s="147" t="e">
        <f t="shared" si="29"/>
        <v>#DIV/0!</v>
      </c>
      <c r="BF41" s="43">
        <f t="shared" si="30"/>
        <v>0</v>
      </c>
      <c r="BG41" s="43">
        <f t="shared" si="31"/>
        <v>0</v>
      </c>
      <c r="BH41" s="147" t="e">
        <f t="shared" si="33"/>
        <v>#DIV/0!</v>
      </c>
      <c r="BI41" s="46"/>
      <c r="BJ41" s="46"/>
      <c r="BK41" s="46">
        <v>836</v>
      </c>
      <c r="BL41" s="46">
        <v>836</v>
      </c>
      <c r="BM41" s="92" t="e">
        <f t="shared" si="34"/>
        <v>#DIV/0!</v>
      </c>
    </row>
    <row r="42" spans="1:67" s="77" customFormat="1" hidden="1">
      <c r="A42" s="141" t="s">
        <v>24</v>
      </c>
      <c r="B42" s="142" t="s">
        <v>24</v>
      </c>
      <c r="C42" s="86" t="s">
        <v>124</v>
      </c>
      <c r="D42" s="80" t="s">
        <v>114</v>
      </c>
      <c r="E42" s="80" t="s">
        <v>114</v>
      </c>
      <c r="F42" s="80" t="s">
        <v>76</v>
      </c>
      <c r="G42" s="80" t="s">
        <v>125</v>
      </c>
      <c r="H42" s="39" t="s">
        <v>112</v>
      </c>
      <c r="I42" s="143">
        <v>80</v>
      </c>
      <c r="J42" s="144"/>
      <c r="K42" s="144"/>
      <c r="L42" s="92"/>
      <c r="M42" s="144"/>
      <c r="N42" s="144"/>
      <c r="O42" s="92"/>
      <c r="P42" s="144"/>
      <c r="Q42" s="144"/>
      <c r="R42" s="92"/>
      <c r="S42" s="22"/>
      <c r="T42" s="22">
        <v>10661</v>
      </c>
      <c r="U42" s="92" t="e">
        <f t="shared" si="6"/>
        <v>#DIV/0!</v>
      </c>
      <c r="V42" s="22">
        <f t="shared" si="7"/>
        <v>0</v>
      </c>
      <c r="W42" s="22">
        <f t="shared" si="8"/>
        <v>10661</v>
      </c>
      <c r="X42" s="92" t="e">
        <f t="shared" si="9"/>
        <v>#DIV/0!</v>
      </c>
      <c r="Y42" s="38"/>
      <c r="Z42" s="38">
        <v>15411</v>
      </c>
      <c r="AA42" s="147" t="e">
        <f t="shared" si="10"/>
        <v>#DIV/0!</v>
      </c>
      <c r="AB42" s="38">
        <f t="shared" si="11"/>
        <v>0</v>
      </c>
      <c r="AC42" s="38">
        <f t="shared" si="12"/>
        <v>26072</v>
      </c>
      <c r="AD42" s="147" t="e">
        <f t="shared" si="13"/>
        <v>#DIV/0!</v>
      </c>
      <c r="AE42" s="39"/>
      <c r="AF42" s="143">
        <v>3348</v>
      </c>
      <c r="AG42" s="147" t="e">
        <f t="shared" si="14"/>
        <v>#DIV/0!</v>
      </c>
      <c r="AH42" s="143">
        <f t="shared" si="15"/>
        <v>0</v>
      </c>
      <c r="AI42" s="143">
        <f t="shared" si="16"/>
        <v>29420</v>
      </c>
      <c r="AJ42" s="147" t="e">
        <f t="shared" si="17"/>
        <v>#DIV/0!</v>
      </c>
      <c r="AK42" s="38"/>
      <c r="AL42" s="149"/>
      <c r="AM42" s="147" t="e">
        <f t="shared" si="18"/>
        <v>#DIV/0!</v>
      </c>
      <c r="AN42" s="149">
        <f t="shared" si="19"/>
        <v>0</v>
      </c>
      <c r="AO42" s="149">
        <f t="shared" si="20"/>
        <v>29420</v>
      </c>
      <c r="AP42" s="147" t="e">
        <f t="shared" si="21"/>
        <v>#DIV/0!</v>
      </c>
      <c r="AQ42" s="149"/>
      <c r="AR42" s="149"/>
      <c r="AS42" s="147" t="e">
        <f t="shared" si="22"/>
        <v>#DIV/0!</v>
      </c>
      <c r="AT42" s="149">
        <f t="shared" si="23"/>
        <v>0</v>
      </c>
      <c r="AU42" s="149">
        <f t="shared" si="24"/>
        <v>29420</v>
      </c>
      <c r="AV42" s="147" t="e">
        <f t="shared" si="25"/>
        <v>#DIV/0!</v>
      </c>
      <c r="AW42" s="43"/>
      <c r="AX42" s="43"/>
      <c r="AY42" s="147" t="e">
        <f t="shared" si="26"/>
        <v>#DIV/0!</v>
      </c>
      <c r="AZ42" s="43">
        <f t="shared" si="27"/>
        <v>0</v>
      </c>
      <c r="BA42" s="43">
        <f t="shared" si="28"/>
        <v>29420</v>
      </c>
      <c r="BB42" s="147" t="e">
        <f t="shared" si="32"/>
        <v>#DIV/0!</v>
      </c>
      <c r="BC42" s="43"/>
      <c r="BD42" s="43"/>
      <c r="BE42" s="147" t="e">
        <f t="shared" si="29"/>
        <v>#DIV/0!</v>
      </c>
      <c r="BF42" s="43">
        <f t="shared" si="30"/>
        <v>0</v>
      </c>
      <c r="BG42" s="43">
        <f t="shared" si="31"/>
        <v>29420</v>
      </c>
      <c r="BH42" s="147" t="e">
        <f t="shared" si="33"/>
        <v>#DIV/0!</v>
      </c>
      <c r="BI42" s="46"/>
      <c r="BJ42" s="46"/>
      <c r="BK42" s="46"/>
      <c r="BL42" s="46"/>
      <c r="BM42" s="92">
        <f t="shared" si="34"/>
        <v>3.6775000000000002E-2</v>
      </c>
      <c r="BO42" s="77">
        <v>20000</v>
      </c>
    </row>
    <row r="43" spans="1:67" s="77" customFormat="1" hidden="1">
      <c r="A43" s="141" t="s">
        <v>24</v>
      </c>
      <c r="B43" s="142" t="s">
        <v>24</v>
      </c>
      <c r="C43" s="86" t="s">
        <v>126</v>
      </c>
      <c r="D43" s="80" t="s">
        <v>114</v>
      </c>
      <c r="E43" s="80" t="s">
        <v>114</v>
      </c>
      <c r="F43" s="80" t="s">
        <v>76</v>
      </c>
      <c r="G43" s="80" t="s">
        <v>96</v>
      </c>
      <c r="H43" s="39" t="s">
        <v>112</v>
      </c>
      <c r="I43" s="143">
        <v>200</v>
      </c>
      <c r="J43" s="144"/>
      <c r="K43" s="144"/>
      <c r="L43" s="92"/>
      <c r="M43" s="144"/>
      <c r="N43" s="144"/>
      <c r="O43" s="92"/>
      <c r="P43" s="144"/>
      <c r="Q43" s="144"/>
      <c r="R43" s="92"/>
      <c r="S43" s="22"/>
      <c r="T43" s="22">
        <v>7250</v>
      </c>
      <c r="U43" s="92" t="e">
        <f t="shared" si="6"/>
        <v>#DIV/0!</v>
      </c>
      <c r="V43" s="22">
        <f t="shared" si="7"/>
        <v>0</v>
      </c>
      <c r="W43" s="22">
        <f t="shared" si="8"/>
        <v>7250</v>
      </c>
      <c r="X43" s="92" t="e">
        <f t="shared" si="9"/>
        <v>#DIV/0!</v>
      </c>
      <c r="Y43" s="38"/>
      <c r="Z43" s="38"/>
      <c r="AA43" s="147" t="e">
        <f t="shared" si="10"/>
        <v>#DIV/0!</v>
      </c>
      <c r="AB43" s="38">
        <f t="shared" si="11"/>
        <v>0</v>
      </c>
      <c r="AC43" s="38">
        <f t="shared" si="12"/>
        <v>7250</v>
      </c>
      <c r="AD43" s="147" t="e">
        <f t="shared" si="13"/>
        <v>#DIV/0!</v>
      </c>
      <c r="AE43" s="39"/>
      <c r="AF43" s="143"/>
      <c r="AG43" s="147" t="e">
        <f t="shared" si="14"/>
        <v>#DIV/0!</v>
      </c>
      <c r="AH43" s="143">
        <f t="shared" si="15"/>
        <v>0</v>
      </c>
      <c r="AI43" s="143">
        <f t="shared" si="16"/>
        <v>7250</v>
      </c>
      <c r="AJ43" s="147" t="e">
        <f t="shared" si="17"/>
        <v>#DIV/0!</v>
      </c>
      <c r="AK43" s="38"/>
      <c r="AL43" s="149"/>
      <c r="AM43" s="147" t="e">
        <f t="shared" si="18"/>
        <v>#DIV/0!</v>
      </c>
      <c r="AN43" s="149">
        <f t="shared" si="19"/>
        <v>0</v>
      </c>
      <c r="AO43" s="149">
        <f t="shared" si="20"/>
        <v>7250</v>
      </c>
      <c r="AP43" s="147" t="e">
        <f t="shared" si="21"/>
        <v>#DIV/0!</v>
      </c>
      <c r="AQ43" s="149"/>
      <c r="AR43" s="149">
        <v>53816</v>
      </c>
      <c r="AS43" s="147" t="e">
        <f t="shared" si="22"/>
        <v>#DIV/0!</v>
      </c>
      <c r="AT43" s="149">
        <f t="shared" si="23"/>
        <v>0</v>
      </c>
      <c r="AU43" s="149">
        <f t="shared" si="24"/>
        <v>61066</v>
      </c>
      <c r="AV43" s="147" t="e">
        <f t="shared" si="25"/>
        <v>#DIV/0!</v>
      </c>
      <c r="AW43" s="43"/>
      <c r="AX43" s="43">
        <f>22281+11274</f>
        <v>33555</v>
      </c>
      <c r="AY43" s="147" t="e">
        <f t="shared" si="26"/>
        <v>#DIV/0!</v>
      </c>
      <c r="AZ43" s="43">
        <f t="shared" si="27"/>
        <v>0</v>
      </c>
      <c r="BA43" s="43">
        <f t="shared" si="28"/>
        <v>94621</v>
      </c>
      <c r="BB43" s="147" t="e">
        <f t="shared" si="32"/>
        <v>#DIV/0!</v>
      </c>
      <c r="BC43" s="43"/>
      <c r="BD43" s="43">
        <v>12823</v>
      </c>
      <c r="BE43" s="147" t="e">
        <f t="shared" si="29"/>
        <v>#DIV/0!</v>
      </c>
      <c r="BF43" s="43">
        <f t="shared" si="30"/>
        <v>0</v>
      </c>
      <c r="BG43" s="43">
        <f t="shared" si="31"/>
        <v>107444</v>
      </c>
      <c r="BH43" s="147" t="e">
        <f t="shared" si="33"/>
        <v>#DIV/0!</v>
      </c>
      <c r="BI43" s="46"/>
      <c r="BJ43" s="46"/>
      <c r="BK43" s="46"/>
      <c r="BL43" s="46"/>
      <c r="BM43" s="92">
        <f t="shared" si="34"/>
        <v>5.3722000000000006E-2</v>
      </c>
    </row>
    <row r="44" spans="1:67" s="77" customFormat="1" hidden="1">
      <c r="A44" s="141" t="s">
        <v>24</v>
      </c>
      <c r="B44" s="142" t="s">
        <v>24</v>
      </c>
      <c r="C44" s="86" t="s">
        <v>127</v>
      </c>
      <c r="D44" s="80" t="s">
        <v>114</v>
      </c>
      <c r="E44" s="80" t="s">
        <v>114</v>
      </c>
      <c r="F44" s="80" t="s">
        <v>76</v>
      </c>
      <c r="G44" s="80" t="s">
        <v>96</v>
      </c>
      <c r="H44" s="39" t="s">
        <v>112</v>
      </c>
      <c r="I44" s="143">
        <v>25</v>
      </c>
      <c r="J44" s="144"/>
      <c r="K44" s="144"/>
      <c r="L44" s="92"/>
      <c r="M44" s="144"/>
      <c r="N44" s="144"/>
      <c r="O44" s="92"/>
      <c r="P44" s="144"/>
      <c r="Q44" s="144"/>
      <c r="R44" s="92"/>
      <c r="S44" s="22"/>
      <c r="T44" s="22"/>
      <c r="U44" s="92"/>
      <c r="V44" s="22"/>
      <c r="W44" s="22"/>
      <c r="X44" s="92"/>
      <c r="Y44" s="38"/>
      <c r="Z44" s="38"/>
      <c r="AA44" s="147"/>
      <c r="AB44" s="38">
        <f t="shared" si="11"/>
        <v>0</v>
      </c>
      <c r="AC44" s="38"/>
      <c r="AD44" s="147"/>
      <c r="AE44" s="39"/>
      <c r="AF44" s="143"/>
      <c r="AG44" s="147" t="e">
        <f t="shared" si="14"/>
        <v>#DIV/0!</v>
      </c>
      <c r="AH44" s="143">
        <f t="shared" si="15"/>
        <v>0</v>
      </c>
      <c r="AI44" s="143">
        <f t="shared" si="16"/>
        <v>0</v>
      </c>
      <c r="AJ44" s="147" t="e">
        <f t="shared" si="17"/>
        <v>#DIV/0!</v>
      </c>
      <c r="AK44" s="38"/>
      <c r="AL44" s="149"/>
      <c r="AM44" s="147" t="e">
        <f t="shared" si="18"/>
        <v>#DIV/0!</v>
      </c>
      <c r="AN44" s="149">
        <f t="shared" si="19"/>
        <v>0</v>
      </c>
      <c r="AO44" s="149">
        <f t="shared" si="20"/>
        <v>0</v>
      </c>
      <c r="AP44" s="147" t="e">
        <f t="shared" si="21"/>
        <v>#DIV/0!</v>
      </c>
      <c r="AQ44" s="149"/>
      <c r="AR44" s="149"/>
      <c r="AS44" s="147" t="e">
        <f t="shared" si="22"/>
        <v>#DIV/0!</v>
      </c>
      <c r="AT44" s="149">
        <f t="shared" si="23"/>
        <v>0</v>
      </c>
      <c r="AU44" s="149">
        <f t="shared" si="24"/>
        <v>0</v>
      </c>
      <c r="AV44" s="147" t="e">
        <f t="shared" si="25"/>
        <v>#DIV/0!</v>
      </c>
      <c r="AW44" s="43"/>
      <c r="AX44" s="43"/>
      <c r="AY44" s="147" t="e">
        <f t="shared" si="26"/>
        <v>#DIV/0!</v>
      </c>
      <c r="AZ44" s="43">
        <f t="shared" si="27"/>
        <v>0</v>
      </c>
      <c r="BA44" s="43">
        <f t="shared" si="28"/>
        <v>0</v>
      </c>
      <c r="BB44" s="147" t="e">
        <f t="shared" si="32"/>
        <v>#DIV/0!</v>
      </c>
      <c r="BC44" s="43"/>
      <c r="BD44" s="43"/>
      <c r="BE44" s="147" t="e">
        <f t="shared" si="29"/>
        <v>#DIV/0!</v>
      </c>
      <c r="BF44" s="43">
        <f t="shared" si="30"/>
        <v>0</v>
      </c>
      <c r="BG44" s="43">
        <f t="shared" si="31"/>
        <v>0</v>
      </c>
      <c r="BH44" s="147" t="e">
        <f t="shared" si="33"/>
        <v>#DIV/0!</v>
      </c>
      <c r="BI44" s="46"/>
      <c r="BJ44" s="46"/>
      <c r="BK44" s="46"/>
      <c r="BL44" s="46"/>
      <c r="BM44" s="92">
        <f t="shared" si="34"/>
        <v>0</v>
      </c>
    </row>
    <row r="45" spans="1:67" s="77" customFormat="1" hidden="1">
      <c r="A45" s="141" t="s">
        <v>24</v>
      </c>
      <c r="B45" s="142" t="s">
        <v>24</v>
      </c>
      <c r="C45" s="86" t="s">
        <v>128</v>
      </c>
      <c r="D45" s="80" t="s">
        <v>114</v>
      </c>
      <c r="E45" s="80" t="s">
        <v>114</v>
      </c>
      <c r="F45" s="80" t="s">
        <v>76</v>
      </c>
      <c r="G45" s="80" t="s">
        <v>96</v>
      </c>
      <c r="H45" s="39" t="s">
        <v>112</v>
      </c>
      <c r="I45" s="143">
        <v>20</v>
      </c>
      <c r="J45" s="144"/>
      <c r="K45" s="144"/>
      <c r="L45" s="92"/>
      <c r="M45" s="144"/>
      <c r="N45" s="144"/>
      <c r="O45" s="92"/>
      <c r="P45" s="144"/>
      <c r="Q45" s="144"/>
      <c r="R45" s="92"/>
      <c r="S45" s="22"/>
      <c r="T45" s="22"/>
      <c r="U45" s="92"/>
      <c r="V45" s="22"/>
      <c r="W45" s="22"/>
      <c r="X45" s="92"/>
      <c r="Y45" s="38"/>
      <c r="Z45" s="38"/>
      <c r="AA45" s="147"/>
      <c r="AB45" s="38"/>
      <c r="AC45" s="38"/>
      <c r="AD45" s="147"/>
      <c r="AE45" s="39"/>
      <c r="AF45" s="143"/>
      <c r="AG45" s="147" t="e">
        <f t="shared" si="14"/>
        <v>#DIV/0!</v>
      </c>
      <c r="AH45" s="143">
        <f t="shared" si="15"/>
        <v>0</v>
      </c>
      <c r="AI45" s="143">
        <f t="shared" si="16"/>
        <v>0</v>
      </c>
      <c r="AJ45" s="147" t="e">
        <f t="shared" si="17"/>
        <v>#DIV/0!</v>
      </c>
      <c r="AK45" s="38"/>
      <c r="AL45" s="149"/>
      <c r="AM45" s="147" t="e">
        <f t="shared" si="18"/>
        <v>#DIV/0!</v>
      </c>
      <c r="AN45" s="149">
        <f t="shared" si="19"/>
        <v>0</v>
      </c>
      <c r="AO45" s="149">
        <f t="shared" si="20"/>
        <v>0</v>
      </c>
      <c r="AP45" s="147" t="e">
        <f t="shared" si="21"/>
        <v>#DIV/0!</v>
      </c>
      <c r="AQ45" s="149"/>
      <c r="AR45" s="149"/>
      <c r="AS45" s="147" t="e">
        <f t="shared" si="22"/>
        <v>#DIV/0!</v>
      </c>
      <c r="AT45" s="149">
        <f t="shared" si="23"/>
        <v>0</v>
      </c>
      <c r="AU45" s="149">
        <f t="shared" si="24"/>
        <v>0</v>
      </c>
      <c r="AV45" s="147" t="e">
        <f t="shared" si="25"/>
        <v>#DIV/0!</v>
      </c>
      <c r="AW45" s="43"/>
      <c r="AX45" s="43"/>
      <c r="AY45" s="147" t="e">
        <f t="shared" si="26"/>
        <v>#DIV/0!</v>
      </c>
      <c r="AZ45" s="43">
        <f t="shared" si="27"/>
        <v>0</v>
      </c>
      <c r="BA45" s="43">
        <f t="shared" si="28"/>
        <v>0</v>
      </c>
      <c r="BB45" s="147" t="e">
        <f t="shared" si="32"/>
        <v>#DIV/0!</v>
      </c>
      <c r="BC45" s="43"/>
      <c r="BD45" s="43"/>
      <c r="BE45" s="147" t="e">
        <f t="shared" si="29"/>
        <v>#DIV/0!</v>
      </c>
      <c r="BF45" s="43">
        <f t="shared" si="30"/>
        <v>0</v>
      </c>
      <c r="BG45" s="43">
        <f t="shared" si="31"/>
        <v>0</v>
      </c>
      <c r="BH45" s="147" t="e">
        <f t="shared" si="33"/>
        <v>#DIV/0!</v>
      </c>
      <c r="BI45" s="46"/>
      <c r="BJ45" s="46"/>
      <c r="BK45" s="46"/>
      <c r="BL45" s="46"/>
      <c r="BM45" s="92">
        <f t="shared" si="34"/>
        <v>0</v>
      </c>
    </row>
    <row r="46" spans="1:67" s="77" customFormat="1" hidden="1">
      <c r="A46" s="141" t="s">
        <v>24</v>
      </c>
      <c r="B46" s="142" t="s">
        <v>24</v>
      </c>
      <c r="C46" s="86" t="s">
        <v>129</v>
      </c>
      <c r="D46" s="80" t="s">
        <v>114</v>
      </c>
      <c r="E46" s="80" t="s">
        <v>114</v>
      </c>
      <c r="F46" s="80" t="s">
        <v>76</v>
      </c>
      <c r="G46" s="80" t="s">
        <v>96</v>
      </c>
      <c r="H46" s="39" t="s">
        <v>112</v>
      </c>
      <c r="I46" s="143"/>
      <c r="J46" s="144"/>
      <c r="K46" s="144"/>
      <c r="L46" s="92"/>
      <c r="M46" s="144"/>
      <c r="N46" s="144"/>
      <c r="O46" s="92"/>
      <c r="P46" s="144"/>
      <c r="Q46" s="144"/>
      <c r="R46" s="92"/>
      <c r="S46" s="22"/>
      <c r="T46" s="22"/>
      <c r="U46" s="92"/>
      <c r="V46" s="22"/>
      <c r="W46" s="22"/>
      <c r="X46" s="92"/>
      <c r="Y46" s="38"/>
      <c r="Z46" s="38"/>
      <c r="AA46" s="147"/>
      <c r="AB46" s="38"/>
      <c r="AC46" s="38"/>
      <c r="AD46" s="147"/>
      <c r="AE46" s="39"/>
      <c r="AF46" s="143">
        <v>13000</v>
      </c>
      <c r="AG46" s="147" t="e">
        <f t="shared" si="14"/>
        <v>#DIV/0!</v>
      </c>
      <c r="AH46" s="143">
        <f t="shared" si="15"/>
        <v>0</v>
      </c>
      <c r="AI46" s="143">
        <f t="shared" si="16"/>
        <v>13000</v>
      </c>
      <c r="AJ46" s="147" t="e">
        <f t="shared" si="17"/>
        <v>#DIV/0!</v>
      </c>
      <c r="AK46" s="38"/>
      <c r="AL46" s="149"/>
      <c r="AM46" s="147" t="e">
        <f t="shared" si="18"/>
        <v>#DIV/0!</v>
      </c>
      <c r="AN46" s="149">
        <f t="shared" si="19"/>
        <v>0</v>
      </c>
      <c r="AO46" s="149">
        <f t="shared" si="20"/>
        <v>13000</v>
      </c>
      <c r="AP46" s="147" t="e">
        <f t="shared" si="21"/>
        <v>#DIV/0!</v>
      </c>
      <c r="AQ46" s="149"/>
      <c r="AR46" s="149"/>
      <c r="AS46" s="147" t="e">
        <f t="shared" si="22"/>
        <v>#DIV/0!</v>
      </c>
      <c r="AT46" s="149">
        <f t="shared" si="23"/>
        <v>0</v>
      </c>
      <c r="AU46" s="149">
        <f t="shared" si="24"/>
        <v>13000</v>
      </c>
      <c r="AV46" s="147" t="e">
        <f t="shared" si="25"/>
        <v>#DIV/0!</v>
      </c>
      <c r="AW46" s="43"/>
      <c r="AX46" s="43">
        <v>3470</v>
      </c>
      <c r="AY46" s="147" t="e">
        <f t="shared" si="26"/>
        <v>#DIV/0!</v>
      </c>
      <c r="AZ46" s="43">
        <f t="shared" si="27"/>
        <v>0</v>
      </c>
      <c r="BA46" s="43">
        <f t="shared" si="28"/>
        <v>16470</v>
      </c>
      <c r="BB46" s="147" t="e">
        <f t="shared" si="32"/>
        <v>#DIV/0!</v>
      </c>
      <c r="BC46" s="43"/>
      <c r="BD46" s="43"/>
      <c r="BE46" s="147" t="e">
        <f t="shared" si="29"/>
        <v>#DIV/0!</v>
      </c>
      <c r="BF46" s="43">
        <f t="shared" si="30"/>
        <v>0</v>
      </c>
      <c r="BG46" s="43">
        <f t="shared" si="31"/>
        <v>16470</v>
      </c>
      <c r="BH46" s="147" t="e">
        <f t="shared" si="33"/>
        <v>#DIV/0!</v>
      </c>
      <c r="BI46" s="46"/>
      <c r="BJ46" s="46"/>
      <c r="BK46" s="46"/>
      <c r="BL46" s="46"/>
      <c r="BM46" s="92" t="e">
        <f t="shared" si="34"/>
        <v>#DIV/0!</v>
      </c>
    </row>
    <row r="47" spans="1:67" s="77" customFormat="1" hidden="1">
      <c r="A47" s="141" t="s">
        <v>24</v>
      </c>
      <c r="B47" s="142" t="s">
        <v>24</v>
      </c>
      <c r="C47" s="86" t="s">
        <v>130</v>
      </c>
      <c r="D47" s="85" t="s">
        <v>61</v>
      </c>
      <c r="E47" s="85" t="s">
        <v>61</v>
      </c>
      <c r="F47" s="80" t="s">
        <v>76</v>
      </c>
      <c r="G47" s="80"/>
      <c r="H47" s="22" t="s">
        <v>103</v>
      </c>
      <c r="I47" s="143"/>
      <c r="J47" s="144"/>
      <c r="K47" s="144"/>
      <c r="L47" s="92"/>
      <c r="M47" s="144"/>
      <c r="N47" s="144"/>
      <c r="O47" s="92"/>
      <c r="P47" s="144"/>
      <c r="Q47" s="144"/>
      <c r="R47" s="92"/>
      <c r="S47" s="22"/>
      <c r="T47" s="22"/>
      <c r="U47" s="92"/>
      <c r="V47" s="22"/>
      <c r="W47" s="22"/>
      <c r="X47" s="92"/>
      <c r="Y47" s="38"/>
      <c r="Z47" s="38"/>
      <c r="AA47" s="147"/>
      <c r="AB47" s="38"/>
      <c r="AC47" s="38"/>
      <c r="AD47" s="147"/>
      <c r="AE47" s="39"/>
      <c r="AF47" s="143">
        <v>66234</v>
      </c>
      <c r="AG47" s="147" t="e">
        <f t="shared" si="14"/>
        <v>#DIV/0!</v>
      </c>
      <c r="AH47" s="143">
        <f t="shared" si="15"/>
        <v>0</v>
      </c>
      <c r="AI47" s="143">
        <f t="shared" si="16"/>
        <v>66234</v>
      </c>
      <c r="AJ47" s="147" t="e">
        <f t="shared" si="17"/>
        <v>#DIV/0!</v>
      </c>
      <c r="AK47" s="38"/>
      <c r="AL47" s="149">
        <v>10341.700000000001</v>
      </c>
      <c r="AM47" s="147" t="e">
        <f t="shared" si="18"/>
        <v>#DIV/0!</v>
      </c>
      <c r="AN47" s="149">
        <f t="shared" si="19"/>
        <v>0</v>
      </c>
      <c r="AO47" s="149">
        <f t="shared" si="20"/>
        <v>76575.7</v>
      </c>
      <c r="AP47" s="147" t="e">
        <f t="shared" si="21"/>
        <v>#DIV/0!</v>
      </c>
      <c r="AQ47" s="149"/>
      <c r="AR47" s="149">
        <v>12445</v>
      </c>
      <c r="AS47" s="147" t="e">
        <f t="shared" si="22"/>
        <v>#DIV/0!</v>
      </c>
      <c r="AT47" s="149">
        <f t="shared" si="23"/>
        <v>0</v>
      </c>
      <c r="AU47" s="149">
        <f t="shared" si="24"/>
        <v>89020.7</v>
      </c>
      <c r="AV47" s="147" t="e">
        <f t="shared" si="25"/>
        <v>#DIV/0!</v>
      </c>
      <c r="AW47" s="43"/>
      <c r="AX47" s="43">
        <v>8999</v>
      </c>
      <c r="AY47" s="147" t="e">
        <f t="shared" si="26"/>
        <v>#DIV/0!</v>
      </c>
      <c r="AZ47" s="43">
        <f t="shared" si="27"/>
        <v>0</v>
      </c>
      <c r="BA47" s="43">
        <f t="shared" si="28"/>
        <v>98019.7</v>
      </c>
      <c r="BB47" s="147" t="e">
        <f t="shared" si="32"/>
        <v>#DIV/0!</v>
      </c>
      <c r="BC47" s="43"/>
      <c r="BD47" s="43">
        <v>30503.1</v>
      </c>
      <c r="BE47" s="147" t="e">
        <f t="shared" si="29"/>
        <v>#DIV/0!</v>
      </c>
      <c r="BF47" s="43">
        <f t="shared" si="30"/>
        <v>0</v>
      </c>
      <c r="BG47" s="43">
        <f t="shared" si="31"/>
        <v>128522.79999999999</v>
      </c>
      <c r="BH47" s="147" t="e">
        <f t="shared" si="33"/>
        <v>#DIV/0!</v>
      </c>
      <c r="BI47" s="46"/>
      <c r="BJ47" s="46"/>
      <c r="BK47" s="46"/>
      <c r="BL47" s="46"/>
      <c r="BM47" s="92" t="e">
        <f t="shared" si="34"/>
        <v>#DIV/0!</v>
      </c>
    </row>
    <row r="48" spans="1:67" s="77" customFormat="1" hidden="1">
      <c r="A48" s="78" t="s">
        <v>24</v>
      </c>
      <c r="B48" s="78" t="s">
        <v>24</v>
      </c>
      <c r="C48" s="81" t="s">
        <v>131</v>
      </c>
      <c r="D48" s="80" t="s">
        <v>114</v>
      </c>
      <c r="E48" s="80" t="s">
        <v>114</v>
      </c>
      <c r="F48" s="80" t="s">
        <v>76</v>
      </c>
      <c r="G48" s="80" t="s">
        <v>96</v>
      </c>
      <c r="H48" s="39" t="s">
        <v>112</v>
      </c>
      <c r="I48" s="143">
        <v>60</v>
      </c>
      <c r="J48" s="144"/>
      <c r="K48" s="144"/>
      <c r="L48" s="92"/>
      <c r="M48" s="144"/>
      <c r="N48" s="144"/>
      <c r="O48" s="92"/>
      <c r="P48" s="144"/>
      <c r="Q48" s="144"/>
      <c r="R48" s="92"/>
      <c r="S48" s="22"/>
      <c r="T48" s="22">
        <v>35400</v>
      </c>
      <c r="U48" s="92" t="e">
        <f>T48/S48-1</f>
        <v>#DIV/0!</v>
      </c>
      <c r="V48" s="22">
        <f>S48+P48</f>
        <v>0</v>
      </c>
      <c r="W48" s="22">
        <f>T48+Q48</f>
        <v>35400</v>
      </c>
      <c r="X48" s="92" t="e">
        <f>W48/V48-1</f>
        <v>#DIV/0!</v>
      </c>
      <c r="Y48" s="38"/>
      <c r="Z48" s="38"/>
      <c r="AA48" s="147" t="e">
        <f>Z48/Y48-1</f>
        <v>#DIV/0!</v>
      </c>
      <c r="AB48" s="38">
        <f>Y48+V48</f>
        <v>0</v>
      </c>
      <c r="AC48" s="38">
        <f>Z48+W48</f>
        <v>35400</v>
      </c>
      <c r="AD48" s="147" t="e">
        <f>AC48/AB48-1</f>
        <v>#DIV/0!</v>
      </c>
      <c r="AE48" s="39"/>
      <c r="AF48" s="143">
        <v>27200</v>
      </c>
      <c r="AG48" s="147" t="e">
        <f t="shared" si="14"/>
        <v>#DIV/0!</v>
      </c>
      <c r="AH48" s="143">
        <f t="shared" si="15"/>
        <v>0</v>
      </c>
      <c r="AI48" s="143">
        <f t="shared" si="16"/>
        <v>62600</v>
      </c>
      <c r="AJ48" s="147" t="e">
        <f t="shared" si="17"/>
        <v>#DIV/0!</v>
      </c>
      <c r="AK48" s="38"/>
      <c r="AL48" s="149"/>
      <c r="AM48" s="147" t="e">
        <f t="shared" si="18"/>
        <v>#DIV/0!</v>
      </c>
      <c r="AN48" s="149">
        <f t="shared" si="19"/>
        <v>0</v>
      </c>
      <c r="AO48" s="149">
        <f t="shared" si="20"/>
        <v>62600</v>
      </c>
      <c r="AP48" s="147" t="e">
        <f t="shared" si="21"/>
        <v>#DIV/0!</v>
      </c>
      <c r="AQ48" s="149"/>
      <c r="AR48" s="149">
        <v>47200</v>
      </c>
      <c r="AS48" s="147" t="e">
        <f t="shared" si="22"/>
        <v>#DIV/0!</v>
      </c>
      <c r="AT48" s="149">
        <f t="shared" si="23"/>
        <v>0</v>
      </c>
      <c r="AU48" s="149">
        <f t="shared" si="24"/>
        <v>109800</v>
      </c>
      <c r="AV48" s="147" t="e">
        <f t="shared" si="25"/>
        <v>#DIV/0!</v>
      </c>
      <c r="AW48" s="43"/>
      <c r="AX48" s="43">
        <v>17700</v>
      </c>
      <c r="AY48" s="147" t="e">
        <f t="shared" si="26"/>
        <v>#DIV/0!</v>
      </c>
      <c r="AZ48" s="43">
        <f t="shared" si="27"/>
        <v>0</v>
      </c>
      <c r="BA48" s="43">
        <f t="shared" si="28"/>
        <v>127500</v>
      </c>
      <c r="BB48" s="147" t="e">
        <f t="shared" si="32"/>
        <v>#DIV/0!</v>
      </c>
      <c r="BC48" s="43"/>
      <c r="BD48" s="43">
        <v>32450</v>
      </c>
      <c r="BE48" s="147" t="e">
        <f t="shared" si="29"/>
        <v>#DIV/0!</v>
      </c>
      <c r="BF48" s="43">
        <f t="shared" si="30"/>
        <v>0</v>
      </c>
      <c r="BG48" s="43">
        <f t="shared" si="31"/>
        <v>159950</v>
      </c>
      <c r="BH48" s="147" t="e">
        <f t="shared" si="33"/>
        <v>#DIV/0!</v>
      </c>
      <c r="BI48" s="46"/>
      <c r="BJ48" s="46"/>
      <c r="BK48" s="46"/>
      <c r="BL48" s="46"/>
      <c r="BM48" s="92">
        <f t="shared" si="34"/>
        <v>0.26658333333333334</v>
      </c>
    </row>
    <row r="49" spans="1:65">
      <c r="A49" s="78"/>
      <c r="B49" s="42"/>
      <c r="C49" s="86" t="s">
        <v>31</v>
      </c>
      <c r="D49" s="42"/>
      <c r="E49" s="80"/>
      <c r="F49" s="42"/>
      <c r="G49" s="42"/>
      <c r="H49" s="42"/>
      <c r="I49" s="22">
        <f>SUBTOTAL(9,I3:I48)</f>
        <v>834</v>
      </c>
      <c r="J49" s="22">
        <f>SUBTOTAL(9,J3:J48)</f>
        <v>241630.35</v>
      </c>
      <c r="K49" s="22">
        <f>SUBTOTAL(9,K3:K48)</f>
        <v>275017.95</v>
      </c>
      <c r="L49" s="92">
        <f>K49/J49-1</f>
        <v>0.1381763507771272</v>
      </c>
      <c r="M49" s="22">
        <f>SUBTOTAL(9,M3:M48)</f>
        <v>16445</v>
      </c>
      <c r="N49" s="22">
        <f>SUBTOTAL(9,N3:N48)</f>
        <v>216972.5</v>
      </c>
      <c r="O49" s="92">
        <f>N49/M49-1</f>
        <v>12.193827911219216</v>
      </c>
      <c r="P49" s="22">
        <f>SUBTOTAL(9,P3:P48)</f>
        <v>258075.35</v>
      </c>
      <c r="Q49" s="22">
        <f>SUBTOTAL(9,Q3:Q48)</f>
        <v>491990.45</v>
      </c>
      <c r="R49" s="92">
        <f>Q49/P49-1</f>
        <v>0.90638296141030139</v>
      </c>
      <c r="S49" s="22">
        <f>SUBTOTAL(9,S3:S48)</f>
        <v>679742.87</v>
      </c>
      <c r="T49" s="22">
        <f>SUBTOTAL(9,T3:T48)</f>
        <v>224752.5</v>
      </c>
      <c r="U49" s="92">
        <f>T49/S49-1</f>
        <v>-0.66935659067670694</v>
      </c>
      <c r="V49" s="22">
        <f>SUBTOTAL(9,V3:V48)</f>
        <v>937818.22</v>
      </c>
      <c r="W49" s="22">
        <f>SUBTOTAL(9,W3:W48)</f>
        <v>716742.95</v>
      </c>
      <c r="X49" s="92">
        <f>W49/V49-1</f>
        <v>-0.23573360517563846</v>
      </c>
      <c r="Y49" s="22">
        <f>SUBTOTAL(9,Y3:Y48)</f>
        <v>676183.1</v>
      </c>
      <c r="Z49" s="22">
        <f>SUBTOTAL(9,Z3:Z48)</f>
        <v>972283.5</v>
      </c>
      <c r="AA49" s="147">
        <f>Z49/Y49-1</f>
        <v>0.43789973455414666</v>
      </c>
      <c r="AB49" s="22">
        <f>SUBTOTAL(9,AB3:AB48)</f>
        <v>1614001.32</v>
      </c>
      <c r="AC49" s="22">
        <f>SUBTOTAL(9,AC3:AC48)</f>
        <v>1689026.45</v>
      </c>
      <c r="AD49" s="147">
        <f>AC49/AB49-1</f>
        <v>4.648393348278046E-2</v>
      </c>
      <c r="AE49" s="22">
        <f>SUM(AE3:AE48)</f>
        <v>2754128.2700000005</v>
      </c>
      <c r="AF49" s="22">
        <f>SUM(AF3:AF48)</f>
        <v>2967154.72</v>
      </c>
      <c r="AG49" s="147">
        <f t="shared" si="14"/>
        <v>7.7348049588118695E-2</v>
      </c>
      <c r="AH49" s="22">
        <f>SUM(AH3:AH48)</f>
        <v>10508653.130000001</v>
      </c>
      <c r="AI49" s="22">
        <f>SUM(AI3:AI48)</f>
        <v>13954267.229999999</v>
      </c>
      <c r="AJ49" s="147">
        <f t="shared" si="17"/>
        <v>0.32788351250870496</v>
      </c>
      <c r="AK49" s="22">
        <f>SUM(AK3:AK48)</f>
        <v>3834503.4899999998</v>
      </c>
      <c r="AL49" s="22">
        <f>SUM(AL3:AL48)</f>
        <v>3744100.99</v>
      </c>
      <c r="AM49" s="147">
        <f t="shared" si="18"/>
        <v>-2.3576064081245462E-2</v>
      </c>
      <c r="AN49" s="22">
        <f t="shared" ref="AN49:AR49" si="36">SUM(AN3:AN48)</f>
        <v>14343156.619999999</v>
      </c>
      <c r="AO49" s="22">
        <f t="shared" si="36"/>
        <v>17698368.219999999</v>
      </c>
      <c r="AP49" s="147">
        <f t="shared" si="21"/>
        <v>0.23392421130795693</v>
      </c>
      <c r="AQ49" s="22">
        <f t="shared" si="36"/>
        <v>2104345.2399999993</v>
      </c>
      <c r="AR49" s="22">
        <f t="shared" si="36"/>
        <v>2351069.7800000003</v>
      </c>
      <c r="AS49" s="147">
        <f t="shared" si="22"/>
        <v>0.1172452767303529</v>
      </c>
      <c r="AT49" s="22">
        <f t="shared" ref="AT49:AX49" si="37">SUM(AT3:AT48)</f>
        <v>16447501.859999999</v>
      </c>
      <c r="AU49" s="22">
        <f t="shared" si="37"/>
        <v>20049438</v>
      </c>
      <c r="AV49" s="147">
        <f t="shared" si="25"/>
        <v>0.21899594057866256</v>
      </c>
      <c r="AW49" s="22">
        <f t="shared" si="37"/>
        <v>1930214.36</v>
      </c>
      <c r="AX49" s="22">
        <f t="shared" si="37"/>
        <v>1841887.6500000001</v>
      </c>
      <c r="AY49" s="147">
        <f t="shared" si="26"/>
        <v>-4.5760052266940909E-2</v>
      </c>
      <c r="AZ49" s="22">
        <f t="shared" ref="AZ49:BD49" si="38">SUM(AZ3:AZ48)</f>
        <v>18377716.219999999</v>
      </c>
      <c r="BA49" s="22">
        <f t="shared" si="38"/>
        <v>21891325.650000002</v>
      </c>
      <c r="BB49" s="147">
        <f t="shared" si="32"/>
        <v>0.19118857794616684</v>
      </c>
      <c r="BC49" s="22">
        <f t="shared" si="38"/>
        <v>2928380.3400000003</v>
      </c>
      <c r="BD49" s="22">
        <f t="shared" si="38"/>
        <v>1665365.53</v>
      </c>
      <c r="BE49" s="147">
        <f t="shared" si="29"/>
        <v>-0.43130149207325996</v>
      </c>
      <c r="BF49" s="22">
        <f>SUM(BF3:BF48)</f>
        <v>21306096.560000002</v>
      </c>
      <c r="BG49" s="22">
        <f>SUM(BG3:BG48)</f>
        <v>23556691.180000007</v>
      </c>
      <c r="BH49" s="147">
        <f t="shared" si="33"/>
        <v>0.1056314850381963</v>
      </c>
      <c r="BI49" s="22">
        <f>SUM(BI3:BI41)</f>
        <v>4365273.7300000004</v>
      </c>
      <c r="BJ49" s="22">
        <f>SUM(BJ3:BJ41)</f>
        <v>3575920.73</v>
      </c>
      <c r="BK49" s="22">
        <f>SUM(BK3:BK41)</f>
        <v>3946077.97</v>
      </c>
      <c r="BL49" s="22">
        <f>SUM(BL3:BL41)</f>
        <v>33107347.989999995</v>
      </c>
      <c r="BM49" s="92">
        <f t="shared" si="34"/>
        <v>2.8245433069544372</v>
      </c>
    </row>
    <row r="50" spans="1:65">
      <c r="Y50" s="148"/>
      <c r="Z50" s="148"/>
      <c r="AA50" s="148"/>
      <c r="AB50" s="148"/>
      <c r="AC50" s="148"/>
      <c r="AD50" s="148"/>
    </row>
  </sheetData>
  <autoFilter ref="A2:BP48" xr:uid="{00000000-0009-0000-0000-000001000000}">
    <filterColumn colId="7">
      <filters>
        <filter val="董培培"/>
      </filters>
    </filterColumn>
  </autoFilter>
  <mergeCells count="38">
    <mergeCell ref="AH1:AI1"/>
    <mergeCell ref="AK1:AL1"/>
    <mergeCell ref="J1:K1"/>
    <mergeCell ref="M1:N1"/>
    <mergeCell ref="P1:Q1"/>
    <mergeCell ref="S1:T1"/>
    <mergeCell ref="V1:W1"/>
    <mergeCell ref="AT1:AU1"/>
    <mergeCell ref="AW1:AX1"/>
    <mergeCell ref="AZ1:BA1"/>
    <mergeCell ref="AV1:AV2"/>
    <mergeCell ref="AY1:AY2"/>
    <mergeCell ref="AJ1:AJ2"/>
    <mergeCell ref="AM1:AM2"/>
    <mergeCell ref="AP1:AP2"/>
    <mergeCell ref="AS1:AS2"/>
    <mergeCell ref="AN1:AO1"/>
    <mergeCell ref="AQ1:AR1"/>
    <mergeCell ref="U1:U2"/>
    <mergeCell ref="X1:X2"/>
    <mergeCell ref="AA1:AA2"/>
    <mergeCell ref="AD1:AD2"/>
    <mergeCell ref="AG1:AG2"/>
    <mergeCell ref="Y1:Z1"/>
    <mergeCell ref="AB1:AC1"/>
    <mergeCell ref="AE1:AF1"/>
    <mergeCell ref="I1:I2"/>
    <mergeCell ref="I3:I4"/>
    <mergeCell ref="L1:L2"/>
    <mergeCell ref="O1:O2"/>
    <mergeCell ref="R1:R2"/>
    <mergeCell ref="BB1:BB2"/>
    <mergeCell ref="BE1:BE2"/>
    <mergeCell ref="BH1:BH2"/>
    <mergeCell ref="BM1:BM2"/>
    <mergeCell ref="BM3:BM4"/>
    <mergeCell ref="BC1:BD1"/>
    <mergeCell ref="BF1:BG1"/>
  </mergeCells>
  <phoneticPr fontId="32" type="noConversion"/>
  <pageMargins left="0.7" right="0.7" top="0.75" bottom="0.75" header="0.3" footer="0.3"/>
  <pageSetup paperSize="9" orientation="portrait" horizontalDpi="2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00B050"/>
  </sheetPr>
  <dimension ref="A1:BN28"/>
  <sheetViews>
    <sheetView zoomScale="70" zoomScaleNormal="70" workbookViewId="0">
      <pane xSplit="9" ySplit="2" topLeftCell="AK3" activePane="bottomRight" state="frozen"/>
      <selection pane="topRight"/>
      <selection pane="bottomLeft"/>
      <selection pane="bottomRight" activeCell="AT40" sqref="AT40"/>
    </sheetView>
  </sheetViews>
  <sheetFormatPr baseColWidth="10" defaultColWidth="9" defaultRowHeight="14"/>
  <cols>
    <col min="1" max="1" width="6.33203125" style="77" customWidth="1"/>
    <col min="2" max="2" width="4.33203125" style="20" customWidth="1"/>
    <col min="3" max="3" width="21.5" style="121" customWidth="1"/>
    <col min="4" max="5" width="6.1640625" customWidth="1"/>
    <col min="6" max="6" width="7" customWidth="1"/>
    <col min="7" max="7" width="8" hidden="1" customWidth="1"/>
    <col min="8" max="9" width="8" customWidth="1"/>
    <col min="10" max="12" width="9" style="1" hidden="1" customWidth="1"/>
    <col min="13" max="18" width="10.5" hidden="1" customWidth="1"/>
    <col min="19" max="24" width="9.33203125" hidden="1" customWidth="1"/>
    <col min="25" max="30" width="9" hidden="1" customWidth="1"/>
    <col min="31" max="36" width="9.33203125" hidden="1" customWidth="1"/>
    <col min="37" max="42" width="10.33203125" hidden="1" customWidth="1"/>
    <col min="43" max="48" width="9.83203125" customWidth="1"/>
    <col min="49" max="49" width="9" customWidth="1"/>
    <col min="50" max="50" width="10.1640625" customWidth="1"/>
    <col min="51" max="51" width="9" customWidth="1"/>
    <col min="52" max="53" width="10.33203125" customWidth="1"/>
    <col min="54" max="54" width="9" customWidth="1"/>
    <col min="55" max="60" width="10.1640625" style="20" customWidth="1"/>
    <col min="61" max="61" width="10.5" hidden="1" customWidth="1"/>
    <col min="62" max="62" width="10.83203125" hidden="1" customWidth="1"/>
    <col min="63" max="63" width="10.5" style="50" hidden="1" customWidth="1"/>
    <col min="64" max="64" width="10.5" style="20" hidden="1" customWidth="1"/>
    <col min="65" max="65" width="10.5" style="20" customWidth="1"/>
    <col min="66" max="66" width="10.33203125"/>
  </cols>
  <sheetData>
    <row r="1" spans="1:66">
      <c r="A1" s="199" t="s">
        <v>44</v>
      </c>
      <c r="B1" s="200" t="s">
        <v>45</v>
      </c>
      <c r="C1" s="200" t="s">
        <v>132</v>
      </c>
      <c r="D1" s="197" t="s">
        <v>47</v>
      </c>
      <c r="E1" s="197" t="s">
        <v>48</v>
      </c>
      <c r="F1" s="197" t="s">
        <v>49</v>
      </c>
      <c r="G1" s="197" t="s">
        <v>50</v>
      </c>
      <c r="H1" s="197" t="s">
        <v>51</v>
      </c>
      <c r="I1" s="201" t="s">
        <v>38</v>
      </c>
      <c r="J1" s="205" t="s">
        <v>3</v>
      </c>
      <c r="K1" s="206"/>
      <c r="L1" s="203" t="s">
        <v>4</v>
      </c>
      <c r="M1" s="197" t="s">
        <v>5</v>
      </c>
      <c r="N1" s="197"/>
      <c r="O1" s="196" t="s">
        <v>4</v>
      </c>
      <c r="P1" s="197" t="s">
        <v>39</v>
      </c>
      <c r="Q1" s="197"/>
      <c r="R1" s="196" t="s">
        <v>4</v>
      </c>
      <c r="S1" s="197" t="s">
        <v>6</v>
      </c>
      <c r="T1" s="197"/>
      <c r="U1" s="196" t="s">
        <v>4</v>
      </c>
      <c r="V1" s="197" t="s">
        <v>7</v>
      </c>
      <c r="W1" s="197"/>
      <c r="X1" s="196" t="s">
        <v>4</v>
      </c>
      <c r="Y1" s="197" t="s">
        <v>8</v>
      </c>
      <c r="Z1" s="197"/>
      <c r="AA1" s="196" t="s">
        <v>4</v>
      </c>
      <c r="AB1" s="197" t="s">
        <v>9</v>
      </c>
      <c r="AC1" s="197"/>
      <c r="AD1" s="196" t="s">
        <v>4</v>
      </c>
      <c r="AE1" s="197" t="s">
        <v>10</v>
      </c>
      <c r="AF1" s="197"/>
      <c r="AG1" s="196" t="s">
        <v>4</v>
      </c>
      <c r="AH1" s="197" t="s">
        <v>11</v>
      </c>
      <c r="AI1" s="197"/>
      <c r="AJ1" s="196" t="s">
        <v>4</v>
      </c>
      <c r="AK1" s="197" t="s">
        <v>12</v>
      </c>
      <c r="AL1" s="197"/>
      <c r="AM1" s="196" t="s">
        <v>4</v>
      </c>
      <c r="AN1" s="197" t="s">
        <v>13</v>
      </c>
      <c r="AO1" s="197"/>
      <c r="AP1" s="196" t="s">
        <v>4</v>
      </c>
      <c r="AQ1" s="197" t="s">
        <v>14</v>
      </c>
      <c r="AR1" s="197"/>
      <c r="AS1" s="196" t="s">
        <v>4</v>
      </c>
      <c r="AT1" s="197" t="s">
        <v>15</v>
      </c>
      <c r="AU1" s="197"/>
      <c r="AV1" s="187" t="s">
        <v>4</v>
      </c>
      <c r="AW1" s="197" t="s">
        <v>16</v>
      </c>
      <c r="AX1" s="197"/>
      <c r="AY1" s="196" t="s">
        <v>4</v>
      </c>
      <c r="AZ1" s="197" t="s">
        <v>17</v>
      </c>
      <c r="BA1" s="197"/>
      <c r="BB1" s="187" t="s">
        <v>4</v>
      </c>
      <c r="BC1" s="191" t="s">
        <v>18</v>
      </c>
      <c r="BD1" s="192"/>
      <c r="BE1" s="187" t="s">
        <v>4</v>
      </c>
      <c r="BF1" s="191" t="s">
        <v>19</v>
      </c>
      <c r="BG1" s="192"/>
      <c r="BH1" s="187" t="s">
        <v>4</v>
      </c>
      <c r="BI1" s="129" t="s">
        <v>40</v>
      </c>
      <c r="BJ1" s="129" t="s">
        <v>41</v>
      </c>
      <c r="BK1" s="129" t="s">
        <v>42</v>
      </c>
      <c r="BL1" s="64" t="s">
        <v>133</v>
      </c>
      <c r="BM1" s="198" t="s">
        <v>20</v>
      </c>
    </row>
    <row r="2" spans="1:66">
      <c r="A2" s="199"/>
      <c r="B2" s="200"/>
      <c r="C2" s="200"/>
      <c r="D2" s="197"/>
      <c r="E2" s="197"/>
      <c r="F2" s="197"/>
      <c r="G2" s="197"/>
      <c r="H2" s="197"/>
      <c r="I2" s="202"/>
      <c r="J2" s="63" t="s">
        <v>21</v>
      </c>
      <c r="K2" s="64" t="s">
        <v>22</v>
      </c>
      <c r="L2" s="204"/>
      <c r="M2" s="35" t="s">
        <v>21</v>
      </c>
      <c r="N2" s="35" t="s">
        <v>22</v>
      </c>
      <c r="O2" s="196"/>
      <c r="P2" s="35" t="s">
        <v>21</v>
      </c>
      <c r="Q2" s="35" t="s">
        <v>22</v>
      </c>
      <c r="R2" s="196"/>
      <c r="S2" s="35" t="s">
        <v>21</v>
      </c>
      <c r="T2" s="35" t="s">
        <v>22</v>
      </c>
      <c r="U2" s="196"/>
      <c r="V2" s="35" t="s">
        <v>21</v>
      </c>
      <c r="W2" s="35" t="s">
        <v>22</v>
      </c>
      <c r="X2" s="196"/>
      <c r="Y2" s="35" t="s">
        <v>21</v>
      </c>
      <c r="Z2" s="35" t="s">
        <v>22</v>
      </c>
      <c r="AA2" s="196"/>
      <c r="AB2" s="35" t="s">
        <v>21</v>
      </c>
      <c r="AC2" s="35" t="s">
        <v>22</v>
      </c>
      <c r="AD2" s="196"/>
      <c r="AE2" s="35" t="s">
        <v>21</v>
      </c>
      <c r="AF2" s="35" t="s">
        <v>22</v>
      </c>
      <c r="AG2" s="196"/>
      <c r="AH2" s="35" t="s">
        <v>21</v>
      </c>
      <c r="AI2" s="35" t="s">
        <v>22</v>
      </c>
      <c r="AJ2" s="196"/>
      <c r="AK2" s="35" t="s">
        <v>21</v>
      </c>
      <c r="AL2" s="35" t="s">
        <v>22</v>
      </c>
      <c r="AM2" s="196"/>
      <c r="AN2" s="35" t="s">
        <v>21</v>
      </c>
      <c r="AO2" s="35" t="s">
        <v>22</v>
      </c>
      <c r="AP2" s="196"/>
      <c r="AQ2" s="35" t="s">
        <v>21</v>
      </c>
      <c r="AR2" s="35" t="s">
        <v>22</v>
      </c>
      <c r="AS2" s="196"/>
      <c r="AT2" s="35" t="s">
        <v>21</v>
      </c>
      <c r="AU2" s="35" t="s">
        <v>22</v>
      </c>
      <c r="AV2" s="187"/>
      <c r="AW2" s="35" t="s">
        <v>21</v>
      </c>
      <c r="AX2" s="35" t="s">
        <v>22</v>
      </c>
      <c r="AY2" s="196"/>
      <c r="AZ2" s="35" t="s">
        <v>21</v>
      </c>
      <c r="BA2" s="35" t="s">
        <v>22</v>
      </c>
      <c r="BB2" s="187"/>
      <c r="BC2" s="35" t="s">
        <v>21</v>
      </c>
      <c r="BD2" s="35" t="s">
        <v>22</v>
      </c>
      <c r="BE2" s="187"/>
      <c r="BF2" s="35" t="s">
        <v>21</v>
      </c>
      <c r="BG2" s="35" t="s">
        <v>22</v>
      </c>
      <c r="BH2" s="187"/>
      <c r="BI2" s="64" t="s">
        <v>21</v>
      </c>
      <c r="BJ2" s="64" t="s">
        <v>21</v>
      </c>
      <c r="BK2" s="64" t="s">
        <v>21</v>
      </c>
      <c r="BL2" s="64" t="s">
        <v>21</v>
      </c>
      <c r="BM2" s="198"/>
      <c r="BN2" t="s">
        <v>53</v>
      </c>
    </row>
    <row r="3" spans="1:66">
      <c r="A3" s="22" t="s">
        <v>27</v>
      </c>
      <c r="B3" s="80" t="s">
        <v>27</v>
      </c>
      <c r="C3" s="174" t="s">
        <v>134</v>
      </c>
      <c r="D3" s="122" t="s">
        <v>61</v>
      </c>
      <c r="E3" s="122" t="s">
        <v>61</v>
      </c>
      <c r="F3" s="175" t="s">
        <v>135</v>
      </c>
      <c r="G3" s="176" t="s">
        <v>135</v>
      </c>
      <c r="H3" s="33" t="s">
        <v>136</v>
      </c>
      <c r="I3" s="33">
        <v>15</v>
      </c>
      <c r="J3" s="61"/>
      <c r="K3" s="61"/>
      <c r="L3" s="92" t="e">
        <f>K3/J3-1</f>
        <v>#DIV/0!</v>
      </c>
      <c r="M3" s="28"/>
      <c r="N3" s="28">
        <v>4405</v>
      </c>
      <c r="O3" s="92" t="e">
        <f>N3/M3-1</f>
        <v>#DIV/0!</v>
      </c>
      <c r="P3" s="28">
        <f>M3+J3</f>
        <v>0</v>
      </c>
      <c r="Q3" s="28">
        <f>N3+K3</f>
        <v>4405</v>
      </c>
      <c r="R3" s="92" t="e">
        <f>Q3/P3-1</f>
        <v>#DIV/0!</v>
      </c>
      <c r="S3" s="22">
        <v>10579</v>
      </c>
      <c r="T3" s="22">
        <v>30000</v>
      </c>
      <c r="U3" s="92">
        <f t="shared" ref="U3:U20" si="0">T3/S3-1</f>
        <v>1.83580678703091</v>
      </c>
      <c r="V3" s="22">
        <f>S3+P3</f>
        <v>10579</v>
      </c>
      <c r="W3" s="22">
        <f>Q3+T3</f>
        <v>34405</v>
      </c>
      <c r="X3" s="92">
        <f t="shared" ref="X3:X20" si="1">W3/V3-1</f>
        <v>2.2521977502599499</v>
      </c>
      <c r="Y3" s="40"/>
      <c r="Z3" s="40"/>
      <c r="AA3" s="92" t="e">
        <f t="shared" ref="AA3:AA20" si="2">Z3/Y3-1</f>
        <v>#DIV/0!</v>
      </c>
      <c r="AB3" s="22">
        <f>V3+Y3</f>
        <v>10579</v>
      </c>
      <c r="AC3" s="22">
        <f>W3+Z3</f>
        <v>34405</v>
      </c>
      <c r="AD3" s="92">
        <f t="shared" ref="AD3:AD20" si="3">AC3/AB3-1</f>
        <v>2.2521977502599499</v>
      </c>
      <c r="AE3" s="22"/>
      <c r="AF3" s="22"/>
      <c r="AG3" s="92" t="e">
        <f t="shared" ref="AG3:AG21" si="4">AF3/AE3-1</f>
        <v>#DIV/0!</v>
      </c>
      <c r="AH3" s="22">
        <f>AE3+AB3</f>
        <v>10579</v>
      </c>
      <c r="AI3" s="22">
        <f>AF3+AC3</f>
        <v>34405</v>
      </c>
      <c r="AJ3" s="92">
        <f t="shared" ref="AJ3:AJ21" si="5">AI3/AH3-1</f>
        <v>2.2521977502599499</v>
      </c>
      <c r="AK3" s="101">
        <v>6097</v>
      </c>
      <c r="AL3" s="101"/>
      <c r="AM3" s="92">
        <f t="shared" ref="AM3:AM23" si="6">AL3/AK3-1</f>
        <v>-1</v>
      </c>
      <c r="AN3" s="101">
        <f>AH3+AK3</f>
        <v>16676</v>
      </c>
      <c r="AO3" s="101">
        <f>AI3+AL3</f>
        <v>34405</v>
      </c>
      <c r="AP3" s="92">
        <f>AO3/AN3-1</f>
        <v>1.0631446390021599</v>
      </c>
      <c r="AQ3" s="39">
        <v>8810</v>
      </c>
      <c r="AR3" s="39"/>
      <c r="AS3" s="92">
        <f t="shared" ref="AS3:AS23" si="7">AR3/AQ3-1</f>
        <v>-1</v>
      </c>
      <c r="AT3" s="39">
        <f>AQ3+AN3</f>
        <v>25486</v>
      </c>
      <c r="AU3" s="39">
        <f>AR3+AO3</f>
        <v>34405</v>
      </c>
      <c r="AV3" s="92">
        <f t="shared" ref="AV3:AV23" si="8">AU3/AT3-1</f>
        <v>0.34995683904889002</v>
      </c>
      <c r="AW3" s="126"/>
      <c r="AX3" s="126"/>
      <c r="AY3" s="92" t="e">
        <f>AX3/AW3-1</f>
        <v>#DIV/0!</v>
      </c>
      <c r="AZ3" s="126">
        <f>AW3+AT3</f>
        <v>25486</v>
      </c>
      <c r="BA3" s="126">
        <f>AX3+AU3</f>
        <v>34405</v>
      </c>
      <c r="BB3" s="92">
        <f t="shared" ref="BB3:BB23" si="9">BA3/AZ3-1</f>
        <v>0.34995683904889002</v>
      </c>
      <c r="BC3" s="38">
        <v>2148</v>
      </c>
      <c r="BD3" s="38"/>
      <c r="BE3" s="92">
        <f>BD3/BC3-1</f>
        <v>-1</v>
      </c>
      <c r="BF3" s="38">
        <f>BC3+AZ3</f>
        <v>27634</v>
      </c>
      <c r="BG3" s="38">
        <f>BD3+BA3</f>
        <v>34405</v>
      </c>
      <c r="BH3" s="92">
        <f>BG3/BF3-1</f>
        <v>0.24502424549467999</v>
      </c>
      <c r="BI3" s="22"/>
      <c r="BJ3" s="28"/>
      <c r="BK3" s="61">
        <v>2148</v>
      </c>
      <c r="BL3" s="61">
        <v>29782</v>
      </c>
      <c r="BM3" s="71">
        <f>BG3/10000/I3</f>
        <v>0.229366666666667</v>
      </c>
    </row>
    <row r="4" spans="1:66">
      <c r="A4" s="22" t="s">
        <v>27</v>
      </c>
      <c r="B4" s="80" t="s">
        <v>27</v>
      </c>
      <c r="C4" s="81" t="s">
        <v>137</v>
      </c>
      <c r="D4" s="122" t="s">
        <v>65</v>
      </c>
      <c r="E4" s="122" t="s">
        <v>65</v>
      </c>
      <c r="F4" s="175" t="s">
        <v>138</v>
      </c>
      <c r="G4" s="176" t="s">
        <v>138</v>
      </c>
      <c r="H4" s="33" t="s">
        <v>139</v>
      </c>
      <c r="I4" s="33"/>
      <c r="J4" s="61">
        <v>2000</v>
      </c>
      <c r="K4" s="61">
        <v>3500</v>
      </c>
      <c r="L4" s="92">
        <f t="shared" ref="L4:L20" si="10">K4/J4-1</f>
        <v>0.75</v>
      </c>
      <c r="M4" s="28"/>
      <c r="N4" s="28">
        <v>10000</v>
      </c>
      <c r="O4" s="92" t="e">
        <f t="shared" ref="O4:O20" si="11">N4/M4-1</f>
        <v>#DIV/0!</v>
      </c>
      <c r="P4" s="28">
        <f t="shared" ref="P4:P20" si="12">M4+J4</f>
        <v>2000</v>
      </c>
      <c r="Q4" s="28">
        <f t="shared" ref="Q4:Q20" si="13">N4+K4</f>
        <v>13500</v>
      </c>
      <c r="R4" s="92">
        <f t="shared" ref="R4:R20" si="14">Q4/P4-1</f>
        <v>5.75</v>
      </c>
      <c r="S4" s="22"/>
      <c r="T4" s="22">
        <v>13017.06</v>
      </c>
      <c r="U4" s="92" t="e">
        <f t="shared" si="0"/>
        <v>#DIV/0!</v>
      </c>
      <c r="V4" s="22">
        <f t="shared" ref="V4:V20" si="15">S4+P4</f>
        <v>2000</v>
      </c>
      <c r="W4" s="22">
        <f t="shared" ref="W4:W20" si="16">Q4+T4</f>
        <v>26517.06</v>
      </c>
      <c r="X4" s="92">
        <f t="shared" si="1"/>
        <v>12.25853</v>
      </c>
      <c r="Y4" s="39">
        <v>58500</v>
      </c>
      <c r="Z4" s="39"/>
      <c r="AA4" s="92">
        <f t="shared" si="2"/>
        <v>-1</v>
      </c>
      <c r="AB4" s="22">
        <f t="shared" ref="AB4:AB20" si="17">V4+Y4</f>
        <v>60500</v>
      </c>
      <c r="AC4" s="22">
        <f t="shared" ref="AC4:AC20" si="18">W4+Z4</f>
        <v>26517.06</v>
      </c>
      <c r="AD4" s="92">
        <f t="shared" si="3"/>
        <v>-0.56170148760330596</v>
      </c>
      <c r="AE4" s="22">
        <v>47100</v>
      </c>
      <c r="AF4" s="22"/>
      <c r="AG4" s="92">
        <f t="shared" si="4"/>
        <v>-1</v>
      </c>
      <c r="AH4" s="22">
        <f t="shared" ref="AH4:AH21" si="19">AE4+AB4</f>
        <v>107600</v>
      </c>
      <c r="AI4" s="22">
        <f t="shared" ref="AI4:AI21" si="20">AF4+AC4</f>
        <v>26517.06</v>
      </c>
      <c r="AJ4" s="92">
        <f t="shared" si="5"/>
        <v>-0.75355892193308505</v>
      </c>
      <c r="AK4" s="101">
        <v>104700</v>
      </c>
      <c r="AL4" s="101"/>
      <c r="AM4" s="92">
        <f t="shared" si="6"/>
        <v>-1</v>
      </c>
      <c r="AN4" s="101">
        <f t="shared" ref="AN4:AN22" si="21">AH4+AK4</f>
        <v>212300</v>
      </c>
      <c r="AO4" s="101">
        <f t="shared" ref="AO4:AO22" si="22">AI4+AL4</f>
        <v>26517.06</v>
      </c>
      <c r="AP4" s="92">
        <f>AO4/AN4-1</f>
        <v>-0.87509627885068297</v>
      </c>
      <c r="AQ4" s="39">
        <v>2311</v>
      </c>
      <c r="AR4" s="39"/>
      <c r="AS4" s="92">
        <f t="shared" si="7"/>
        <v>-1</v>
      </c>
      <c r="AT4" s="39">
        <f t="shared" ref="AT4:AT22" si="23">AQ4+AN4</f>
        <v>214611</v>
      </c>
      <c r="AU4" s="39">
        <f t="shared" ref="AU4:AU22" si="24">AR4+AO4</f>
        <v>26517.06</v>
      </c>
      <c r="AV4" s="92">
        <f t="shared" si="8"/>
        <v>-0.87644128213372097</v>
      </c>
      <c r="AW4" s="126"/>
      <c r="AX4" s="126"/>
      <c r="AY4" s="92" t="e">
        <f t="shared" ref="AY4:AY23" si="25">AX4/AW4-1</f>
        <v>#DIV/0!</v>
      </c>
      <c r="AZ4" s="126">
        <f t="shared" ref="AZ4:AZ22" si="26">AW4+AT4</f>
        <v>214611</v>
      </c>
      <c r="BA4" s="126">
        <f t="shared" ref="BA4:BA22" si="27">AX4+AU4</f>
        <v>26517.06</v>
      </c>
      <c r="BB4" s="92">
        <f t="shared" si="9"/>
        <v>-0.87644128213372097</v>
      </c>
      <c r="BC4" s="38">
        <v>91007</v>
      </c>
      <c r="BD4" s="38"/>
      <c r="BE4" s="92">
        <f t="shared" ref="BE4:BE23" si="28">BD4/BC4-1</f>
        <v>-1</v>
      </c>
      <c r="BF4" s="38">
        <f t="shared" ref="BF4:BF22" si="29">BC4+AZ4</f>
        <v>305618</v>
      </c>
      <c r="BG4" s="38">
        <f t="shared" ref="BG4:BG22" si="30">BD4+BA4</f>
        <v>26517.06</v>
      </c>
      <c r="BH4" s="92">
        <f t="shared" ref="BH4:BH23" si="31">BG4/BF4-1</f>
        <v>-0.91323462623274798</v>
      </c>
      <c r="BI4" s="22">
        <v>40000</v>
      </c>
      <c r="BJ4" s="28">
        <v>109300</v>
      </c>
      <c r="BK4" s="61">
        <v>113080</v>
      </c>
      <c r="BL4" s="61">
        <v>567998</v>
      </c>
      <c r="BM4" s="71" t="e">
        <f t="shared" ref="BM4:BM23" si="32">BG4/10000/I4</f>
        <v>#DIV/0!</v>
      </c>
    </row>
    <row r="5" spans="1:66">
      <c r="A5" s="22" t="s">
        <v>27</v>
      </c>
      <c r="B5" s="80" t="s">
        <v>27</v>
      </c>
      <c r="C5" s="174" t="s">
        <v>140</v>
      </c>
      <c r="D5" s="122" t="s">
        <v>56</v>
      </c>
      <c r="E5" s="122" t="s">
        <v>56</v>
      </c>
      <c r="F5" s="122" t="s">
        <v>141</v>
      </c>
      <c r="G5" s="33" t="s">
        <v>80</v>
      </c>
      <c r="H5" s="33" t="s">
        <v>142</v>
      </c>
      <c r="I5" s="33">
        <v>600</v>
      </c>
      <c r="J5" s="61">
        <v>200000</v>
      </c>
      <c r="K5" s="61">
        <v>400000</v>
      </c>
      <c r="L5" s="92">
        <f t="shared" si="10"/>
        <v>1</v>
      </c>
      <c r="M5" s="28">
        <v>300000</v>
      </c>
      <c r="N5" s="28">
        <v>300000</v>
      </c>
      <c r="O5" s="92">
        <f t="shared" si="11"/>
        <v>0</v>
      </c>
      <c r="P5" s="28">
        <f t="shared" si="12"/>
        <v>500000</v>
      </c>
      <c r="Q5" s="28">
        <f t="shared" si="13"/>
        <v>700000</v>
      </c>
      <c r="R5" s="92">
        <f t="shared" si="14"/>
        <v>0.4</v>
      </c>
      <c r="S5" s="22"/>
      <c r="T5" s="22">
        <f>40000+170000</f>
        <v>210000</v>
      </c>
      <c r="U5" s="92" t="e">
        <f t="shared" si="0"/>
        <v>#DIV/0!</v>
      </c>
      <c r="V5" s="22">
        <f t="shared" si="15"/>
        <v>500000</v>
      </c>
      <c r="W5" s="22">
        <f t="shared" si="16"/>
        <v>910000</v>
      </c>
      <c r="X5" s="92">
        <f t="shared" si="1"/>
        <v>0.82</v>
      </c>
      <c r="Y5" s="39">
        <v>250000</v>
      </c>
      <c r="Z5" s="39">
        <v>400000</v>
      </c>
      <c r="AA5" s="92">
        <f t="shared" si="2"/>
        <v>0.6</v>
      </c>
      <c r="AB5" s="22">
        <f t="shared" si="17"/>
        <v>750000</v>
      </c>
      <c r="AC5" s="22">
        <f t="shared" si="18"/>
        <v>1310000</v>
      </c>
      <c r="AD5" s="92">
        <f t="shared" si="3"/>
        <v>0.74666666666666703</v>
      </c>
      <c r="AE5" s="22">
        <v>420000</v>
      </c>
      <c r="AF5" s="22">
        <v>180000</v>
      </c>
      <c r="AG5" s="92">
        <f t="shared" si="4"/>
        <v>-0.57142857142857095</v>
      </c>
      <c r="AH5" s="22">
        <f t="shared" si="19"/>
        <v>1170000</v>
      </c>
      <c r="AI5" s="22">
        <f t="shared" si="20"/>
        <v>1490000</v>
      </c>
      <c r="AJ5" s="92">
        <f t="shared" si="5"/>
        <v>0.27350427350427298</v>
      </c>
      <c r="AK5" s="101">
        <v>150000</v>
      </c>
      <c r="AL5" s="101">
        <v>200000</v>
      </c>
      <c r="AM5" s="92">
        <f t="shared" si="6"/>
        <v>0.33333333333333298</v>
      </c>
      <c r="AN5" s="101">
        <f t="shared" si="21"/>
        <v>1320000</v>
      </c>
      <c r="AO5" s="101">
        <f t="shared" si="22"/>
        <v>1690000</v>
      </c>
      <c r="AP5" s="92">
        <f t="shared" ref="AP5:AP23" si="33">AO5/AN5-1</f>
        <v>0.28030303030303</v>
      </c>
      <c r="AQ5" s="39">
        <v>200000</v>
      </c>
      <c r="AR5" s="39">
        <v>250000</v>
      </c>
      <c r="AS5" s="92">
        <f t="shared" si="7"/>
        <v>0.25</v>
      </c>
      <c r="AT5" s="39">
        <f t="shared" si="23"/>
        <v>1520000</v>
      </c>
      <c r="AU5" s="39">
        <f t="shared" si="24"/>
        <v>1940000</v>
      </c>
      <c r="AV5" s="92">
        <f t="shared" si="8"/>
        <v>0.27631578947368401</v>
      </c>
      <c r="AW5" s="126">
        <v>250000</v>
      </c>
      <c r="AX5" s="126">
        <v>200000</v>
      </c>
      <c r="AY5" s="92">
        <f t="shared" si="25"/>
        <v>-0.2</v>
      </c>
      <c r="AZ5" s="126">
        <f t="shared" si="26"/>
        <v>1770000</v>
      </c>
      <c r="BA5" s="126">
        <f t="shared" si="27"/>
        <v>2140000</v>
      </c>
      <c r="BB5" s="92">
        <f t="shared" si="9"/>
        <v>0.209039548022599</v>
      </c>
      <c r="BC5" s="38">
        <v>259764.14</v>
      </c>
      <c r="BD5" s="38">
        <v>160000</v>
      </c>
      <c r="BE5" s="92">
        <f t="shared" si="28"/>
        <v>-0.384056629217566</v>
      </c>
      <c r="BF5" s="38">
        <f t="shared" si="29"/>
        <v>2029764.14</v>
      </c>
      <c r="BG5" s="38">
        <f t="shared" si="30"/>
        <v>2300000</v>
      </c>
      <c r="BH5" s="92">
        <f t="shared" si="31"/>
        <v>0.13313658206613099</v>
      </c>
      <c r="BI5" s="22">
        <v>440000</v>
      </c>
      <c r="BJ5" s="28">
        <v>600000</v>
      </c>
      <c r="BK5" s="61">
        <v>900000</v>
      </c>
      <c r="BL5" s="61">
        <v>3969764.14</v>
      </c>
      <c r="BM5" s="71">
        <f t="shared" si="32"/>
        <v>0.38333333333333303</v>
      </c>
      <c r="BN5">
        <v>170000</v>
      </c>
    </row>
    <row r="6" spans="1:66" ht="12" customHeight="1">
      <c r="A6" s="22" t="s">
        <v>27</v>
      </c>
      <c r="B6" s="80" t="s">
        <v>27</v>
      </c>
      <c r="C6" s="81" t="s">
        <v>143</v>
      </c>
      <c r="D6" s="122" t="s">
        <v>61</v>
      </c>
      <c r="E6" s="122" t="s">
        <v>61</v>
      </c>
      <c r="F6" s="175" t="s">
        <v>144</v>
      </c>
      <c r="G6" s="176" t="s">
        <v>144</v>
      </c>
      <c r="H6" s="33" t="s">
        <v>139</v>
      </c>
      <c r="I6" s="33">
        <v>70</v>
      </c>
      <c r="J6" s="61"/>
      <c r="K6" s="61">
        <v>23268</v>
      </c>
      <c r="L6" s="125" t="e">
        <f t="shared" si="10"/>
        <v>#DIV/0!</v>
      </c>
      <c r="M6" s="111"/>
      <c r="N6" s="111">
        <v>20000</v>
      </c>
      <c r="O6" s="125" t="e">
        <f t="shared" si="11"/>
        <v>#DIV/0!</v>
      </c>
      <c r="P6" s="111">
        <f t="shared" si="12"/>
        <v>0</v>
      </c>
      <c r="Q6" s="111">
        <f t="shared" si="13"/>
        <v>43268</v>
      </c>
      <c r="R6" s="125" t="e">
        <f t="shared" si="14"/>
        <v>#DIV/0!</v>
      </c>
      <c r="S6" s="22">
        <f>138700+11340</f>
        <v>150040</v>
      </c>
      <c r="T6" s="22">
        <f>505+110381</f>
        <v>110886</v>
      </c>
      <c r="U6" s="92">
        <f t="shared" si="0"/>
        <v>-0.26095707811250302</v>
      </c>
      <c r="V6" s="22">
        <f t="shared" si="15"/>
        <v>150040</v>
      </c>
      <c r="W6" s="22">
        <f t="shared" si="16"/>
        <v>154154</v>
      </c>
      <c r="X6" s="92">
        <f t="shared" si="1"/>
        <v>2.7419354838709602E-2</v>
      </c>
      <c r="Y6" s="38"/>
      <c r="Z6" s="38"/>
      <c r="AA6" s="92" t="e">
        <f t="shared" si="2"/>
        <v>#DIV/0!</v>
      </c>
      <c r="AB6" s="22">
        <f t="shared" si="17"/>
        <v>150040</v>
      </c>
      <c r="AC6" s="22">
        <f t="shared" si="18"/>
        <v>154154</v>
      </c>
      <c r="AD6" s="92">
        <f t="shared" si="3"/>
        <v>2.7419354838709602E-2</v>
      </c>
      <c r="AE6" s="22">
        <v>39000</v>
      </c>
      <c r="AF6" s="22">
        <v>31123</v>
      </c>
      <c r="AG6" s="92">
        <f t="shared" si="4"/>
        <v>-0.201974358974359</v>
      </c>
      <c r="AH6" s="22">
        <f t="shared" si="19"/>
        <v>189040</v>
      </c>
      <c r="AI6" s="22">
        <f t="shared" si="20"/>
        <v>185277</v>
      </c>
      <c r="AJ6" s="92">
        <f t="shared" si="5"/>
        <v>-1.9905840033855302E-2</v>
      </c>
      <c r="AK6" s="101">
        <f>26000+115000</f>
        <v>141000</v>
      </c>
      <c r="AL6" s="101">
        <v>25000</v>
      </c>
      <c r="AM6" s="92">
        <f t="shared" si="6"/>
        <v>-0.82269503546099298</v>
      </c>
      <c r="AN6" s="101">
        <f t="shared" si="21"/>
        <v>330040</v>
      </c>
      <c r="AO6" s="101">
        <f t="shared" si="22"/>
        <v>210277</v>
      </c>
      <c r="AP6" s="92">
        <f t="shared" si="33"/>
        <v>-0.36287419706702201</v>
      </c>
      <c r="AQ6" s="38">
        <v>2746.26</v>
      </c>
      <c r="AR6" s="39">
        <v>26000</v>
      </c>
      <c r="AS6" s="92">
        <f t="shared" si="7"/>
        <v>8.4674211473057905</v>
      </c>
      <c r="AT6" s="39">
        <f t="shared" si="23"/>
        <v>332786.26</v>
      </c>
      <c r="AU6" s="39">
        <f t="shared" si="24"/>
        <v>236277</v>
      </c>
      <c r="AV6" s="92">
        <f t="shared" si="8"/>
        <v>-0.290003739938061</v>
      </c>
      <c r="AW6" s="127"/>
      <c r="AX6" s="126">
        <v>81471</v>
      </c>
      <c r="AY6" s="92" t="e">
        <f t="shared" si="25"/>
        <v>#DIV/0!</v>
      </c>
      <c r="AZ6" s="126">
        <f t="shared" si="26"/>
        <v>332786.26</v>
      </c>
      <c r="BA6" s="126">
        <f t="shared" si="27"/>
        <v>317748</v>
      </c>
      <c r="BB6" s="92">
        <f t="shared" si="9"/>
        <v>-4.51889450003135E-2</v>
      </c>
      <c r="BC6" s="38"/>
      <c r="BD6" s="38">
        <v>52000</v>
      </c>
      <c r="BE6" s="92" t="e">
        <f t="shared" si="28"/>
        <v>#DIV/0!</v>
      </c>
      <c r="BF6" s="38">
        <f t="shared" si="29"/>
        <v>332786.26</v>
      </c>
      <c r="BG6" s="38">
        <f t="shared" si="30"/>
        <v>369748</v>
      </c>
      <c r="BH6" s="92">
        <f t="shared" si="31"/>
        <v>0.111067506212546</v>
      </c>
      <c r="BI6" s="22">
        <f>-52392+87495</f>
        <v>35103</v>
      </c>
      <c r="BJ6" s="111">
        <f>-7894+13102+4456</f>
        <v>9664</v>
      </c>
      <c r="BK6" s="61">
        <v>41447</v>
      </c>
      <c r="BL6" s="61">
        <v>419000.26</v>
      </c>
      <c r="BM6" s="71">
        <f t="shared" si="32"/>
        <v>0.528211428571429</v>
      </c>
    </row>
    <row r="7" spans="1:66">
      <c r="A7" s="22" t="s">
        <v>27</v>
      </c>
      <c r="B7" s="80" t="s">
        <v>27</v>
      </c>
      <c r="C7" s="81" t="s">
        <v>145</v>
      </c>
      <c r="D7" s="122" t="s">
        <v>84</v>
      </c>
      <c r="E7" s="122" t="s">
        <v>84</v>
      </c>
      <c r="F7" s="175" t="s">
        <v>135</v>
      </c>
      <c r="G7" s="176" t="s">
        <v>135</v>
      </c>
      <c r="H7" s="33" t="s">
        <v>136</v>
      </c>
      <c r="I7" s="33">
        <v>75</v>
      </c>
      <c r="J7" s="61">
        <v>68740</v>
      </c>
      <c r="K7" s="61">
        <v>41556</v>
      </c>
      <c r="L7" s="92">
        <f t="shared" si="10"/>
        <v>-0.39546115798661602</v>
      </c>
      <c r="M7" s="28">
        <v>17488</v>
      </c>
      <c r="N7" s="28">
        <v>23930</v>
      </c>
      <c r="O7" s="92">
        <f t="shared" si="11"/>
        <v>0.36836688014638602</v>
      </c>
      <c r="P7" s="28">
        <f t="shared" si="12"/>
        <v>86228</v>
      </c>
      <c r="Q7" s="28">
        <f t="shared" si="13"/>
        <v>65486</v>
      </c>
      <c r="R7" s="92">
        <f t="shared" si="14"/>
        <v>-0.24054831377278801</v>
      </c>
      <c r="S7" s="22">
        <v>42550</v>
      </c>
      <c r="T7" s="22">
        <v>28616</v>
      </c>
      <c r="U7" s="92">
        <f t="shared" si="0"/>
        <v>-0.32747356051703902</v>
      </c>
      <c r="V7" s="22">
        <f t="shared" si="15"/>
        <v>128778</v>
      </c>
      <c r="W7" s="22">
        <f t="shared" si="16"/>
        <v>94102</v>
      </c>
      <c r="X7" s="92">
        <f t="shared" si="1"/>
        <v>-0.26926959573840198</v>
      </c>
      <c r="Y7" s="39">
        <v>48590</v>
      </c>
      <c r="Z7" s="39">
        <v>5936</v>
      </c>
      <c r="AA7" s="92">
        <f t="shared" si="2"/>
        <v>-0.877834945462029</v>
      </c>
      <c r="AB7" s="22">
        <f t="shared" si="17"/>
        <v>177368</v>
      </c>
      <c r="AC7" s="22">
        <f t="shared" si="18"/>
        <v>100038</v>
      </c>
      <c r="AD7" s="92">
        <f t="shared" si="3"/>
        <v>-0.43598619818682099</v>
      </c>
      <c r="AE7" s="22">
        <v>76270</v>
      </c>
      <c r="AF7" s="22">
        <v>33015</v>
      </c>
      <c r="AG7" s="92">
        <f t="shared" si="4"/>
        <v>-0.56712993313229298</v>
      </c>
      <c r="AH7" s="22">
        <f t="shared" si="19"/>
        <v>253638</v>
      </c>
      <c r="AI7" s="22">
        <f t="shared" si="20"/>
        <v>133053</v>
      </c>
      <c r="AJ7" s="92">
        <f t="shared" si="5"/>
        <v>-0.47542166394625401</v>
      </c>
      <c r="AK7" s="101">
        <v>39070</v>
      </c>
      <c r="AL7" s="101">
        <f>12199-7600</f>
        <v>4599</v>
      </c>
      <c r="AM7" s="92">
        <f t="shared" si="6"/>
        <v>-0.88228820066547198</v>
      </c>
      <c r="AN7" s="101">
        <f t="shared" si="21"/>
        <v>292708</v>
      </c>
      <c r="AO7" s="101">
        <f t="shared" si="22"/>
        <v>137652</v>
      </c>
      <c r="AP7" s="92">
        <f t="shared" si="33"/>
        <v>-0.52972928652445395</v>
      </c>
      <c r="AQ7" s="39">
        <v>10450</v>
      </c>
      <c r="AR7" s="39">
        <v>-4599</v>
      </c>
      <c r="AS7" s="92">
        <f t="shared" si="7"/>
        <v>-1.4400956937799001</v>
      </c>
      <c r="AT7" s="39">
        <f t="shared" si="23"/>
        <v>303158</v>
      </c>
      <c r="AU7" s="39">
        <f t="shared" si="24"/>
        <v>133053</v>
      </c>
      <c r="AV7" s="92">
        <f t="shared" si="8"/>
        <v>-0.561110048225678</v>
      </c>
      <c r="AW7" s="126">
        <v>21056</v>
      </c>
      <c r="AX7" s="126">
        <v>0</v>
      </c>
      <c r="AY7" s="92">
        <f t="shared" si="25"/>
        <v>-1</v>
      </c>
      <c r="AZ7" s="126">
        <f t="shared" si="26"/>
        <v>324214</v>
      </c>
      <c r="BA7" s="126">
        <f t="shared" si="27"/>
        <v>133053</v>
      </c>
      <c r="BB7" s="92">
        <f t="shared" si="9"/>
        <v>-0.58961365024335799</v>
      </c>
      <c r="BC7" s="38">
        <v>106142</v>
      </c>
      <c r="BD7" s="38"/>
      <c r="BE7" s="92">
        <f t="shared" si="28"/>
        <v>-1</v>
      </c>
      <c r="BF7" s="38">
        <f t="shared" si="29"/>
        <v>430356</v>
      </c>
      <c r="BG7" s="38">
        <f t="shared" si="30"/>
        <v>133053</v>
      </c>
      <c r="BH7" s="92">
        <f t="shared" si="31"/>
        <v>-0.69083038228815197</v>
      </c>
      <c r="BI7" s="22">
        <v>61139</v>
      </c>
      <c r="BJ7" s="28">
        <v>25316</v>
      </c>
      <c r="BK7" s="61">
        <v>115791</v>
      </c>
      <c r="BL7" s="61">
        <v>632602</v>
      </c>
      <c r="BM7" s="71">
        <f t="shared" si="32"/>
        <v>0.17740400000000001</v>
      </c>
    </row>
    <row r="8" spans="1:66">
      <c r="A8" s="22" t="s">
        <v>27</v>
      </c>
      <c r="B8" s="80" t="s">
        <v>27</v>
      </c>
      <c r="C8" s="81" t="s">
        <v>146</v>
      </c>
      <c r="D8" s="122" t="s">
        <v>88</v>
      </c>
      <c r="E8" s="122" t="s">
        <v>88</v>
      </c>
      <c r="F8" s="122" t="s">
        <v>141</v>
      </c>
      <c r="G8" s="33" t="s">
        <v>80</v>
      </c>
      <c r="H8" s="33" t="s">
        <v>139</v>
      </c>
      <c r="I8" s="33"/>
      <c r="J8" s="61">
        <v>216965.28</v>
      </c>
      <c r="K8" s="61">
        <v>4938</v>
      </c>
      <c r="L8" s="92">
        <f t="shared" si="10"/>
        <v>-0.97724059812703701</v>
      </c>
      <c r="M8" s="28">
        <v>59548</v>
      </c>
      <c r="N8" s="28"/>
      <c r="O8" s="92">
        <f t="shared" si="11"/>
        <v>-1</v>
      </c>
      <c r="P8" s="28">
        <f t="shared" si="12"/>
        <v>276513.28000000003</v>
      </c>
      <c r="Q8" s="28">
        <f t="shared" si="13"/>
        <v>4938</v>
      </c>
      <c r="R8" s="92">
        <f t="shared" si="14"/>
        <v>-0.98214190652976996</v>
      </c>
      <c r="S8" s="22">
        <v>97829.46</v>
      </c>
      <c r="T8" s="22">
        <v>2998</v>
      </c>
      <c r="U8" s="92">
        <f t="shared" si="0"/>
        <v>-0.96935483442308701</v>
      </c>
      <c r="V8" s="22">
        <f t="shared" si="15"/>
        <v>374342.74</v>
      </c>
      <c r="W8" s="22">
        <f t="shared" si="16"/>
        <v>7936</v>
      </c>
      <c r="X8" s="92">
        <f t="shared" si="1"/>
        <v>-0.97880017654409401</v>
      </c>
      <c r="Y8" s="39">
        <v>14652</v>
      </c>
      <c r="Z8" s="39">
        <v>2400</v>
      </c>
      <c r="AA8" s="92">
        <f t="shared" si="2"/>
        <v>-0.83619983619983596</v>
      </c>
      <c r="AB8" s="22">
        <f t="shared" si="17"/>
        <v>388994.74</v>
      </c>
      <c r="AC8" s="22">
        <f t="shared" si="18"/>
        <v>10336</v>
      </c>
      <c r="AD8" s="92">
        <f t="shared" si="3"/>
        <v>-0.97342894662277402</v>
      </c>
      <c r="AE8" s="22">
        <v>2100</v>
      </c>
      <c r="AF8" s="22">
        <v>11730</v>
      </c>
      <c r="AG8" s="92">
        <f t="shared" si="4"/>
        <v>4.5857142857142899</v>
      </c>
      <c r="AH8" s="22">
        <f t="shared" si="19"/>
        <v>391094.74</v>
      </c>
      <c r="AI8" s="22">
        <f t="shared" si="20"/>
        <v>22066</v>
      </c>
      <c r="AJ8" s="92">
        <f t="shared" si="5"/>
        <v>-0.94357888832767201</v>
      </c>
      <c r="AK8" s="101"/>
      <c r="AL8" s="101">
        <f>2998+7600</f>
        <v>10598</v>
      </c>
      <c r="AM8" s="92" t="e">
        <f t="shared" si="6"/>
        <v>#DIV/0!</v>
      </c>
      <c r="AN8" s="101">
        <f t="shared" si="21"/>
        <v>391094.74</v>
      </c>
      <c r="AO8" s="101">
        <f t="shared" si="22"/>
        <v>32664</v>
      </c>
      <c r="AP8" s="92">
        <f t="shared" si="33"/>
        <v>-0.91648059495763101</v>
      </c>
      <c r="AQ8" s="39">
        <v>18196</v>
      </c>
      <c r="AR8" s="39">
        <v>8400</v>
      </c>
      <c r="AS8" s="92">
        <f t="shared" si="7"/>
        <v>-0.538360079138272</v>
      </c>
      <c r="AT8" s="39">
        <f t="shared" si="23"/>
        <v>409290.74</v>
      </c>
      <c r="AU8" s="39">
        <f t="shared" si="24"/>
        <v>41064</v>
      </c>
      <c r="AV8" s="92">
        <f t="shared" si="8"/>
        <v>-0.89967034191880302</v>
      </c>
      <c r="AW8" s="126">
        <v>3666</v>
      </c>
      <c r="AX8" s="126">
        <v>8876</v>
      </c>
      <c r="AY8" s="92">
        <f t="shared" si="25"/>
        <v>1.42116748499727</v>
      </c>
      <c r="AZ8" s="126">
        <f t="shared" si="26"/>
        <v>412956.74</v>
      </c>
      <c r="BA8" s="126">
        <f t="shared" si="27"/>
        <v>49940</v>
      </c>
      <c r="BB8" s="92">
        <f t="shared" si="9"/>
        <v>-0.879067235953093</v>
      </c>
      <c r="BC8" s="38">
        <v>21554</v>
      </c>
      <c r="BD8" s="38"/>
      <c r="BE8" s="92">
        <f t="shared" si="28"/>
        <v>-1</v>
      </c>
      <c r="BF8" s="38">
        <f t="shared" si="29"/>
        <v>434510.74</v>
      </c>
      <c r="BG8" s="38">
        <f t="shared" si="30"/>
        <v>49940</v>
      </c>
      <c r="BH8" s="92">
        <f t="shared" si="31"/>
        <v>-0.88506613208225904</v>
      </c>
      <c r="BI8" s="22">
        <v>2796</v>
      </c>
      <c r="BJ8" s="28">
        <v>796</v>
      </c>
      <c r="BK8" s="61">
        <v>8848</v>
      </c>
      <c r="BL8" s="61">
        <v>446950.74</v>
      </c>
      <c r="BM8" s="71" t="e">
        <f t="shared" si="32"/>
        <v>#DIV/0!</v>
      </c>
    </row>
    <row r="9" spans="1:66">
      <c r="A9" s="22" t="s">
        <v>27</v>
      </c>
      <c r="B9" s="80" t="s">
        <v>27</v>
      </c>
      <c r="C9" s="81" t="s">
        <v>147</v>
      </c>
      <c r="D9" s="122" t="s">
        <v>61</v>
      </c>
      <c r="E9" s="122" t="s">
        <v>61</v>
      </c>
      <c r="F9" s="122" t="s">
        <v>141</v>
      </c>
      <c r="G9" s="176" t="s">
        <v>148</v>
      </c>
      <c r="H9" s="33" t="s">
        <v>139</v>
      </c>
      <c r="I9" s="33"/>
      <c r="J9" s="61">
        <v>4521</v>
      </c>
      <c r="K9" s="61"/>
      <c r="L9" s="92">
        <f t="shared" si="10"/>
        <v>-1</v>
      </c>
      <c r="M9" s="28"/>
      <c r="N9" s="28"/>
      <c r="O9" s="92" t="e">
        <f t="shared" si="11"/>
        <v>#DIV/0!</v>
      </c>
      <c r="P9" s="28">
        <f t="shared" si="12"/>
        <v>4521</v>
      </c>
      <c r="Q9" s="28">
        <f t="shared" si="13"/>
        <v>0</v>
      </c>
      <c r="R9" s="92">
        <f t="shared" si="14"/>
        <v>-1</v>
      </c>
      <c r="S9" s="22"/>
      <c r="T9" s="22"/>
      <c r="U9" s="92" t="e">
        <f t="shared" si="0"/>
        <v>#DIV/0!</v>
      </c>
      <c r="V9" s="22">
        <f t="shared" si="15"/>
        <v>4521</v>
      </c>
      <c r="W9" s="22">
        <f t="shared" si="16"/>
        <v>0</v>
      </c>
      <c r="X9" s="92">
        <f t="shared" si="1"/>
        <v>-1</v>
      </c>
      <c r="Y9" s="39">
        <v>3305</v>
      </c>
      <c r="Z9" s="39"/>
      <c r="AA9" s="92">
        <f t="shared" si="2"/>
        <v>-1</v>
      </c>
      <c r="AB9" s="22">
        <f t="shared" si="17"/>
        <v>7826</v>
      </c>
      <c r="AC9" s="22">
        <f t="shared" si="18"/>
        <v>0</v>
      </c>
      <c r="AD9" s="92">
        <f t="shared" si="3"/>
        <v>-1</v>
      </c>
      <c r="AE9" s="22"/>
      <c r="AF9" s="22"/>
      <c r="AG9" s="92" t="e">
        <f t="shared" si="4"/>
        <v>#DIV/0!</v>
      </c>
      <c r="AH9" s="22">
        <f t="shared" si="19"/>
        <v>7826</v>
      </c>
      <c r="AI9" s="22">
        <f t="shared" si="20"/>
        <v>0</v>
      </c>
      <c r="AJ9" s="92">
        <f t="shared" si="5"/>
        <v>-1</v>
      </c>
      <c r="AK9" s="101"/>
      <c r="AL9" s="101"/>
      <c r="AM9" s="92" t="e">
        <f t="shared" si="6"/>
        <v>#DIV/0!</v>
      </c>
      <c r="AN9" s="101">
        <f t="shared" si="21"/>
        <v>7826</v>
      </c>
      <c r="AO9" s="101">
        <f t="shared" si="22"/>
        <v>0</v>
      </c>
      <c r="AP9" s="92">
        <f t="shared" si="33"/>
        <v>-1</v>
      </c>
      <c r="AQ9" s="39"/>
      <c r="AR9" s="39"/>
      <c r="AS9" s="92" t="e">
        <f t="shared" si="7"/>
        <v>#DIV/0!</v>
      </c>
      <c r="AT9" s="39">
        <f t="shared" si="23"/>
        <v>7826</v>
      </c>
      <c r="AU9" s="39">
        <f t="shared" si="24"/>
        <v>0</v>
      </c>
      <c r="AV9" s="92">
        <f t="shared" si="8"/>
        <v>-1</v>
      </c>
      <c r="AW9" s="126"/>
      <c r="AX9" s="126"/>
      <c r="AY9" s="92" t="e">
        <f t="shared" si="25"/>
        <v>#DIV/0!</v>
      </c>
      <c r="AZ9" s="126">
        <f t="shared" si="26"/>
        <v>7826</v>
      </c>
      <c r="BA9" s="126">
        <f t="shared" si="27"/>
        <v>0</v>
      </c>
      <c r="BB9" s="92">
        <f t="shared" si="9"/>
        <v>-1</v>
      </c>
      <c r="BC9" s="38"/>
      <c r="BD9" s="38"/>
      <c r="BE9" s="92" t="e">
        <f t="shared" si="28"/>
        <v>#DIV/0!</v>
      </c>
      <c r="BF9" s="38">
        <f t="shared" si="29"/>
        <v>7826</v>
      </c>
      <c r="BG9" s="38">
        <f t="shared" si="30"/>
        <v>0</v>
      </c>
      <c r="BH9" s="92">
        <f t="shared" si="31"/>
        <v>-1</v>
      </c>
      <c r="BI9" s="22"/>
      <c r="BJ9" s="28"/>
      <c r="BK9" s="61"/>
      <c r="BL9" s="61">
        <v>7826</v>
      </c>
      <c r="BM9" s="71" t="e">
        <f t="shared" si="32"/>
        <v>#DIV/0!</v>
      </c>
    </row>
    <row r="10" spans="1:66">
      <c r="A10" s="22" t="s">
        <v>27</v>
      </c>
      <c r="B10" s="80" t="s">
        <v>27</v>
      </c>
      <c r="C10" s="123" t="s">
        <v>149</v>
      </c>
      <c r="D10" s="122" t="s">
        <v>102</v>
      </c>
      <c r="E10" s="122" t="s">
        <v>102</v>
      </c>
      <c r="F10" s="122" t="s">
        <v>141</v>
      </c>
      <c r="G10" s="176" t="s">
        <v>148</v>
      </c>
      <c r="H10" s="33" t="s">
        <v>139</v>
      </c>
      <c r="I10" s="33"/>
      <c r="J10" s="61">
        <v>18336</v>
      </c>
      <c r="K10" s="61">
        <v>790</v>
      </c>
      <c r="L10" s="92">
        <f t="shared" si="10"/>
        <v>-0.956915357766143</v>
      </c>
      <c r="M10" s="28">
        <v>5885</v>
      </c>
      <c r="N10" s="28"/>
      <c r="O10" s="92">
        <f t="shared" si="11"/>
        <v>-1</v>
      </c>
      <c r="P10" s="28">
        <f t="shared" si="12"/>
        <v>24221</v>
      </c>
      <c r="Q10" s="28">
        <f t="shared" si="13"/>
        <v>790</v>
      </c>
      <c r="R10" s="92">
        <f t="shared" si="14"/>
        <v>-0.96738367532306702</v>
      </c>
      <c r="S10" s="22">
        <v>9785</v>
      </c>
      <c r="T10" s="22">
        <v>9575</v>
      </c>
      <c r="U10" s="92">
        <f t="shared" si="0"/>
        <v>-2.14614205416453E-2</v>
      </c>
      <c r="V10" s="22">
        <f t="shared" si="15"/>
        <v>34006</v>
      </c>
      <c r="W10" s="22">
        <f t="shared" si="16"/>
        <v>10365</v>
      </c>
      <c r="X10" s="92">
        <f t="shared" si="1"/>
        <v>-0.69520084690936901</v>
      </c>
      <c r="Y10" s="39">
        <v>20567</v>
      </c>
      <c r="Z10" s="39"/>
      <c r="AA10" s="92">
        <f t="shared" si="2"/>
        <v>-1</v>
      </c>
      <c r="AB10" s="22">
        <f t="shared" si="17"/>
        <v>54573</v>
      </c>
      <c r="AC10" s="22">
        <f t="shared" si="18"/>
        <v>10365</v>
      </c>
      <c r="AD10" s="92">
        <f t="shared" si="3"/>
        <v>-0.81007091418833499</v>
      </c>
      <c r="AE10" s="22"/>
      <c r="AF10" s="22"/>
      <c r="AG10" s="92" t="e">
        <f t="shared" si="4"/>
        <v>#DIV/0!</v>
      </c>
      <c r="AH10" s="22">
        <f t="shared" si="19"/>
        <v>54573</v>
      </c>
      <c r="AI10" s="22">
        <f t="shared" si="20"/>
        <v>10365</v>
      </c>
      <c r="AJ10" s="92">
        <f t="shared" si="5"/>
        <v>-0.81007091418833499</v>
      </c>
      <c r="AK10" s="101">
        <v>1580</v>
      </c>
      <c r="AL10" s="101"/>
      <c r="AM10" s="92">
        <f t="shared" si="6"/>
        <v>-1</v>
      </c>
      <c r="AN10" s="101">
        <f t="shared" si="21"/>
        <v>56153</v>
      </c>
      <c r="AO10" s="101">
        <f t="shared" si="22"/>
        <v>10365</v>
      </c>
      <c r="AP10" s="92">
        <f t="shared" si="33"/>
        <v>-0.81541502680177402</v>
      </c>
      <c r="AQ10" s="39"/>
      <c r="AR10" s="39"/>
      <c r="AS10" s="92" t="e">
        <f t="shared" si="7"/>
        <v>#DIV/0!</v>
      </c>
      <c r="AT10" s="39">
        <f t="shared" si="23"/>
        <v>56153</v>
      </c>
      <c r="AU10" s="39">
        <f t="shared" si="24"/>
        <v>10365</v>
      </c>
      <c r="AV10" s="92">
        <f t="shared" si="8"/>
        <v>-0.81541502680177402</v>
      </c>
      <c r="AW10" s="126"/>
      <c r="AX10" s="126"/>
      <c r="AY10" s="92" t="e">
        <f t="shared" si="25"/>
        <v>#DIV/0!</v>
      </c>
      <c r="AZ10" s="126">
        <f t="shared" si="26"/>
        <v>56153</v>
      </c>
      <c r="BA10" s="126">
        <f t="shared" si="27"/>
        <v>10365</v>
      </c>
      <c r="BB10" s="92">
        <f t="shared" si="9"/>
        <v>-0.81541502680177402</v>
      </c>
      <c r="BC10" s="38">
        <v>13071</v>
      </c>
      <c r="BD10" s="38"/>
      <c r="BE10" s="92">
        <f t="shared" si="28"/>
        <v>-1</v>
      </c>
      <c r="BF10" s="38">
        <f t="shared" si="29"/>
        <v>69224</v>
      </c>
      <c r="BG10" s="38">
        <f t="shared" si="30"/>
        <v>10365</v>
      </c>
      <c r="BH10" s="92">
        <f t="shared" si="31"/>
        <v>-0.85026869293886498</v>
      </c>
      <c r="BI10" s="22">
        <v>3556</v>
      </c>
      <c r="BJ10" s="28"/>
      <c r="BK10" s="61">
        <v>9136</v>
      </c>
      <c r="BL10" s="61">
        <v>81916</v>
      </c>
      <c r="BM10" s="71" t="e">
        <f t="shared" si="32"/>
        <v>#DIV/0!</v>
      </c>
    </row>
    <row r="11" spans="1:66">
      <c r="A11" s="22" t="s">
        <v>27</v>
      </c>
      <c r="B11" s="80" t="s">
        <v>27</v>
      </c>
      <c r="C11" s="123" t="s">
        <v>150</v>
      </c>
      <c r="D11" s="122" t="s">
        <v>61</v>
      </c>
      <c r="E11" s="122" t="s">
        <v>61</v>
      </c>
      <c r="F11" s="175" t="s">
        <v>135</v>
      </c>
      <c r="G11" s="176" t="s">
        <v>135</v>
      </c>
      <c r="H11" s="33" t="s">
        <v>136</v>
      </c>
      <c r="I11" s="33"/>
      <c r="J11" s="61"/>
      <c r="K11" s="61"/>
      <c r="L11" s="92" t="e">
        <f t="shared" si="10"/>
        <v>#DIV/0!</v>
      </c>
      <c r="M11" s="28"/>
      <c r="N11" s="28"/>
      <c r="O11" s="92" t="e">
        <f t="shared" si="11"/>
        <v>#DIV/0!</v>
      </c>
      <c r="P11" s="28">
        <f t="shared" si="12"/>
        <v>0</v>
      </c>
      <c r="Q11" s="28">
        <f t="shared" si="13"/>
        <v>0</v>
      </c>
      <c r="R11" s="92" t="e">
        <f t="shared" si="14"/>
        <v>#DIV/0!</v>
      </c>
      <c r="S11" s="22">
        <v>2896.82</v>
      </c>
      <c r="T11" s="22"/>
      <c r="U11" s="92">
        <f t="shared" si="0"/>
        <v>-1</v>
      </c>
      <c r="V11" s="22">
        <f t="shared" si="15"/>
        <v>2896.82</v>
      </c>
      <c r="W11" s="22">
        <f t="shared" si="16"/>
        <v>0</v>
      </c>
      <c r="X11" s="92">
        <f t="shared" si="1"/>
        <v>-1</v>
      </c>
      <c r="Y11" s="39"/>
      <c r="Z11" s="39"/>
      <c r="AA11" s="92" t="e">
        <f t="shared" si="2"/>
        <v>#DIV/0!</v>
      </c>
      <c r="AB11" s="22">
        <f t="shared" si="17"/>
        <v>2896.82</v>
      </c>
      <c r="AC11" s="22">
        <f t="shared" si="18"/>
        <v>0</v>
      </c>
      <c r="AD11" s="92">
        <f t="shared" si="3"/>
        <v>-1</v>
      </c>
      <c r="AE11" s="22"/>
      <c r="AF11" s="22"/>
      <c r="AG11" s="92" t="e">
        <f t="shared" si="4"/>
        <v>#DIV/0!</v>
      </c>
      <c r="AH11" s="22">
        <f t="shared" si="19"/>
        <v>2896.82</v>
      </c>
      <c r="AI11" s="22">
        <f t="shared" si="20"/>
        <v>0</v>
      </c>
      <c r="AJ11" s="92">
        <f t="shared" si="5"/>
        <v>-1</v>
      </c>
      <c r="AK11" s="101"/>
      <c r="AL11" s="101"/>
      <c r="AM11" s="92" t="e">
        <f t="shared" si="6"/>
        <v>#DIV/0!</v>
      </c>
      <c r="AN11" s="101">
        <f t="shared" si="21"/>
        <v>2896.82</v>
      </c>
      <c r="AO11" s="101">
        <f t="shared" si="22"/>
        <v>0</v>
      </c>
      <c r="AP11" s="92">
        <f t="shared" si="33"/>
        <v>-1</v>
      </c>
      <c r="AQ11" s="39"/>
      <c r="AR11" s="39"/>
      <c r="AS11" s="92" t="e">
        <f t="shared" si="7"/>
        <v>#DIV/0!</v>
      </c>
      <c r="AT11" s="39">
        <f t="shared" si="23"/>
        <v>2896.82</v>
      </c>
      <c r="AU11" s="39">
        <f t="shared" si="24"/>
        <v>0</v>
      </c>
      <c r="AV11" s="92">
        <f t="shared" si="8"/>
        <v>-1</v>
      </c>
      <c r="AW11" s="126"/>
      <c r="AX11" s="126"/>
      <c r="AY11" s="92" t="e">
        <f t="shared" si="25"/>
        <v>#DIV/0!</v>
      </c>
      <c r="AZ11" s="126">
        <f t="shared" si="26"/>
        <v>2896.82</v>
      </c>
      <c r="BA11" s="126">
        <f t="shared" si="27"/>
        <v>0</v>
      </c>
      <c r="BB11" s="92">
        <f t="shared" si="9"/>
        <v>-1</v>
      </c>
      <c r="BC11" s="38"/>
      <c r="BD11" s="38"/>
      <c r="BE11" s="92" t="e">
        <f t="shared" si="28"/>
        <v>#DIV/0!</v>
      </c>
      <c r="BF11" s="38">
        <f t="shared" si="29"/>
        <v>2896.82</v>
      </c>
      <c r="BG11" s="38">
        <f t="shared" si="30"/>
        <v>0</v>
      </c>
      <c r="BH11" s="92">
        <f t="shared" si="31"/>
        <v>-1</v>
      </c>
      <c r="BI11" s="22"/>
      <c r="BJ11" s="28"/>
      <c r="BK11" s="61"/>
      <c r="BL11" s="61">
        <v>2896.82</v>
      </c>
      <c r="BM11" s="71" t="e">
        <f t="shared" si="32"/>
        <v>#DIV/0!</v>
      </c>
    </row>
    <row r="12" spans="1:66">
      <c r="A12" s="22" t="s">
        <v>27</v>
      </c>
      <c r="B12" s="80" t="s">
        <v>27</v>
      </c>
      <c r="C12" s="123" t="s">
        <v>151</v>
      </c>
      <c r="D12" s="122" t="s">
        <v>61</v>
      </c>
      <c r="E12" s="122" t="s">
        <v>61</v>
      </c>
      <c r="F12" s="122" t="s">
        <v>135</v>
      </c>
      <c r="G12" s="33" t="s">
        <v>135</v>
      </c>
      <c r="H12" s="33" t="s">
        <v>136</v>
      </c>
      <c r="I12" s="33">
        <v>15</v>
      </c>
      <c r="J12" s="61">
        <v>20000</v>
      </c>
      <c r="K12" s="61"/>
      <c r="L12" s="92">
        <f t="shared" si="10"/>
        <v>-1</v>
      </c>
      <c r="M12" s="28"/>
      <c r="N12" s="28"/>
      <c r="O12" s="92" t="e">
        <f t="shared" si="11"/>
        <v>#DIV/0!</v>
      </c>
      <c r="P12" s="28">
        <f t="shared" si="12"/>
        <v>20000</v>
      </c>
      <c r="Q12" s="28">
        <f t="shared" si="13"/>
        <v>0</v>
      </c>
      <c r="R12" s="92">
        <f t="shared" si="14"/>
        <v>-1</v>
      </c>
      <c r="S12" s="22">
        <v>30000</v>
      </c>
      <c r="T12" s="22"/>
      <c r="U12" s="92">
        <f t="shared" si="0"/>
        <v>-1</v>
      </c>
      <c r="V12" s="22">
        <f t="shared" si="15"/>
        <v>50000</v>
      </c>
      <c r="W12" s="22">
        <f t="shared" si="16"/>
        <v>0</v>
      </c>
      <c r="X12" s="92">
        <f t="shared" si="1"/>
        <v>-1</v>
      </c>
      <c r="Y12" s="39"/>
      <c r="Z12" s="39"/>
      <c r="AA12" s="92" t="e">
        <f t="shared" si="2"/>
        <v>#DIV/0!</v>
      </c>
      <c r="AB12" s="22">
        <f t="shared" si="17"/>
        <v>50000</v>
      </c>
      <c r="AC12" s="22">
        <f t="shared" si="18"/>
        <v>0</v>
      </c>
      <c r="AD12" s="92">
        <f t="shared" si="3"/>
        <v>-1</v>
      </c>
      <c r="AE12" s="22"/>
      <c r="AF12" s="22"/>
      <c r="AG12" s="92" t="e">
        <f t="shared" si="4"/>
        <v>#DIV/0!</v>
      </c>
      <c r="AH12" s="22">
        <f t="shared" si="19"/>
        <v>50000</v>
      </c>
      <c r="AI12" s="22">
        <f t="shared" si="20"/>
        <v>0</v>
      </c>
      <c r="AJ12" s="92">
        <f t="shared" si="5"/>
        <v>-1</v>
      </c>
      <c r="AK12" s="101"/>
      <c r="AL12" s="101">
        <v>6167</v>
      </c>
      <c r="AM12" s="92" t="e">
        <f t="shared" si="6"/>
        <v>#DIV/0!</v>
      </c>
      <c r="AN12" s="101">
        <f t="shared" si="21"/>
        <v>50000</v>
      </c>
      <c r="AO12" s="101">
        <f t="shared" si="22"/>
        <v>6167</v>
      </c>
      <c r="AP12" s="92">
        <f t="shared" si="33"/>
        <v>-0.87665999999999999</v>
      </c>
      <c r="AQ12" s="39"/>
      <c r="AR12" s="39"/>
      <c r="AS12" s="92" t="e">
        <f t="shared" si="7"/>
        <v>#DIV/0!</v>
      </c>
      <c r="AT12" s="39">
        <f t="shared" si="23"/>
        <v>50000</v>
      </c>
      <c r="AU12" s="39">
        <f t="shared" si="24"/>
        <v>6167</v>
      </c>
      <c r="AV12" s="92">
        <f t="shared" si="8"/>
        <v>-0.87665999999999999</v>
      </c>
      <c r="AW12" s="126"/>
      <c r="AX12" s="126">
        <v>37.6</v>
      </c>
      <c r="AY12" s="92" t="e">
        <f t="shared" si="25"/>
        <v>#DIV/0!</v>
      </c>
      <c r="AZ12" s="126">
        <f t="shared" si="26"/>
        <v>50000</v>
      </c>
      <c r="BA12" s="126">
        <f t="shared" si="27"/>
        <v>6204.6</v>
      </c>
      <c r="BB12" s="92">
        <f t="shared" si="9"/>
        <v>-0.87590800000000002</v>
      </c>
      <c r="BC12" s="38"/>
      <c r="BD12" s="38">
        <v>30</v>
      </c>
      <c r="BE12" s="92" t="e">
        <f t="shared" si="28"/>
        <v>#DIV/0!</v>
      </c>
      <c r="BF12" s="38">
        <f t="shared" si="29"/>
        <v>50000</v>
      </c>
      <c r="BG12" s="38">
        <f t="shared" si="30"/>
        <v>6234.6</v>
      </c>
      <c r="BH12" s="92">
        <f t="shared" si="31"/>
        <v>-0.87530799999999997</v>
      </c>
      <c r="BI12" s="22">
        <v>9418</v>
      </c>
      <c r="BJ12" s="28"/>
      <c r="BK12" s="61"/>
      <c r="BL12" s="61">
        <v>59418</v>
      </c>
      <c r="BM12" s="71">
        <f t="shared" si="32"/>
        <v>4.1563999999999997E-2</v>
      </c>
    </row>
    <row r="13" spans="1:66">
      <c r="A13" s="22" t="s">
        <v>27</v>
      </c>
      <c r="B13" s="80" t="s">
        <v>27</v>
      </c>
      <c r="C13" s="123" t="s">
        <v>152</v>
      </c>
      <c r="D13" s="122" t="s">
        <v>61</v>
      </c>
      <c r="E13" s="122" t="s">
        <v>61</v>
      </c>
      <c r="F13" s="122" t="s">
        <v>135</v>
      </c>
      <c r="G13" s="33" t="s">
        <v>135</v>
      </c>
      <c r="H13" s="33" t="s">
        <v>136</v>
      </c>
      <c r="I13" s="33">
        <v>30</v>
      </c>
      <c r="J13" s="61">
        <v>26400</v>
      </c>
      <c r="K13" s="61"/>
      <c r="L13" s="92">
        <f t="shared" si="10"/>
        <v>-1</v>
      </c>
      <c r="M13" s="28"/>
      <c r="N13" s="28"/>
      <c r="O13" s="92" t="e">
        <f t="shared" si="11"/>
        <v>#DIV/0!</v>
      </c>
      <c r="P13" s="28">
        <f t="shared" si="12"/>
        <v>26400</v>
      </c>
      <c r="Q13" s="28">
        <f t="shared" si="13"/>
        <v>0</v>
      </c>
      <c r="R13" s="92">
        <f t="shared" si="14"/>
        <v>-1</v>
      </c>
      <c r="S13" s="22">
        <v>72600</v>
      </c>
      <c r="T13" s="22"/>
      <c r="U13" s="92">
        <f t="shared" si="0"/>
        <v>-1</v>
      </c>
      <c r="V13" s="22">
        <f t="shared" si="15"/>
        <v>99000</v>
      </c>
      <c r="W13" s="22">
        <f t="shared" si="16"/>
        <v>0</v>
      </c>
      <c r="X13" s="92">
        <f t="shared" si="1"/>
        <v>-1</v>
      </c>
      <c r="Y13" s="39"/>
      <c r="Z13" s="39"/>
      <c r="AA13" s="92" t="e">
        <f t="shared" si="2"/>
        <v>#DIV/0!</v>
      </c>
      <c r="AB13" s="22">
        <f t="shared" si="17"/>
        <v>99000</v>
      </c>
      <c r="AC13" s="22">
        <f t="shared" si="18"/>
        <v>0</v>
      </c>
      <c r="AD13" s="92">
        <f t="shared" si="3"/>
        <v>-1</v>
      </c>
      <c r="AE13" s="22"/>
      <c r="AF13" s="22"/>
      <c r="AG13" s="92" t="e">
        <f t="shared" si="4"/>
        <v>#DIV/0!</v>
      </c>
      <c r="AH13" s="22">
        <f t="shared" si="19"/>
        <v>99000</v>
      </c>
      <c r="AI13" s="22">
        <f t="shared" si="20"/>
        <v>0</v>
      </c>
      <c r="AJ13" s="92">
        <f t="shared" si="5"/>
        <v>-1</v>
      </c>
      <c r="AK13" s="101"/>
      <c r="AL13" s="101"/>
      <c r="AM13" s="92" t="e">
        <f t="shared" si="6"/>
        <v>#DIV/0!</v>
      </c>
      <c r="AN13" s="101">
        <f t="shared" si="21"/>
        <v>99000</v>
      </c>
      <c r="AO13" s="101">
        <f t="shared" si="22"/>
        <v>0</v>
      </c>
      <c r="AP13" s="92">
        <f t="shared" si="33"/>
        <v>-1</v>
      </c>
      <c r="AQ13" s="39"/>
      <c r="AR13" s="39"/>
      <c r="AS13" s="92" t="e">
        <f t="shared" si="7"/>
        <v>#DIV/0!</v>
      </c>
      <c r="AT13" s="39">
        <f t="shared" si="23"/>
        <v>99000</v>
      </c>
      <c r="AU13" s="39">
        <f t="shared" si="24"/>
        <v>0</v>
      </c>
      <c r="AV13" s="92">
        <f t="shared" si="8"/>
        <v>-1</v>
      </c>
      <c r="AW13" s="126">
        <v>10422</v>
      </c>
      <c r="AX13" s="126"/>
      <c r="AY13" s="92">
        <f t="shared" si="25"/>
        <v>-1</v>
      </c>
      <c r="AZ13" s="126">
        <f t="shared" si="26"/>
        <v>109422</v>
      </c>
      <c r="BA13" s="126">
        <f t="shared" si="27"/>
        <v>0</v>
      </c>
      <c r="BB13" s="92">
        <f t="shared" si="9"/>
        <v>-1</v>
      </c>
      <c r="BC13" s="38"/>
      <c r="BD13" s="38"/>
      <c r="BE13" s="92" t="e">
        <f t="shared" si="28"/>
        <v>#DIV/0!</v>
      </c>
      <c r="BF13" s="38">
        <f t="shared" si="29"/>
        <v>109422</v>
      </c>
      <c r="BG13" s="38">
        <f t="shared" si="30"/>
        <v>0</v>
      </c>
      <c r="BH13" s="92">
        <f t="shared" si="31"/>
        <v>-1</v>
      </c>
      <c r="BI13" s="22"/>
      <c r="BJ13" s="28"/>
      <c r="BK13" s="61">
        <v>76431</v>
      </c>
      <c r="BL13" s="61">
        <v>185853</v>
      </c>
      <c r="BM13" s="71">
        <f t="shared" si="32"/>
        <v>0</v>
      </c>
    </row>
    <row r="14" spans="1:66">
      <c r="A14" s="22" t="s">
        <v>27</v>
      </c>
      <c r="B14" s="80" t="s">
        <v>27</v>
      </c>
      <c r="C14" s="123" t="s">
        <v>153</v>
      </c>
      <c r="D14" s="122" t="s">
        <v>61</v>
      </c>
      <c r="E14" s="122" t="s">
        <v>61</v>
      </c>
      <c r="F14" s="122" t="s">
        <v>154</v>
      </c>
      <c r="G14" s="33" t="s">
        <v>154</v>
      </c>
      <c r="H14" s="33" t="s">
        <v>139</v>
      </c>
      <c r="I14" s="33"/>
      <c r="J14" s="61">
        <v>3600</v>
      </c>
      <c r="K14" s="61"/>
      <c r="L14" s="92">
        <f t="shared" si="10"/>
        <v>-1</v>
      </c>
      <c r="M14" s="28"/>
      <c r="N14" s="28"/>
      <c r="O14" s="92" t="e">
        <f t="shared" si="11"/>
        <v>#DIV/0!</v>
      </c>
      <c r="P14" s="28">
        <f t="shared" si="12"/>
        <v>3600</v>
      </c>
      <c r="Q14" s="28">
        <f t="shared" si="13"/>
        <v>0</v>
      </c>
      <c r="R14" s="92">
        <f t="shared" si="14"/>
        <v>-1</v>
      </c>
      <c r="S14" s="22"/>
      <c r="T14" s="22"/>
      <c r="U14" s="92" t="e">
        <f t="shared" si="0"/>
        <v>#DIV/0!</v>
      </c>
      <c r="V14" s="22">
        <f t="shared" si="15"/>
        <v>3600</v>
      </c>
      <c r="W14" s="22">
        <f t="shared" si="16"/>
        <v>0</v>
      </c>
      <c r="X14" s="92">
        <f t="shared" si="1"/>
        <v>-1</v>
      </c>
      <c r="Y14" s="39"/>
      <c r="Z14" s="39"/>
      <c r="AA14" s="92" t="e">
        <f t="shared" si="2"/>
        <v>#DIV/0!</v>
      </c>
      <c r="AB14" s="22">
        <f t="shared" si="17"/>
        <v>3600</v>
      </c>
      <c r="AC14" s="22">
        <f t="shared" si="18"/>
        <v>0</v>
      </c>
      <c r="AD14" s="92">
        <f t="shared" si="3"/>
        <v>-1</v>
      </c>
      <c r="AE14" s="22">
        <v>13074</v>
      </c>
      <c r="AF14" s="22"/>
      <c r="AG14" s="92">
        <f t="shared" si="4"/>
        <v>-1</v>
      </c>
      <c r="AH14" s="22">
        <f t="shared" si="19"/>
        <v>16674</v>
      </c>
      <c r="AI14" s="22">
        <f t="shared" si="20"/>
        <v>0</v>
      </c>
      <c r="AJ14" s="92">
        <f t="shared" si="5"/>
        <v>-1</v>
      </c>
      <c r="AK14" s="101"/>
      <c r="AL14" s="101"/>
      <c r="AM14" s="92" t="e">
        <f t="shared" si="6"/>
        <v>#DIV/0!</v>
      </c>
      <c r="AN14" s="101">
        <f t="shared" si="21"/>
        <v>16674</v>
      </c>
      <c r="AO14" s="101">
        <f t="shared" si="22"/>
        <v>0</v>
      </c>
      <c r="AP14" s="92">
        <f t="shared" si="33"/>
        <v>-1</v>
      </c>
      <c r="AQ14" s="39"/>
      <c r="AR14" s="39"/>
      <c r="AS14" s="92" t="e">
        <f t="shared" si="7"/>
        <v>#DIV/0!</v>
      </c>
      <c r="AT14" s="39">
        <f t="shared" si="23"/>
        <v>16674</v>
      </c>
      <c r="AU14" s="39">
        <f t="shared" si="24"/>
        <v>0</v>
      </c>
      <c r="AV14" s="92">
        <f t="shared" si="8"/>
        <v>-1</v>
      </c>
      <c r="AW14" s="126"/>
      <c r="AX14" s="126"/>
      <c r="AY14" s="92" t="e">
        <f t="shared" si="25"/>
        <v>#DIV/0!</v>
      </c>
      <c r="AZ14" s="126">
        <f t="shared" si="26"/>
        <v>16674</v>
      </c>
      <c r="BA14" s="126">
        <f t="shared" si="27"/>
        <v>0</v>
      </c>
      <c r="BB14" s="92">
        <f t="shared" si="9"/>
        <v>-1</v>
      </c>
      <c r="BC14" s="38"/>
      <c r="BD14" s="38"/>
      <c r="BE14" s="92" t="e">
        <f t="shared" si="28"/>
        <v>#DIV/0!</v>
      </c>
      <c r="BF14" s="38">
        <f t="shared" si="29"/>
        <v>16674</v>
      </c>
      <c r="BG14" s="38">
        <f t="shared" si="30"/>
        <v>0</v>
      </c>
      <c r="BH14" s="92">
        <f t="shared" si="31"/>
        <v>-1</v>
      </c>
      <c r="BI14" s="22"/>
      <c r="BJ14" s="28"/>
      <c r="BK14" s="61"/>
      <c r="BL14" s="61">
        <v>16674</v>
      </c>
      <c r="BM14" s="71" t="e">
        <f t="shared" si="32"/>
        <v>#DIV/0!</v>
      </c>
    </row>
    <row r="15" spans="1:66">
      <c r="A15" s="22" t="s">
        <v>27</v>
      </c>
      <c r="B15" s="80" t="s">
        <v>27</v>
      </c>
      <c r="C15" s="123" t="s">
        <v>155</v>
      </c>
      <c r="D15" s="122" t="s">
        <v>61</v>
      </c>
      <c r="E15" s="122" t="s">
        <v>61</v>
      </c>
      <c r="F15" s="122" t="s">
        <v>135</v>
      </c>
      <c r="G15" s="33" t="s">
        <v>135</v>
      </c>
      <c r="H15" s="33" t="s">
        <v>136</v>
      </c>
      <c r="I15" s="33"/>
      <c r="J15" s="61"/>
      <c r="K15" s="61"/>
      <c r="L15" s="92" t="e">
        <f t="shared" si="10"/>
        <v>#DIV/0!</v>
      </c>
      <c r="M15" s="28"/>
      <c r="N15" s="28"/>
      <c r="O15" s="92" t="e">
        <f t="shared" si="11"/>
        <v>#DIV/0!</v>
      </c>
      <c r="P15" s="28">
        <f t="shared" si="12"/>
        <v>0</v>
      </c>
      <c r="Q15" s="28">
        <f t="shared" si="13"/>
        <v>0</v>
      </c>
      <c r="R15" s="92" t="e">
        <f t="shared" si="14"/>
        <v>#DIV/0!</v>
      </c>
      <c r="S15" s="22"/>
      <c r="T15" s="22"/>
      <c r="U15" s="92" t="e">
        <f t="shared" si="0"/>
        <v>#DIV/0!</v>
      </c>
      <c r="V15" s="22">
        <f t="shared" si="15"/>
        <v>0</v>
      </c>
      <c r="W15" s="22">
        <f t="shared" si="16"/>
        <v>0</v>
      </c>
      <c r="X15" s="92" t="e">
        <f t="shared" si="1"/>
        <v>#DIV/0!</v>
      </c>
      <c r="Y15" s="39"/>
      <c r="Z15" s="39"/>
      <c r="AA15" s="92" t="e">
        <f t="shared" si="2"/>
        <v>#DIV/0!</v>
      </c>
      <c r="AB15" s="22">
        <f t="shared" si="17"/>
        <v>0</v>
      </c>
      <c r="AC15" s="22">
        <f t="shared" si="18"/>
        <v>0</v>
      </c>
      <c r="AD15" s="92" t="e">
        <f t="shared" si="3"/>
        <v>#DIV/0!</v>
      </c>
      <c r="AE15" s="22"/>
      <c r="AF15" s="22"/>
      <c r="AG15" s="92" t="e">
        <f t="shared" si="4"/>
        <v>#DIV/0!</v>
      </c>
      <c r="AH15" s="22">
        <f t="shared" si="19"/>
        <v>0</v>
      </c>
      <c r="AI15" s="22">
        <f t="shared" si="20"/>
        <v>0</v>
      </c>
      <c r="AJ15" s="92" t="e">
        <f t="shared" si="5"/>
        <v>#DIV/0!</v>
      </c>
      <c r="AK15" s="101"/>
      <c r="AL15" s="101"/>
      <c r="AM15" s="92" t="e">
        <f t="shared" si="6"/>
        <v>#DIV/0!</v>
      </c>
      <c r="AN15" s="101">
        <f t="shared" si="21"/>
        <v>0</v>
      </c>
      <c r="AO15" s="101">
        <f t="shared" si="22"/>
        <v>0</v>
      </c>
      <c r="AP15" s="92" t="e">
        <f t="shared" si="33"/>
        <v>#DIV/0!</v>
      </c>
      <c r="AQ15" s="39"/>
      <c r="AR15" s="39"/>
      <c r="AS15" s="92" t="e">
        <f t="shared" si="7"/>
        <v>#DIV/0!</v>
      </c>
      <c r="AT15" s="39">
        <f t="shared" si="23"/>
        <v>0</v>
      </c>
      <c r="AU15" s="39">
        <f t="shared" si="24"/>
        <v>0</v>
      </c>
      <c r="AV15" s="92" t="e">
        <f t="shared" si="8"/>
        <v>#DIV/0!</v>
      </c>
      <c r="AW15" s="126"/>
      <c r="AX15" s="126"/>
      <c r="AY15" s="92" t="e">
        <f t="shared" si="25"/>
        <v>#DIV/0!</v>
      </c>
      <c r="AZ15" s="126">
        <f t="shared" si="26"/>
        <v>0</v>
      </c>
      <c r="BA15" s="126">
        <f t="shared" si="27"/>
        <v>0</v>
      </c>
      <c r="BB15" s="92" t="e">
        <f t="shared" si="9"/>
        <v>#DIV/0!</v>
      </c>
      <c r="BC15" s="38"/>
      <c r="BD15" s="38"/>
      <c r="BE15" s="92" t="e">
        <f t="shared" si="28"/>
        <v>#DIV/0!</v>
      </c>
      <c r="BF15" s="38">
        <f t="shared" si="29"/>
        <v>0</v>
      </c>
      <c r="BG15" s="38">
        <f t="shared" si="30"/>
        <v>0</v>
      </c>
      <c r="BH15" s="92" t="e">
        <f t="shared" si="31"/>
        <v>#DIV/0!</v>
      </c>
      <c r="BI15" s="22"/>
      <c r="BJ15" s="28"/>
      <c r="BK15" s="61">
        <v>5688</v>
      </c>
      <c r="BL15" s="61">
        <v>5688</v>
      </c>
      <c r="BM15" s="71" t="e">
        <f t="shared" si="32"/>
        <v>#DIV/0!</v>
      </c>
    </row>
    <row r="16" spans="1:66">
      <c r="A16" s="22" t="s">
        <v>27</v>
      </c>
      <c r="B16" s="80" t="s">
        <v>27</v>
      </c>
      <c r="C16" s="123" t="s">
        <v>156</v>
      </c>
      <c r="D16" s="122" t="s">
        <v>102</v>
      </c>
      <c r="E16" s="122" t="s">
        <v>102</v>
      </c>
      <c r="F16" s="122" t="s">
        <v>141</v>
      </c>
      <c r="G16" s="33" t="s">
        <v>148</v>
      </c>
      <c r="H16" s="33" t="s">
        <v>139</v>
      </c>
      <c r="I16" s="33"/>
      <c r="J16" s="61">
        <v>3107</v>
      </c>
      <c r="K16" s="61"/>
      <c r="L16" s="92">
        <f t="shared" si="10"/>
        <v>-1</v>
      </c>
      <c r="M16" s="28"/>
      <c r="N16" s="28"/>
      <c r="O16" s="92" t="e">
        <f t="shared" si="11"/>
        <v>#DIV/0!</v>
      </c>
      <c r="P16" s="28">
        <f t="shared" si="12"/>
        <v>3107</v>
      </c>
      <c r="Q16" s="28">
        <f t="shared" si="13"/>
        <v>0</v>
      </c>
      <c r="R16" s="92">
        <f t="shared" si="14"/>
        <v>-1</v>
      </c>
      <c r="S16" s="22"/>
      <c r="T16" s="22"/>
      <c r="U16" s="92" t="e">
        <f t="shared" si="0"/>
        <v>#DIV/0!</v>
      </c>
      <c r="V16" s="22">
        <f t="shared" si="15"/>
        <v>3107</v>
      </c>
      <c r="W16" s="22">
        <f t="shared" si="16"/>
        <v>0</v>
      </c>
      <c r="X16" s="92">
        <f t="shared" si="1"/>
        <v>-1</v>
      </c>
      <c r="Y16" s="39">
        <v>4335</v>
      </c>
      <c r="Z16" s="39"/>
      <c r="AA16" s="92">
        <f t="shared" si="2"/>
        <v>-1</v>
      </c>
      <c r="AB16" s="22">
        <f t="shared" si="17"/>
        <v>7442</v>
      </c>
      <c r="AC16" s="22">
        <f t="shared" si="18"/>
        <v>0</v>
      </c>
      <c r="AD16" s="92">
        <f t="shared" si="3"/>
        <v>-1</v>
      </c>
      <c r="AE16" s="22"/>
      <c r="AF16" s="22"/>
      <c r="AG16" s="92" t="e">
        <f t="shared" si="4"/>
        <v>#DIV/0!</v>
      </c>
      <c r="AH16" s="22">
        <f t="shared" si="19"/>
        <v>7442</v>
      </c>
      <c r="AI16" s="22">
        <f t="shared" si="20"/>
        <v>0</v>
      </c>
      <c r="AJ16" s="92">
        <f t="shared" si="5"/>
        <v>-1</v>
      </c>
      <c r="AK16" s="101"/>
      <c r="AL16" s="101"/>
      <c r="AM16" s="92" t="e">
        <f t="shared" si="6"/>
        <v>#DIV/0!</v>
      </c>
      <c r="AN16" s="101">
        <f t="shared" si="21"/>
        <v>7442</v>
      </c>
      <c r="AO16" s="101">
        <f t="shared" si="22"/>
        <v>0</v>
      </c>
      <c r="AP16" s="92">
        <f t="shared" si="33"/>
        <v>-1</v>
      </c>
      <c r="AQ16" s="39"/>
      <c r="AR16" s="39"/>
      <c r="AS16" s="92" t="e">
        <f t="shared" si="7"/>
        <v>#DIV/0!</v>
      </c>
      <c r="AT16" s="39">
        <f t="shared" si="23"/>
        <v>7442</v>
      </c>
      <c r="AU16" s="39">
        <f t="shared" si="24"/>
        <v>0</v>
      </c>
      <c r="AV16" s="92">
        <f t="shared" si="8"/>
        <v>-1</v>
      </c>
      <c r="AW16" s="126"/>
      <c r="AX16" s="126"/>
      <c r="AY16" s="92" t="e">
        <f t="shared" si="25"/>
        <v>#DIV/0!</v>
      </c>
      <c r="AZ16" s="126">
        <f t="shared" si="26"/>
        <v>7442</v>
      </c>
      <c r="BA16" s="126">
        <f t="shared" si="27"/>
        <v>0</v>
      </c>
      <c r="BB16" s="92">
        <f t="shared" si="9"/>
        <v>-1</v>
      </c>
      <c r="BC16" s="38"/>
      <c r="BD16" s="38"/>
      <c r="BE16" s="92" t="e">
        <f t="shared" si="28"/>
        <v>#DIV/0!</v>
      </c>
      <c r="BF16" s="38">
        <f t="shared" si="29"/>
        <v>7442</v>
      </c>
      <c r="BG16" s="38">
        <f t="shared" si="30"/>
        <v>0</v>
      </c>
      <c r="BH16" s="92">
        <f t="shared" si="31"/>
        <v>-1</v>
      </c>
      <c r="BI16" s="22"/>
      <c r="BJ16" s="28"/>
      <c r="BK16" s="61"/>
      <c r="BL16" s="61">
        <v>7442</v>
      </c>
      <c r="BM16" s="71" t="e">
        <f t="shared" si="32"/>
        <v>#DIV/0!</v>
      </c>
    </row>
    <row r="17" spans="1:65" ht="14" customHeight="1">
      <c r="A17" s="22" t="s">
        <v>27</v>
      </c>
      <c r="B17" s="80" t="s">
        <v>27</v>
      </c>
      <c r="C17" s="123" t="s">
        <v>157</v>
      </c>
      <c r="D17" s="122" t="s">
        <v>61</v>
      </c>
      <c r="E17" s="122" t="s">
        <v>61</v>
      </c>
      <c r="F17" s="122" t="s">
        <v>135</v>
      </c>
      <c r="G17" s="33" t="s">
        <v>135</v>
      </c>
      <c r="H17" s="33" t="s">
        <v>136</v>
      </c>
      <c r="I17" s="33"/>
      <c r="J17" s="61">
        <v>4789</v>
      </c>
      <c r="K17" s="61"/>
      <c r="L17" s="92">
        <f t="shared" si="10"/>
        <v>-1</v>
      </c>
      <c r="M17" s="28"/>
      <c r="N17" s="28"/>
      <c r="O17" s="92" t="e">
        <f t="shared" si="11"/>
        <v>#DIV/0!</v>
      </c>
      <c r="P17" s="28">
        <f t="shared" si="12"/>
        <v>4789</v>
      </c>
      <c r="Q17" s="28">
        <f t="shared" si="13"/>
        <v>0</v>
      </c>
      <c r="R17" s="92">
        <f t="shared" si="14"/>
        <v>-1</v>
      </c>
      <c r="S17" s="22">
        <v>7800</v>
      </c>
      <c r="T17" s="22"/>
      <c r="U17" s="92">
        <f t="shared" si="0"/>
        <v>-1</v>
      </c>
      <c r="V17" s="22">
        <f t="shared" si="15"/>
        <v>12589</v>
      </c>
      <c r="W17" s="22">
        <f t="shared" si="16"/>
        <v>0</v>
      </c>
      <c r="X17" s="92">
        <f t="shared" si="1"/>
        <v>-1</v>
      </c>
      <c r="Y17" s="40"/>
      <c r="Z17" s="40"/>
      <c r="AA17" s="92" t="e">
        <f t="shared" si="2"/>
        <v>#DIV/0!</v>
      </c>
      <c r="AB17" s="22">
        <f t="shared" si="17"/>
        <v>12589</v>
      </c>
      <c r="AC17" s="22">
        <f t="shared" si="18"/>
        <v>0</v>
      </c>
      <c r="AD17" s="92">
        <f t="shared" si="3"/>
        <v>-1</v>
      </c>
      <c r="AE17" s="22"/>
      <c r="AF17" s="22"/>
      <c r="AG17" s="92" t="e">
        <f t="shared" si="4"/>
        <v>#DIV/0!</v>
      </c>
      <c r="AH17" s="22">
        <f t="shared" si="19"/>
        <v>12589</v>
      </c>
      <c r="AI17" s="22">
        <f t="shared" si="20"/>
        <v>0</v>
      </c>
      <c r="AJ17" s="92">
        <f t="shared" si="5"/>
        <v>-1</v>
      </c>
      <c r="AK17" s="101"/>
      <c r="AL17" s="101"/>
      <c r="AM17" s="92" t="e">
        <f t="shared" si="6"/>
        <v>#DIV/0!</v>
      </c>
      <c r="AN17" s="101">
        <f t="shared" si="21"/>
        <v>12589</v>
      </c>
      <c r="AO17" s="101">
        <f t="shared" si="22"/>
        <v>0</v>
      </c>
      <c r="AP17" s="92">
        <f t="shared" si="33"/>
        <v>-1</v>
      </c>
      <c r="AQ17" s="39"/>
      <c r="AR17" s="39"/>
      <c r="AS17" s="92" t="e">
        <f t="shared" si="7"/>
        <v>#DIV/0!</v>
      </c>
      <c r="AT17" s="39">
        <f t="shared" si="23"/>
        <v>12589</v>
      </c>
      <c r="AU17" s="39">
        <f t="shared" si="24"/>
        <v>0</v>
      </c>
      <c r="AV17" s="92">
        <f t="shared" si="8"/>
        <v>-1</v>
      </c>
      <c r="AW17" s="126"/>
      <c r="AX17" s="126"/>
      <c r="AY17" s="92" t="e">
        <f t="shared" si="25"/>
        <v>#DIV/0!</v>
      </c>
      <c r="AZ17" s="126">
        <f t="shared" si="26"/>
        <v>12589</v>
      </c>
      <c r="BA17" s="126">
        <f t="shared" si="27"/>
        <v>0</v>
      </c>
      <c r="BB17" s="92">
        <f t="shared" si="9"/>
        <v>-1</v>
      </c>
      <c r="BC17" s="38"/>
      <c r="BD17" s="38"/>
      <c r="BE17" s="92" t="e">
        <f t="shared" si="28"/>
        <v>#DIV/0!</v>
      </c>
      <c r="BF17" s="38">
        <f t="shared" si="29"/>
        <v>12589</v>
      </c>
      <c r="BG17" s="38">
        <f t="shared" si="30"/>
        <v>0</v>
      </c>
      <c r="BH17" s="92">
        <f t="shared" si="31"/>
        <v>-1</v>
      </c>
      <c r="BI17" s="22"/>
      <c r="BJ17" s="28"/>
      <c r="BK17" s="61"/>
      <c r="BL17" s="61">
        <v>12589</v>
      </c>
      <c r="BM17" s="71" t="e">
        <f t="shared" si="32"/>
        <v>#DIV/0!</v>
      </c>
    </row>
    <row r="18" spans="1:65" ht="14" customHeight="1">
      <c r="A18" s="22" t="s">
        <v>27</v>
      </c>
      <c r="B18" s="80" t="s">
        <v>27</v>
      </c>
      <c r="C18" s="124" t="s">
        <v>158</v>
      </c>
      <c r="D18" s="122" t="s">
        <v>61</v>
      </c>
      <c r="E18" s="122" t="s">
        <v>61</v>
      </c>
      <c r="F18" s="122" t="s">
        <v>141</v>
      </c>
      <c r="G18" s="33" t="s">
        <v>80</v>
      </c>
      <c r="H18" s="33" t="s">
        <v>142</v>
      </c>
      <c r="I18" s="33"/>
      <c r="J18" s="61">
        <v>10000</v>
      </c>
      <c r="K18" s="61"/>
      <c r="L18" s="92">
        <f t="shared" si="10"/>
        <v>-1</v>
      </c>
      <c r="M18" s="28"/>
      <c r="N18" s="28">
        <v>30820</v>
      </c>
      <c r="O18" s="92" t="e">
        <f t="shared" si="11"/>
        <v>#DIV/0!</v>
      </c>
      <c r="P18" s="28">
        <f t="shared" si="12"/>
        <v>10000</v>
      </c>
      <c r="Q18" s="28">
        <f t="shared" si="13"/>
        <v>30820</v>
      </c>
      <c r="R18" s="92">
        <f t="shared" si="14"/>
        <v>2.0819999999999999</v>
      </c>
      <c r="S18" s="22"/>
      <c r="T18" s="22">
        <v>9744</v>
      </c>
      <c r="U18" s="92" t="e">
        <f t="shared" si="0"/>
        <v>#DIV/0!</v>
      </c>
      <c r="V18" s="22">
        <f t="shared" si="15"/>
        <v>10000</v>
      </c>
      <c r="W18" s="22">
        <f t="shared" si="16"/>
        <v>40564</v>
      </c>
      <c r="X18" s="92">
        <f t="shared" si="1"/>
        <v>3.0564</v>
      </c>
      <c r="Y18" s="40"/>
      <c r="Z18" s="40"/>
      <c r="AA18" s="92" t="e">
        <f t="shared" si="2"/>
        <v>#DIV/0!</v>
      </c>
      <c r="AB18" s="22">
        <f t="shared" si="17"/>
        <v>10000</v>
      </c>
      <c r="AC18" s="22">
        <f t="shared" si="18"/>
        <v>40564</v>
      </c>
      <c r="AD18" s="92">
        <f t="shared" si="3"/>
        <v>3.0564</v>
      </c>
      <c r="AE18" s="22"/>
      <c r="AF18" s="22">
        <v>32390</v>
      </c>
      <c r="AG18" s="92" t="e">
        <f t="shared" si="4"/>
        <v>#DIV/0!</v>
      </c>
      <c r="AH18" s="22">
        <f t="shared" si="19"/>
        <v>10000</v>
      </c>
      <c r="AI18" s="22">
        <f t="shared" si="20"/>
        <v>72954</v>
      </c>
      <c r="AJ18" s="92">
        <f t="shared" si="5"/>
        <v>6.2953999999999999</v>
      </c>
      <c r="AK18" s="101"/>
      <c r="AL18" s="101">
        <v>21149</v>
      </c>
      <c r="AM18" s="92" t="e">
        <f t="shared" si="6"/>
        <v>#DIV/0!</v>
      </c>
      <c r="AN18" s="101">
        <f t="shared" si="21"/>
        <v>10000</v>
      </c>
      <c r="AO18" s="101">
        <f t="shared" si="22"/>
        <v>94103</v>
      </c>
      <c r="AP18" s="92">
        <f t="shared" si="33"/>
        <v>8.4102999999999994</v>
      </c>
      <c r="AQ18" s="39">
        <v>24563</v>
      </c>
      <c r="AR18" s="39">
        <v>24595</v>
      </c>
      <c r="AS18" s="92">
        <f t="shared" si="7"/>
        <v>1.3027724626470899E-3</v>
      </c>
      <c r="AT18" s="39">
        <f t="shared" si="23"/>
        <v>34563</v>
      </c>
      <c r="AU18" s="39">
        <f t="shared" si="24"/>
        <v>118698</v>
      </c>
      <c r="AV18" s="92">
        <f t="shared" si="8"/>
        <v>2.4342504990886198</v>
      </c>
      <c r="AW18" s="126"/>
      <c r="AX18" s="126">
        <v>10998</v>
      </c>
      <c r="AY18" s="92" t="e">
        <f t="shared" si="25"/>
        <v>#DIV/0!</v>
      </c>
      <c r="AZ18" s="126">
        <f t="shared" si="26"/>
        <v>34563</v>
      </c>
      <c r="BA18" s="126">
        <f t="shared" si="27"/>
        <v>129696</v>
      </c>
      <c r="BB18" s="92">
        <f t="shared" si="9"/>
        <v>2.7524520440933902</v>
      </c>
      <c r="BC18" s="38"/>
      <c r="BD18" s="38">
        <v>5664</v>
      </c>
      <c r="BE18" s="92" t="e">
        <f t="shared" si="28"/>
        <v>#DIV/0!</v>
      </c>
      <c r="BF18" s="38">
        <f t="shared" si="29"/>
        <v>34563</v>
      </c>
      <c r="BG18" s="38">
        <f t="shared" si="30"/>
        <v>135360</v>
      </c>
      <c r="BH18" s="92">
        <f t="shared" si="31"/>
        <v>2.9163267077510602</v>
      </c>
      <c r="BI18" s="22"/>
      <c r="BJ18" s="28"/>
      <c r="BK18" s="61">
        <v>25066</v>
      </c>
      <c r="BL18" s="61">
        <v>59629</v>
      </c>
      <c r="BM18" s="71" t="e">
        <f t="shared" si="32"/>
        <v>#DIV/0!</v>
      </c>
    </row>
    <row r="19" spans="1:65" ht="14" customHeight="1">
      <c r="A19" s="22" t="s">
        <v>27</v>
      </c>
      <c r="B19" s="80" t="s">
        <v>27</v>
      </c>
      <c r="C19" s="123" t="s">
        <v>159</v>
      </c>
      <c r="D19" s="122" t="s">
        <v>61</v>
      </c>
      <c r="E19" s="122" t="s">
        <v>61</v>
      </c>
      <c r="F19" s="122" t="s">
        <v>141</v>
      </c>
      <c r="G19" s="33" t="s">
        <v>80</v>
      </c>
      <c r="H19" s="33" t="s">
        <v>139</v>
      </c>
      <c r="I19" s="33"/>
      <c r="J19" s="61"/>
      <c r="K19" s="61"/>
      <c r="L19" s="92" t="e">
        <f t="shared" si="10"/>
        <v>#DIV/0!</v>
      </c>
      <c r="M19" s="28"/>
      <c r="N19" s="28"/>
      <c r="O19" s="92" t="e">
        <f t="shared" si="11"/>
        <v>#DIV/0!</v>
      </c>
      <c r="P19" s="28">
        <f t="shared" si="12"/>
        <v>0</v>
      </c>
      <c r="Q19" s="28">
        <f t="shared" si="13"/>
        <v>0</v>
      </c>
      <c r="R19" s="92" t="e">
        <f t="shared" si="14"/>
        <v>#DIV/0!</v>
      </c>
      <c r="S19" s="22">
        <v>2962</v>
      </c>
      <c r="T19" s="22"/>
      <c r="U19" s="92">
        <f t="shared" si="0"/>
        <v>-1</v>
      </c>
      <c r="V19" s="22">
        <f t="shared" si="15"/>
        <v>2962</v>
      </c>
      <c r="W19" s="22">
        <f t="shared" si="16"/>
        <v>0</v>
      </c>
      <c r="X19" s="92">
        <f t="shared" si="1"/>
        <v>-1</v>
      </c>
      <c r="Y19" s="40"/>
      <c r="Z19" s="40"/>
      <c r="AA19" s="92" t="e">
        <f t="shared" si="2"/>
        <v>#DIV/0!</v>
      </c>
      <c r="AB19" s="22">
        <f t="shared" si="17"/>
        <v>2962</v>
      </c>
      <c r="AC19" s="22">
        <f t="shared" si="18"/>
        <v>0</v>
      </c>
      <c r="AD19" s="92">
        <f t="shared" si="3"/>
        <v>-1</v>
      </c>
      <c r="AE19" s="22"/>
      <c r="AF19" s="22"/>
      <c r="AG19" s="92" t="e">
        <f t="shared" si="4"/>
        <v>#DIV/0!</v>
      </c>
      <c r="AH19" s="22">
        <f t="shared" si="19"/>
        <v>2962</v>
      </c>
      <c r="AI19" s="22">
        <f t="shared" si="20"/>
        <v>0</v>
      </c>
      <c r="AJ19" s="92">
        <f t="shared" si="5"/>
        <v>-1</v>
      </c>
      <c r="AK19" s="101"/>
      <c r="AL19" s="101"/>
      <c r="AM19" s="92" t="e">
        <f t="shared" si="6"/>
        <v>#DIV/0!</v>
      </c>
      <c r="AN19" s="101">
        <f t="shared" si="21"/>
        <v>2962</v>
      </c>
      <c r="AO19" s="101">
        <f t="shared" si="22"/>
        <v>0</v>
      </c>
      <c r="AP19" s="92">
        <f t="shared" si="33"/>
        <v>-1</v>
      </c>
      <c r="AQ19" s="39"/>
      <c r="AR19" s="39"/>
      <c r="AS19" s="92" t="e">
        <f t="shared" si="7"/>
        <v>#DIV/0!</v>
      </c>
      <c r="AT19" s="39">
        <f t="shared" si="23"/>
        <v>2962</v>
      </c>
      <c r="AU19" s="39">
        <f t="shared" si="24"/>
        <v>0</v>
      </c>
      <c r="AV19" s="92">
        <f t="shared" si="8"/>
        <v>-1</v>
      </c>
      <c r="AW19" s="126"/>
      <c r="AX19" s="126"/>
      <c r="AY19" s="92" t="e">
        <f t="shared" si="25"/>
        <v>#DIV/0!</v>
      </c>
      <c r="AZ19" s="126">
        <f t="shared" si="26"/>
        <v>2962</v>
      </c>
      <c r="BA19" s="126">
        <f t="shared" si="27"/>
        <v>0</v>
      </c>
      <c r="BB19" s="92">
        <f t="shared" si="9"/>
        <v>-1</v>
      </c>
      <c r="BC19" s="38"/>
      <c r="BD19" s="38"/>
      <c r="BE19" s="92" t="e">
        <f t="shared" si="28"/>
        <v>#DIV/0!</v>
      </c>
      <c r="BF19" s="38">
        <f t="shared" si="29"/>
        <v>2962</v>
      </c>
      <c r="BG19" s="38">
        <f t="shared" si="30"/>
        <v>0</v>
      </c>
      <c r="BH19" s="92">
        <f t="shared" si="31"/>
        <v>-1</v>
      </c>
      <c r="BI19" s="22"/>
      <c r="BJ19" s="28"/>
      <c r="BK19" s="61"/>
      <c r="BL19" s="61">
        <v>2962</v>
      </c>
      <c r="BM19" s="71" t="e">
        <f t="shared" si="32"/>
        <v>#DIV/0!</v>
      </c>
    </row>
    <row r="20" spans="1:65" ht="14" customHeight="1">
      <c r="A20" s="22" t="s">
        <v>27</v>
      </c>
      <c r="B20" s="80" t="s">
        <v>27</v>
      </c>
      <c r="C20" s="123" t="s">
        <v>119</v>
      </c>
      <c r="D20" s="122" t="s">
        <v>61</v>
      </c>
      <c r="E20" s="122" t="s">
        <v>61</v>
      </c>
      <c r="F20" s="122" t="s">
        <v>141</v>
      </c>
      <c r="G20" s="33" t="s">
        <v>80</v>
      </c>
      <c r="H20" s="33" t="s">
        <v>139</v>
      </c>
      <c r="I20" s="33"/>
      <c r="J20" s="61"/>
      <c r="K20" s="61"/>
      <c r="L20" s="92" t="e">
        <f t="shared" si="10"/>
        <v>#DIV/0!</v>
      </c>
      <c r="M20" s="28"/>
      <c r="N20" s="28">
        <v>1736.04</v>
      </c>
      <c r="O20" s="92" t="e">
        <f t="shared" si="11"/>
        <v>#DIV/0!</v>
      </c>
      <c r="P20" s="28">
        <f t="shared" si="12"/>
        <v>0</v>
      </c>
      <c r="Q20" s="28">
        <f t="shared" si="13"/>
        <v>1736.04</v>
      </c>
      <c r="R20" s="92" t="e">
        <f t="shared" si="14"/>
        <v>#DIV/0!</v>
      </c>
      <c r="S20" s="22"/>
      <c r="T20" s="22"/>
      <c r="U20" s="92" t="e">
        <f t="shared" si="0"/>
        <v>#DIV/0!</v>
      </c>
      <c r="V20" s="22">
        <f t="shared" si="15"/>
        <v>0</v>
      </c>
      <c r="W20" s="22">
        <f t="shared" si="16"/>
        <v>1736.04</v>
      </c>
      <c r="X20" s="92" t="e">
        <f t="shared" si="1"/>
        <v>#DIV/0!</v>
      </c>
      <c r="Y20" s="40"/>
      <c r="Z20" s="40">
        <v>3472.08</v>
      </c>
      <c r="AA20" s="92" t="e">
        <f t="shared" si="2"/>
        <v>#DIV/0!</v>
      </c>
      <c r="AB20" s="22">
        <f t="shared" si="17"/>
        <v>0</v>
      </c>
      <c r="AC20" s="22">
        <f t="shared" si="18"/>
        <v>5208.12</v>
      </c>
      <c r="AD20" s="92" t="e">
        <f t="shared" si="3"/>
        <v>#DIV/0!</v>
      </c>
      <c r="AE20" s="22"/>
      <c r="AF20" s="22"/>
      <c r="AG20" s="92" t="e">
        <f t="shared" si="4"/>
        <v>#DIV/0!</v>
      </c>
      <c r="AH20" s="22">
        <f t="shared" si="19"/>
        <v>0</v>
      </c>
      <c r="AI20" s="22">
        <f t="shared" si="20"/>
        <v>5208.12</v>
      </c>
      <c r="AJ20" s="92" t="e">
        <f t="shared" si="5"/>
        <v>#DIV/0!</v>
      </c>
      <c r="AK20" s="101"/>
      <c r="AL20" s="101"/>
      <c r="AM20" s="92" t="e">
        <f t="shared" si="6"/>
        <v>#DIV/0!</v>
      </c>
      <c r="AN20" s="101">
        <f t="shared" si="21"/>
        <v>0</v>
      </c>
      <c r="AO20" s="101">
        <f t="shared" si="22"/>
        <v>5208.12</v>
      </c>
      <c r="AP20" s="92" t="e">
        <f t="shared" si="33"/>
        <v>#DIV/0!</v>
      </c>
      <c r="AQ20" s="39"/>
      <c r="AR20" s="39"/>
      <c r="AS20" s="92" t="e">
        <f t="shared" si="7"/>
        <v>#DIV/0!</v>
      </c>
      <c r="AT20" s="39">
        <f t="shared" si="23"/>
        <v>0</v>
      </c>
      <c r="AU20" s="39">
        <f t="shared" si="24"/>
        <v>5208.12</v>
      </c>
      <c r="AV20" s="92" t="e">
        <f t="shared" si="8"/>
        <v>#DIV/0!</v>
      </c>
      <c r="AW20" s="126">
        <v>11930.56</v>
      </c>
      <c r="AX20" s="126"/>
      <c r="AY20" s="92">
        <f t="shared" si="25"/>
        <v>-1</v>
      </c>
      <c r="AZ20" s="126">
        <f t="shared" si="26"/>
        <v>11930.56</v>
      </c>
      <c r="BA20" s="126">
        <f t="shared" si="27"/>
        <v>5208.12</v>
      </c>
      <c r="BB20" s="92">
        <f t="shared" si="9"/>
        <v>-0.56346391116594696</v>
      </c>
      <c r="BC20" s="38"/>
      <c r="BD20" s="38"/>
      <c r="BE20" s="92" t="e">
        <f t="shared" si="28"/>
        <v>#DIV/0!</v>
      </c>
      <c r="BF20" s="38">
        <f t="shared" si="29"/>
        <v>11930.56</v>
      </c>
      <c r="BG20" s="38">
        <f t="shared" si="30"/>
        <v>5208.12</v>
      </c>
      <c r="BH20" s="92">
        <f t="shared" si="31"/>
        <v>-0.56346391116594696</v>
      </c>
      <c r="BI20" s="22">
        <v>2982.64</v>
      </c>
      <c r="BJ20" s="28"/>
      <c r="BK20" s="61">
        <v>10047.32</v>
      </c>
      <c r="BL20" s="61">
        <v>24960.52</v>
      </c>
      <c r="BM20" s="71" t="e">
        <f t="shared" si="32"/>
        <v>#DIV/0!</v>
      </c>
    </row>
    <row r="21" spans="1:65" ht="14" customHeight="1">
      <c r="A21" s="22" t="s">
        <v>27</v>
      </c>
      <c r="B21" s="80" t="s">
        <v>27</v>
      </c>
      <c r="C21" s="123" t="s">
        <v>160</v>
      </c>
      <c r="D21" s="122" t="s">
        <v>61</v>
      </c>
      <c r="E21" s="122" t="s">
        <v>61</v>
      </c>
      <c r="F21" s="175" t="s">
        <v>138</v>
      </c>
      <c r="G21" s="33" t="s">
        <v>80</v>
      </c>
      <c r="H21" s="33" t="s">
        <v>139</v>
      </c>
      <c r="I21" s="33">
        <v>60</v>
      </c>
      <c r="J21" s="61"/>
      <c r="K21" s="61"/>
      <c r="L21" s="92"/>
      <c r="M21" s="28"/>
      <c r="N21" s="28"/>
      <c r="O21" s="92"/>
      <c r="P21" s="28"/>
      <c r="Q21" s="28"/>
      <c r="R21" s="92"/>
      <c r="S21" s="22"/>
      <c r="T21" s="22"/>
      <c r="U21" s="92"/>
      <c r="V21" s="22"/>
      <c r="W21" s="22"/>
      <c r="X21" s="92"/>
      <c r="Y21" s="40"/>
      <c r="Z21" s="40"/>
      <c r="AA21" s="92"/>
      <c r="AB21" s="22"/>
      <c r="AC21" s="22"/>
      <c r="AD21" s="92"/>
      <c r="AE21" s="22"/>
      <c r="AF21" s="22">
        <v>116732</v>
      </c>
      <c r="AG21" s="92" t="e">
        <f t="shared" si="4"/>
        <v>#DIV/0!</v>
      </c>
      <c r="AH21" s="22">
        <f t="shared" si="19"/>
        <v>0</v>
      </c>
      <c r="AI21" s="22">
        <f t="shared" si="20"/>
        <v>116732</v>
      </c>
      <c r="AJ21" s="92" t="e">
        <f t="shared" si="5"/>
        <v>#DIV/0!</v>
      </c>
      <c r="AK21" s="101"/>
      <c r="AL21" s="101">
        <v>3088</v>
      </c>
      <c r="AM21" s="92" t="e">
        <f t="shared" si="6"/>
        <v>#DIV/0!</v>
      </c>
      <c r="AN21" s="101">
        <f t="shared" si="21"/>
        <v>0</v>
      </c>
      <c r="AO21" s="101">
        <f t="shared" si="22"/>
        <v>119820</v>
      </c>
      <c r="AP21" s="92" t="e">
        <f t="shared" si="33"/>
        <v>#DIV/0!</v>
      </c>
      <c r="AQ21" s="39"/>
      <c r="AR21" s="39">
        <v>10000</v>
      </c>
      <c r="AS21" s="92" t="e">
        <f t="shared" si="7"/>
        <v>#DIV/0!</v>
      </c>
      <c r="AT21" s="39">
        <f t="shared" si="23"/>
        <v>0</v>
      </c>
      <c r="AU21" s="39">
        <f t="shared" si="24"/>
        <v>129820</v>
      </c>
      <c r="AV21" s="92" t="e">
        <f t="shared" si="8"/>
        <v>#DIV/0!</v>
      </c>
      <c r="AW21" s="126"/>
      <c r="AX21" s="126"/>
      <c r="AY21" s="92" t="e">
        <f t="shared" si="25"/>
        <v>#DIV/0!</v>
      </c>
      <c r="AZ21" s="126">
        <f t="shared" si="26"/>
        <v>0</v>
      </c>
      <c r="BA21" s="126">
        <f t="shared" si="27"/>
        <v>129820</v>
      </c>
      <c r="BB21" s="92" t="e">
        <f t="shared" si="9"/>
        <v>#DIV/0!</v>
      </c>
      <c r="BC21" s="38"/>
      <c r="BD21" s="38">
        <v>2322</v>
      </c>
      <c r="BE21" s="92" t="e">
        <f t="shared" si="28"/>
        <v>#DIV/0!</v>
      </c>
      <c r="BF21" s="38">
        <f t="shared" si="29"/>
        <v>0</v>
      </c>
      <c r="BG21" s="38">
        <f t="shared" si="30"/>
        <v>132142</v>
      </c>
      <c r="BH21" s="92" t="e">
        <f t="shared" si="31"/>
        <v>#DIV/0!</v>
      </c>
      <c r="BI21" s="22"/>
      <c r="BJ21" s="28"/>
      <c r="BK21" s="61"/>
      <c r="BL21" s="61"/>
      <c r="BM21" s="71">
        <f t="shared" si="32"/>
        <v>0.220236666666667</v>
      </c>
    </row>
    <row r="22" spans="1:65" ht="14" customHeight="1">
      <c r="A22" s="22" t="s">
        <v>27</v>
      </c>
      <c r="B22" s="80" t="s">
        <v>27</v>
      </c>
      <c r="C22" s="123" t="s">
        <v>115</v>
      </c>
      <c r="D22" s="122" t="s">
        <v>114</v>
      </c>
      <c r="E22" s="122" t="s">
        <v>114</v>
      </c>
      <c r="F22" s="122" t="s">
        <v>141</v>
      </c>
      <c r="G22" s="33"/>
      <c r="H22" s="33" t="s">
        <v>139</v>
      </c>
      <c r="I22" s="33"/>
      <c r="J22" s="61"/>
      <c r="K22" s="61"/>
      <c r="L22" s="92"/>
      <c r="M22" s="28"/>
      <c r="N22" s="28"/>
      <c r="O22" s="92"/>
      <c r="P22" s="28"/>
      <c r="Q22" s="28"/>
      <c r="R22" s="92"/>
      <c r="S22" s="22"/>
      <c r="T22" s="22"/>
      <c r="U22" s="92"/>
      <c r="V22" s="22"/>
      <c r="W22" s="22"/>
      <c r="X22" s="92"/>
      <c r="Y22" s="40"/>
      <c r="Z22" s="40"/>
      <c r="AA22" s="92"/>
      <c r="AB22" s="22"/>
      <c r="AC22" s="22"/>
      <c r="AD22" s="92"/>
      <c r="AE22" s="22"/>
      <c r="AF22" s="22"/>
      <c r="AG22" s="92"/>
      <c r="AH22" s="22"/>
      <c r="AI22" s="22"/>
      <c r="AJ22" s="92"/>
      <c r="AK22" s="101"/>
      <c r="AL22" s="101">
        <v>3344</v>
      </c>
      <c r="AM22" s="92" t="e">
        <f t="shared" si="6"/>
        <v>#DIV/0!</v>
      </c>
      <c r="AN22" s="101">
        <f t="shared" si="21"/>
        <v>0</v>
      </c>
      <c r="AO22" s="101">
        <f t="shared" si="22"/>
        <v>3344</v>
      </c>
      <c r="AP22" s="92" t="e">
        <f t="shared" si="33"/>
        <v>#DIV/0!</v>
      </c>
      <c r="AQ22" s="39"/>
      <c r="AR22" s="39"/>
      <c r="AS22" s="92" t="e">
        <f t="shared" si="7"/>
        <v>#DIV/0!</v>
      </c>
      <c r="AT22" s="39">
        <f t="shared" si="23"/>
        <v>0</v>
      </c>
      <c r="AU22" s="39">
        <f t="shared" si="24"/>
        <v>3344</v>
      </c>
      <c r="AV22" s="92" t="e">
        <f t="shared" si="8"/>
        <v>#DIV/0!</v>
      </c>
      <c r="AW22" s="126"/>
      <c r="AX22" s="126"/>
      <c r="AY22" s="92" t="e">
        <f t="shared" si="25"/>
        <v>#DIV/0!</v>
      </c>
      <c r="AZ22" s="126">
        <f t="shared" si="26"/>
        <v>0</v>
      </c>
      <c r="BA22" s="126">
        <f t="shared" si="27"/>
        <v>3344</v>
      </c>
      <c r="BB22" s="92" t="e">
        <f t="shared" si="9"/>
        <v>#DIV/0!</v>
      </c>
      <c r="BC22" s="38"/>
      <c r="BD22" s="38"/>
      <c r="BE22" s="92" t="e">
        <f t="shared" si="28"/>
        <v>#DIV/0!</v>
      </c>
      <c r="BF22" s="38">
        <f t="shared" si="29"/>
        <v>0</v>
      </c>
      <c r="BG22" s="38">
        <f t="shared" si="30"/>
        <v>3344</v>
      </c>
      <c r="BH22" s="92" t="e">
        <f t="shared" si="31"/>
        <v>#DIV/0!</v>
      </c>
      <c r="BI22" s="22"/>
      <c r="BJ22" s="28"/>
      <c r="BK22" s="61"/>
      <c r="BL22" s="61"/>
      <c r="BM22" s="71" t="e">
        <f t="shared" si="32"/>
        <v>#DIV/0!</v>
      </c>
    </row>
    <row r="23" spans="1:65">
      <c r="A23" s="22"/>
      <c r="B23" s="80">
        <v>19</v>
      </c>
      <c r="C23" s="81" t="s">
        <v>36</v>
      </c>
      <c r="D23" s="33"/>
      <c r="E23" s="33"/>
      <c r="F23" s="33"/>
      <c r="G23" s="33"/>
      <c r="H23" s="33"/>
      <c r="I23" s="22">
        <f>SUBTOTAL(9,I3:I22)</f>
        <v>865</v>
      </c>
      <c r="J23" s="22">
        <f>SUBTOTAL(9,J3:J22)</f>
        <v>578458.28</v>
      </c>
      <c r="K23" s="22">
        <f>SUBTOTAL(9,K3:K22)</f>
        <v>474052</v>
      </c>
      <c r="L23" s="92">
        <f>K23/J23-1</f>
        <v>-0.180490596486924</v>
      </c>
      <c r="M23" s="22">
        <f>SUBTOTAL(9,M3:M22)</f>
        <v>382921</v>
      </c>
      <c r="N23" s="22">
        <f>SUBTOTAL(9,N3:N22)</f>
        <v>390891.04</v>
      </c>
      <c r="O23" s="92">
        <f>N23/M23-1</f>
        <v>2.0813797101751901E-2</v>
      </c>
      <c r="P23" s="22">
        <f>SUBTOTAL(9,P3:P22)</f>
        <v>961379.28</v>
      </c>
      <c r="Q23" s="22">
        <f>SUBTOTAL(9,Q3:Q22)</f>
        <v>864943.04</v>
      </c>
      <c r="R23" s="92">
        <f>Q23/P23-1</f>
        <v>-0.100310295849105</v>
      </c>
      <c r="S23" s="22">
        <f>SUBTOTAL(9,S3:S22)</f>
        <v>427042.28</v>
      </c>
      <c r="T23" s="22">
        <f>SUBTOTAL(9,T3:T22)</f>
        <v>414836.06</v>
      </c>
      <c r="U23" s="92">
        <f>T23/S23-1</f>
        <v>-2.8583165114236499E-2</v>
      </c>
      <c r="V23" s="22">
        <f>SUBTOTAL(9,V3:V22)</f>
        <v>1388421.56</v>
      </c>
      <c r="W23" s="22">
        <f>SUBTOTAL(9,W3:W22)</f>
        <v>1279779.1000000001</v>
      </c>
      <c r="X23" s="92">
        <f>W23/V23-1</f>
        <v>-7.8248900139522501E-2</v>
      </c>
      <c r="Y23" s="22">
        <f>SUBTOTAL(9,Y3:Y22)</f>
        <v>399949</v>
      </c>
      <c r="Z23" s="22">
        <f>SUBTOTAL(9,Z3:Z22)</f>
        <v>411808.08</v>
      </c>
      <c r="AA23" s="92">
        <f>Z23/Y23-1</f>
        <v>2.9651480563771999E-2</v>
      </c>
      <c r="AB23" s="22">
        <f>SUBTOTAL(9,AB3:AB22)</f>
        <v>1788370.56</v>
      </c>
      <c r="AC23" s="22">
        <f>SUBTOTAL(9,AC3:AC22)</f>
        <v>1691587.18</v>
      </c>
      <c r="AD23" s="92">
        <f>AC23/AB23-1</f>
        <v>-5.4118191254501499E-2</v>
      </c>
      <c r="AE23" s="22">
        <f>SUBTOTAL(9,AE3:AE22)</f>
        <v>597544</v>
      </c>
      <c r="AF23" s="22">
        <f>SUBTOTAL(9,AF3:AF22)</f>
        <v>404990</v>
      </c>
      <c r="AG23" s="92">
        <f>AF23/AE23-1</f>
        <v>-0.32224237880390399</v>
      </c>
      <c r="AH23" s="22">
        <f>SUBTOTAL(9,AH3:AH22)</f>
        <v>2385914.56</v>
      </c>
      <c r="AI23" s="22">
        <f>SUBTOTAL(9,AI3:AI22)</f>
        <v>2096577.18</v>
      </c>
      <c r="AJ23" s="92">
        <f>AI23/AH23-1</f>
        <v>-0.121268961114852</v>
      </c>
      <c r="AK23" s="22">
        <f>SUBTOTAL(9,AK3:AK22)</f>
        <v>442447</v>
      </c>
      <c r="AL23" s="22">
        <f t="shared" ref="AL23:AR23" si="34">SUBTOTAL(9,AL3:AL22)</f>
        <v>273945</v>
      </c>
      <c r="AM23" s="92">
        <f t="shared" si="6"/>
        <v>-0.38084109509161501</v>
      </c>
      <c r="AN23" s="22">
        <f t="shared" si="34"/>
        <v>2828361.56</v>
      </c>
      <c r="AO23" s="22">
        <f t="shared" si="34"/>
        <v>2370522.1800000002</v>
      </c>
      <c r="AP23" s="92">
        <f t="shared" si="33"/>
        <v>-0.161874417498447</v>
      </c>
      <c r="AQ23" s="22">
        <f t="shared" si="34"/>
        <v>267076.26</v>
      </c>
      <c r="AR23" s="22">
        <f t="shared" si="34"/>
        <v>314396</v>
      </c>
      <c r="AS23" s="92">
        <f t="shared" si="7"/>
        <v>0.177176885732936</v>
      </c>
      <c r="AT23" s="22">
        <f t="shared" ref="AT23:AX23" si="35">SUBTOTAL(9,AT3:AT22)</f>
        <v>3095437.82</v>
      </c>
      <c r="AU23" s="22">
        <f t="shared" si="35"/>
        <v>2684918.18</v>
      </c>
      <c r="AV23" s="92">
        <f t="shared" si="8"/>
        <v>-0.13262086459872699</v>
      </c>
      <c r="AW23" s="128">
        <v>297074.56</v>
      </c>
      <c r="AX23" s="22">
        <f t="shared" si="35"/>
        <v>301382.59999999998</v>
      </c>
      <c r="AY23" s="92">
        <f t="shared" si="25"/>
        <v>1.4501544662727E-2</v>
      </c>
      <c r="AZ23" s="22">
        <f t="shared" ref="AZ23:BD23" si="36">SUBTOTAL(9,AZ3:AZ22)</f>
        <v>3392512.38</v>
      </c>
      <c r="BA23" s="22">
        <f t="shared" si="36"/>
        <v>2986300.78</v>
      </c>
      <c r="BB23" s="92">
        <f t="shared" si="9"/>
        <v>-0.119737691274099</v>
      </c>
      <c r="BC23" s="22">
        <f t="shared" si="36"/>
        <v>493686.14</v>
      </c>
      <c r="BD23" s="22">
        <f t="shared" si="36"/>
        <v>220016</v>
      </c>
      <c r="BE23" s="92">
        <f t="shared" si="28"/>
        <v>-0.55434033452914</v>
      </c>
      <c r="BF23" s="22">
        <f>SUBTOTAL(9,BF3:BF22)</f>
        <v>3886198.52</v>
      </c>
      <c r="BG23" s="22">
        <f>SUBTOTAL(9,BG3:BG22)</f>
        <v>3206316.78</v>
      </c>
      <c r="BH23" s="92">
        <f t="shared" si="31"/>
        <v>-0.174947763605241</v>
      </c>
      <c r="BI23" s="130">
        <v>594994.64</v>
      </c>
      <c r="BJ23" s="130">
        <v>779689</v>
      </c>
      <c r="BK23" s="131">
        <v>1367682.32</v>
      </c>
      <c r="BL23" s="131">
        <v>6628564.4800000004</v>
      </c>
      <c r="BM23" s="71">
        <f t="shared" si="32"/>
        <v>0.37067246011560701</v>
      </c>
    </row>
    <row r="28" spans="1:65">
      <c r="C28" s="49"/>
    </row>
  </sheetData>
  <autoFilter ref="A2:BN22" xr:uid="{00000000-0009-0000-0000-000002000000}"/>
  <mergeCells count="44">
    <mergeCell ref="M1:N1"/>
    <mergeCell ref="P1:Q1"/>
    <mergeCell ref="S1:T1"/>
    <mergeCell ref="V1:W1"/>
    <mergeCell ref="O1:O2"/>
    <mergeCell ref="R1:R2"/>
    <mergeCell ref="U1:U2"/>
    <mergeCell ref="X1:X2"/>
    <mergeCell ref="AN1:AO1"/>
    <mergeCell ref="Y1:Z1"/>
    <mergeCell ref="AB1:AC1"/>
    <mergeCell ref="AE1:AF1"/>
    <mergeCell ref="AH1:AI1"/>
    <mergeCell ref="AK1:AL1"/>
    <mergeCell ref="AA1:AA2"/>
    <mergeCell ref="AD1:AD2"/>
    <mergeCell ref="AG1:AG2"/>
    <mergeCell ref="AJ1:AJ2"/>
    <mergeCell ref="F1:F2"/>
    <mergeCell ref="G1:G2"/>
    <mergeCell ref="H1:H2"/>
    <mergeCell ref="I1:I2"/>
    <mergeCell ref="L1:L2"/>
    <mergeCell ref="J1:K1"/>
    <mergeCell ref="A1:A2"/>
    <mergeCell ref="B1:B2"/>
    <mergeCell ref="C1:C2"/>
    <mergeCell ref="D1:D2"/>
    <mergeCell ref="E1:E2"/>
    <mergeCell ref="BB1:BB2"/>
    <mergeCell ref="BE1:BE2"/>
    <mergeCell ref="BH1:BH2"/>
    <mergeCell ref="BM1:BM2"/>
    <mergeCell ref="AM1:AM2"/>
    <mergeCell ref="AP1:AP2"/>
    <mergeCell ref="AS1:AS2"/>
    <mergeCell ref="AV1:AV2"/>
    <mergeCell ref="AY1:AY2"/>
    <mergeCell ref="BC1:BD1"/>
    <mergeCell ref="BF1:BG1"/>
    <mergeCell ref="AQ1:AR1"/>
    <mergeCell ref="AT1:AU1"/>
    <mergeCell ref="AW1:AX1"/>
    <mergeCell ref="AZ1:BA1"/>
  </mergeCells>
  <phoneticPr fontId="32" type="noConversion"/>
  <pageMargins left="0.7" right="0.7" top="0.75" bottom="0.75" header="0.3" footer="0.3"/>
  <pageSetup paperSize="9" orientation="portrait" horizontalDpi="2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rgb="FF00B050"/>
  </sheetPr>
  <dimension ref="A1:BO33"/>
  <sheetViews>
    <sheetView workbookViewId="0">
      <pane xSplit="9" ySplit="2" topLeftCell="AY3" activePane="bottomRight" state="frozen"/>
      <selection pane="topRight"/>
      <selection pane="bottomLeft"/>
      <selection pane="bottomRight" activeCell="E24" sqref="A1:BO32"/>
    </sheetView>
  </sheetViews>
  <sheetFormatPr baseColWidth="10" defaultColWidth="9" defaultRowHeight="14"/>
  <cols>
    <col min="1" max="1" width="6.33203125" style="77" customWidth="1"/>
    <col min="2" max="2" width="4.83203125" customWidth="1"/>
    <col min="3" max="3" width="25" customWidth="1"/>
    <col min="4" max="5" width="7.5" customWidth="1"/>
    <col min="6" max="6" width="11.1640625" customWidth="1"/>
    <col min="7" max="7" width="7.83203125" hidden="1" customWidth="1"/>
    <col min="8" max="9" width="9.33203125" customWidth="1"/>
    <col min="10" max="12" width="11.1640625" style="19" customWidth="1"/>
    <col min="13" max="24" width="10.1640625" customWidth="1"/>
    <col min="25" max="25" width="10.83203125" customWidth="1"/>
    <col min="26" max="30" width="9.33203125" customWidth="1"/>
    <col min="31" max="36" width="10.83203125" customWidth="1"/>
    <col min="37" max="42" width="10.83203125" style="20" customWidth="1"/>
    <col min="43" max="54" width="10.83203125" customWidth="1"/>
    <col min="55" max="60" width="10.83203125" style="20" customWidth="1"/>
    <col min="61" max="64" width="10.83203125" style="20" hidden="1" customWidth="1"/>
    <col min="65" max="65" width="10.83203125" customWidth="1"/>
    <col min="66" max="66" width="9" hidden="1" customWidth="1"/>
    <col min="67" max="67" width="9.33203125" customWidth="1"/>
  </cols>
  <sheetData>
    <row r="1" spans="1:67">
      <c r="A1" s="199" t="s">
        <v>44</v>
      </c>
      <c r="B1" s="208" t="s">
        <v>45</v>
      </c>
      <c r="C1" s="208" t="s">
        <v>161</v>
      </c>
      <c r="D1" s="210" t="s">
        <v>47</v>
      </c>
      <c r="E1" s="211" t="s">
        <v>48</v>
      </c>
      <c r="F1" s="212" t="s">
        <v>49</v>
      </c>
      <c r="G1" s="213" t="s">
        <v>50</v>
      </c>
      <c r="H1" s="215" t="s">
        <v>51</v>
      </c>
      <c r="I1" s="215" t="s">
        <v>38</v>
      </c>
      <c r="J1" s="216" t="s">
        <v>3</v>
      </c>
      <c r="K1" s="206"/>
      <c r="L1" s="203" t="s">
        <v>4</v>
      </c>
      <c r="M1" s="197" t="s">
        <v>5</v>
      </c>
      <c r="N1" s="197"/>
      <c r="O1" s="196" t="s">
        <v>4</v>
      </c>
      <c r="P1" s="197" t="s">
        <v>39</v>
      </c>
      <c r="Q1" s="197"/>
      <c r="R1" s="196" t="s">
        <v>4</v>
      </c>
      <c r="S1" s="197" t="s">
        <v>6</v>
      </c>
      <c r="T1" s="197"/>
      <c r="U1" s="196" t="s">
        <v>4</v>
      </c>
      <c r="V1" s="197" t="s">
        <v>7</v>
      </c>
      <c r="W1" s="197"/>
      <c r="X1" s="196" t="s">
        <v>4</v>
      </c>
      <c r="Y1" s="197" t="s">
        <v>8</v>
      </c>
      <c r="Z1" s="197"/>
      <c r="AA1" s="196" t="s">
        <v>4</v>
      </c>
      <c r="AB1" s="197" t="s">
        <v>9</v>
      </c>
      <c r="AC1" s="197"/>
      <c r="AD1" s="196" t="s">
        <v>4</v>
      </c>
      <c r="AE1" s="197" t="s">
        <v>10</v>
      </c>
      <c r="AF1" s="197"/>
      <c r="AG1" s="196" t="s">
        <v>4</v>
      </c>
      <c r="AH1" s="197" t="s">
        <v>11</v>
      </c>
      <c r="AI1" s="197"/>
      <c r="AJ1" s="196" t="s">
        <v>4</v>
      </c>
      <c r="AK1" s="197" t="s">
        <v>12</v>
      </c>
      <c r="AL1" s="197"/>
      <c r="AM1" s="196" t="s">
        <v>4</v>
      </c>
      <c r="AN1" s="197" t="s">
        <v>13</v>
      </c>
      <c r="AO1" s="197"/>
      <c r="AP1" s="196" t="s">
        <v>4</v>
      </c>
      <c r="AQ1" s="197" t="s">
        <v>14</v>
      </c>
      <c r="AR1" s="197"/>
      <c r="AS1" s="196" t="s">
        <v>4</v>
      </c>
      <c r="AT1" s="197" t="s">
        <v>15</v>
      </c>
      <c r="AU1" s="197"/>
      <c r="AV1" s="187" t="s">
        <v>4</v>
      </c>
      <c r="AW1" s="197" t="s">
        <v>16</v>
      </c>
      <c r="AX1" s="197"/>
      <c r="AY1" s="196" t="s">
        <v>4</v>
      </c>
      <c r="AZ1" s="197" t="s">
        <v>17</v>
      </c>
      <c r="BA1" s="197"/>
      <c r="BB1" s="187" t="s">
        <v>4</v>
      </c>
      <c r="BC1" s="191" t="s">
        <v>18</v>
      </c>
      <c r="BD1" s="192"/>
      <c r="BE1" s="187" t="s">
        <v>4</v>
      </c>
      <c r="BF1" s="191" t="s">
        <v>19</v>
      </c>
      <c r="BG1" s="192"/>
      <c r="BH1" s="187" t="s">
        <v>4</v>
      </c>
      <c r="BI1" s="119" t="s">
        <v>40</v>
      </c>
      <c r="BJ1" s="119" t="s">
        <v>41</v>
      </c>
      <c r="BK1" s="119" t="s">
        <v>42</v>
      </c>
      <c r="BL1" s="78" t="s">
        <v>133</v>
      </c>
      <c r="BM1" s="207" t="s">
        <v>20</v>
      </c>
      <c r="BN1" s="40"/>
      <c r="BO1" s="40"/>
    </row>
    <row r="2" spans="1:67" ht="12" customHeight="1">
      <c r="A2" s="199"/>
      <c r="B2" s="209"/>
      <c r="C2" s="209"/>
      <c r="D2" s="210"/>
      <c r="E2" s="211"/>
      <c r="F2" s="212"/>
      <c r="G2" s="214"/>
      <c r="H2" s="212"/>
      <c r="I2" s="212"/>
      <c r="J2" s="64" t="s">
        <v>21</v>
      </c>
      <c r="K2" s="64" t="s">
        <v>22</v>
      </c>
      <c r="L2" s="204"/>
      <c r="M2" s="35" t="s">
        <v>21</v>
      </c>
      <c r="N2" s="35" t="s">
        <v>22</v>
      </c>
      <c r="O2" s="196"/>
      <c r="P2" s="35" t="s">
        <v>21</v>
      </c>
      <c r="Q2" s="35" t="s">
        <v>22</v>
      </c>
      <c r="R2" s="196"/>
      <c r="S2" s="35" t="s">
        <v>21</v>
      </c>
      <c r="T2" s="35" t="s">
        <v>22</v>
      </c>
      <c r="U2" s="196"/>
      <c r="V2" s="35" t="s">
        <v>21</v>
      </c>
      <c r="W2" s="35" t="s">
        <v>22</v>
      </c>
      <c r="X2" s="196"/>
      <c r="Y2" s="35" t="s">
        <v>21</v>
      </c>
      <c r="Z2" s="35" t="s">
        <v>22</v>
      </c>
      <c r="AA2" s="196"/>
      <c r="AB2" s="35" t="s">
        <v>21</v>
      </c>
      <c r="AC2" s="35" t="s">
        <v>22</v>
      </c>
      <c r="AD2" s="196"/>
      <c r="AE2" s="35" t="s">
        <v>21</v>
      </c>
      <c r="AF2" s="35" t="s">
        <v>22</v>
      </c>
      <c r="AG2" s="196"/>
      <c r="AH2" s="35" t="s">
        <v>21</v>
      </c>
      <c r="AI2" s="35" t="s">
        <v>22</v>
      </c>
      <c r="AJ2" s="196"/>
      <c r="AK2" s="35" t="s">
        <v>21</v>
      </c>
      <c r="AL2" s="35" t="s">
        <v>22</v>
      </c>
      <c r="AM2" s="196"/>
      <c r="AN2" s="35" t="s">
        <v>21</v>
      </c>
      <c r="AO2" s="35" t="s">
        <v>22</v>
      </c>
      <c r="AP2" s="196"/>
      <c r="AQ2" s="35" t="s">
        <v>21</v>
      </c>
      <c r="AR2" s="35" t="s">
        <v>22</v>
      </c>
      <c r="AS2" s="196"/>
      <c r="AT2" s="35" t="s">
        <v>21</v>
      </c>
      <c r="AU2" s="35" t="s">
        <v>22</v>
      </c>
      <c r="AV2" s="187"/>
      <c r="AW2" s="35" t="s">
        <v>21</v>
      </c>
      <c r="AX2" s="35" t="s">
        <v>22</v>
      </c>
      <c r="AY2" s="196"/>
      <c r="AZ2" s="35" t="s">
        <v>21</v>
      </c>
      <c r="BA2" s="35" t="s">
        <v>22</v>
      </c>
      <c r="BB2" s="187"/>
      <c r="BC2" s="35" t="s">
        <v>21</v>
      </c>
      <c r="BD2" s="35" t="s">
        <v>22</v>
      </c>
      <c r="BE2" s="187"/>
      <c r="BF2" s="35" t="s">
        <v>21</v>
      </c>
      <c r="BG2" s="35" t="s">
        <v>22</v>
      </c>
      <c r="BH2" s="187"/>
      <c r="BI2" s="22" t="s">
        <v>21</v>
      </c>
      <c r="BJ2" s="22" t="s">
        <v>21</v>
      </c>
      <c r="BK2" s="22" t="s">
        <v>21</v>
      </c>
      <c r="BL2" s="22" t="s">
        <v>21</v>
      </c>
      <c r="BM2" s="207"/>
      <c r="BN2" s="42" t="s">
        <v>162</v>
      </c>
      <c r="BO2" s="42" t="s">
        <v>163</v>
      </c>
    </row>
    <row r="3" spans="1:67">
      <c r="A3" s="22" t="s">
        <v>164</v>
      </c>
      <c r="B3" s="78" t="s">
        <v>164</v>
      </c>
      <c r="C3" s="33" t="s">
        <v>165</v>
      </c>
      <c r="D3" s="114" t="s">
        <v>65</v>
      </c>
      <c r="E3" s="114" t="s">
        <v>65</v>
      </c>
      <c r="F3" s="33" t="s">
        <v>166</v>
      </c>
      <c r="G3" s="33" t="s">
        <v>166</v>
      </c>
      <c r="H3" s="39" t="s">
        <v>167</v>
      </c>
      <c r="I3" s="39">
        <v>220</v>
      </c>
      <c r="J3" s="22">
        <v>365000</v>
      </c>
      <c r="K3" s="22">
        <f>73000+11500</f>
        <v>84500</v>
      </c>
      <c r="L3" s="92">
        <f>K3/J3-1</f>
        <v>-0.76849315068493196</v>
      </c>
      <c r="M3" s="105">
        <v>30000</v>
      </c>
      <c r="N3" s="105">
        <f>15000+21876</f>
        <v>36876</v>
      </c>
      <c r="O3" s="92">
        <f t="shared" ref="O3:O25" si="0">N3/M3-1</f>
        <v>0.22919999999999999</v>
      </c>
      <c r="P3" s="105">
        <f>M3+J3</f>
        <v>395000</v>
      </c>
      <c r="Q3" s="105">
        <f>N3+K3</f>
        <v>121376</v>
      </c>
      <c r="R3" s="92">
        <f t="shared" ref="R3:R25" si="1">Q3/P3-1</f>
        <v>-0.69271898734177195</v>
      </c>
      <c r="S3" s="39">
        <v>148000</v>
      </c>
      <c r="T3" s="39">
        <f>38155.54+91496-15078</f>
        <v>114573.54</v>
      </c>
      <c r="U3" s="92">
        <f t="shared" ref="U3:U25" si="2">T3/S3-1</f>
        <v>-0.22585445945945901</v>
      </c>
      <c r="V3" s="38">
        <f>S3+P3</f>
        <v>543000</v>
      </c>
      <c r="W3" s="38">
        <f>T3+Q3</f>
        <v>235949.54</v>
      </c>
      <c r="X3" s="92">
        <f>W3/V3-1</f>
        <v>-0.56547046040515703</v>
      </c>
      <c r="Y3" s="39">
        <v>115000</v>
      </c>
      <c r="Z3" s="39">
        <v>156103</v>
      </c>
      <c r="AA3" s="92">
        <f t="shared" ref="AA3:AA25" si="3">Z3/Y3-1</f>
        <v>0.35741739130434802</v>
      </c>
      <c r="AB3" s="39">
        <f>Y3+V3</f>
        <v>658000</v>
      </c>
      <c r="AC3" s="39">
        <f>Z3+W3</f>
        <v>392052.54</v>
      </c>
      <c r="AD3" s="92">
        <f>AC3/AB3-1</f>
        <v>-0.40417547112461999</v>
      </c>
      <c r="AE3" s="39">
        <v>171600</v>
      </c>
      <c r="AF3" s="39">
        <v>51953</v>
      </c>
      <c r="AG3" s="92">
        <f>AF3/AE3-1</f>
        <v>-0.69724358974359002</v>
      </c>
      <c r="AH3" s="39">
        <f>AE3+AB3</f>
        <v>829600</v>
      </c>
      <c r="AI3" s="39">
        <f>AF3+AC3</f>
        <v>444005.54</v>
      </c>
      <c r="AJ3" s="92">
        <f>AI3/AH3-1</f>
        <v>-0.46479563645130201</v>
      </c>
      <c r="AK3" s="38">
        <v>165430.29999999999</v>
      </c>
      <c r="AL3" s="38">
        <v>113309</v>
      </c>
      <c r="AM3" s="92">
        <f>AL3/AK3-1</f>
        <v>-0.31506501529647202</v>
      </c>
      <c r="AN3" s="38">
        <f>AK3+AH3</f>
        <v>995030.3</v>
      </c>
      <c r="AO3" s="38">
        <f>AL3+AI3</f>
        <v>557314.54</v>
      </c>
      <c r="AP3" s="92">
        <f>AO3/AN3-1</f>
        <v>-0.43990194067457</v>
      </c>
      <c r="AQ3" s="39">
        <v>130000</v>
      </c>
      <c r="AR3" s="39">
        <v>18500</v>
      </c>
      <c r="AS3" s="92">
        <f t="shared" ref="AS3:AS29" si="4">AR3/AQ3-1</f>
        <v>-0.85769230769230798</v>
      </c>
      <c r="AT3" s="39">
        <f>AQ3+AN3</f>
        <v>1125030.3</v>
      </c>
      <c r="AU3" s="39">
        <f>AR3+AO3</f>
        <v>575814.54</v>
      </c>
      <c r="AV3" s="92">
        <f>AU3/AT3-1</f>
        <v>-0.48817863838867298</v>
      </c>
      <c r="AW3" s="39">
        <v>110000</v>
      </c>
      <c r="AX3" s="39">
        <v>80100</v>
      </c>
      <c r="AY3" s="92">
        <f>AX3/AW3-1</f>
        <v>-0.27181818181818201</v>
      </c>
      <c r="AZ3" s="39">
        <f>AW3+AT3</f>
        <v>1235030.3</v>
      </c>
      <c r="BA3" s="39">
        <f>AX3+AU3</f>
        <v>655914.54</v>
      </c>
      <c r="BB3" s="92">
        <f>BA3/AZ3-1</f>
        <v>-0.46890813933876802</v>
      </c>
      <c r="BC3" s="38">
        <v>220362</v>
      </c>
      <c r="BD3" s="38">
        <f>2800+58867</f>
        <v>61667</v>
      </c>
      <c r="BE3" s="92">
        <f>BD3/BC3-1</f>
        <v>-0.72015592525026995</v>
      </c>
      <c r="BF3" s="38">
        <f>BC3+AZ3</f>
        <v>1455392.3</v>
      </c>
      <c r="BG3" s="38">
        <f>BD3+BA3</f>
        <v>717581.54</v>
      </c>
      <c r="BH3" s="92">
        <f>BG3/BF3-1</f>
        <v>-0.50694974818816896</v>
      </c>
      <c r="BI3" s="28">
        <v>194142</v>
      </c>
      <c r="BJ3" s="28">
        <v>187500</v>
      </c>
      <c r="BK3" s="28">
        <v>177140</v>
      </c>
      <c r="BL3" s="28">
        <v>2014174.3</v>
      </c>
      <c r="BM3" s="29">
        <f>BG3/10000/I3</f>
        <v>0.32617342727272702</v>
      </c>
      <c r="BN3" s="42">
        <v>63600</v>
      </c>
      <c r="BO3" s="40"/>
    </row>
    <row r="4" spans="1:67" ht="15">
      <c r="A4" s="22" t="s">
        <v>164</v>
      </c>
      <c r="B4" s="78" t="s">
        <v>168</v>
      </c>
      <c r="C4" s="115" t="s">
        <v>169</v>
      </c>
      <c r="D4" s="114" t="s">
        <v>56</v>
      </c>
      <c r="E4" s="114" t="s">
        <v>56</v>
      </c>
      <c r="F4" s="33" t="s">
        <v>170</v>
      </c>
      <c r="G4" s="33" t="s">
        <v>171</v>
      </c>
      <c r="H4" s="39" t="s">
        <v>172</v>
      </c>
      <c r="I4" s="117">
        <v>200</v>
      </c>
      <c r="J4" s="22">
        <v>203140.4</v>
      </c>
      <c r="K4" s="22">
        <v>211568</v>
      </c>
      <c r="L4" s="92">
        <f t="shared" ref="L4:L25" si="5">K4/J4-1</f>
        <v>4.14865777560742E-2</v>
      </c>
      <c r="M4" s="105">
        <v>108325</v>
      </c>
      <c r="N4" s="105">
        <v>126251</v>
      </c>
      <c r="O4" s="92">
        <f t="shared" si="0"/>
        <v>0.165483498730672</v>
      </c>
      <c r="P4" s="105">
        <f t="shared" ref="P4:P25" si="6">M4+J4</f>
        <v>311465.40000000002</v>
      </c>
      <c r="Q4" s="105">
        <f t="shared" ref="Q4:Q25" si="7">N4+K4</f>
        <v>337819</v>
      </c>
      <c r="R4" s="92">
        <f t="shared" si="1"/>
        <v>8.4611645466879895E-2</v>
      </c>
      <c r="S4" s="39">
        <v>64094</v>
      </c>
      <c r="T4" s="39">
        <v>164562</v>
      </c>
      <c r="U4" s="92">
        <f t="shared" si="2"/>
        <v>1.5675102193653101</v>
      </c>
      <c r="V4" s="38">
        <f t="shared" ref="V4:V25" si="8">S4+P4</f>
        <v>375559.4</v>
      </c>
      <c r="W4" s="38">
        <f t="shared" ref="W4:W25" si="9">T4+Q4</f>
        <v>502381</v>
      </c>
      <c r="X4" s="92">
        <f t="shared" ref="X4:X25" si="10">W4/V4-1</f>
        <v>0.33768719408967002</v>
      </c>
      <c r="Y4" s="39">
        <v>66218</v>
      </c>
      <c r="Z4" s="39">
        <v>103867</v>
      </c>
      <c r="AA4" s="92">
        <f t="shared" si="3"/>
        <v>0.56856141834546503</v>
      </c>
      <c r="AB4" s="39">
        <f t="shared" ref="AB4:AB25" si="11">Y4+V4</f>
        <v>441777.4</v>
      </c>
      <c r="AC4" s="39">
        <f t="shared" ref="AC4:AC25" si="12">Z4+W4</f>
        <v>606248</v>
      </c>
      <c r="AD4" s="92">
        <f t="shared" ref="AD4:AD25" si="13">AC4/AB4-1</f>
        <v>0.372292923992943</v>
      </c>
      <c r="AE4" s="39">
        <v>62805</v>
      </c>
      <c r="AF4" s="39">
        <f>95846+40500</f>
        <v>136346</v>
      </c>
      <c r="AG4" s="92">
        <f t="shared" ref="AG4:AG29" si="14">AF4/AE4-1</f>
        <v>1.1709418039965001</v>
      </c>
      <c r="AH4" s="39">
        <f t="shared" ref="AH4:AH29" si="15">AE4+AB4</f>
        <v>504582.40000000002</v>
      </c>
      <c r="AI4" s="39">
        <f t="shared" ref="AI4:AI29" si="16">AF4+AC4</f>
        <v>742594</v>
      </c>
      <c r="AJ4" s="92">
        <f t="shared" ref="AJ4:AJ29" si="17">AI4/AH4-1</f>
        <v>0.47170016235207601</v>
      </c>
      <c r="AK4" s="38">
        <v>109740</v>
      </c>
      <c r="AL4" s="38">
        <v>208633</v>
      </c>
      <c r="AM4" s="92">
        <f t="shared" ref="AM4:AM29" si="18">AL4/AK4-1</f>
        <v>0.90115728084563496</v>
      </c>
      <c r="AN4" s="38">
        <f t="shared" ref="AN4:AN29" si="19">AK4+AH4</f>
        <v>614322.4</v>
      </c>
      <c r="AO4" s="38">
        <f t="shared" ref="AO4:AO29" si="20">AL4+AI4</f>
        <v>951227</v>
      </c>
      <c r="AP4" s="92">
        <f t="shared" ref="AP4:AP29" si="21">AO4/AN4-1</f>
        <v>0.54841659688788802</v>
      </c>
      <c r="AQ4" s="39">
        <v>81839</v>
      </c>
      <c r="AR4" s="39">
        <v>124398</v>
      </c>
      <c r="AS4" s="92">
        <f t="shared" si="4"/>
        <v>0.52003323598773199</v>
      </c>
      <c r="AT4" s="39">
        <f t="shared" ref="AT4:AT29" si="22">AQ4+AN4</f>
        <v>696161.4</v>
      </c>
      <c r="AU4" s="39">
        <f t="shared" ref="AU4:AU29" si="23">AR4+AO4</f>
        <v>1075625</v>
      </c>
      <c r="AV4" s="92">
        <f t="shared" ref="AV4:AV29" si="24">AU4/AT4-1</f>
        <v>0.54507991968529101</v>
      </c>
      <c r="AW4" s="39">
        <v>111235</v>
      </c>
      <c r="AX4" s="39">
        <v>61741</v>
      </c>
      <c r="AY4" s="92">
        <f t="shared" ref="AY4:AY29" si="25">AX4/AW4-1</f>
        <v>-0.44494988088281601</v>
      </c>
      <c r="AZ4" s="39">
        <f t="shared" ref="AZ4:AZ29" si="26">AW4+AT4</f>
        <v>807396.4</v>
      </c>
      <c r="BA4" s="39">
        <f t="shared" ref="BA4:BA29" si="27">AX4+AU4</f>
        <v>1137366</v>
      </c>
      <c r="BB4" s="92">
        <f t="shared" ref="BB4:BB29" si="28">BA4/AZ4-1</f>
        <v>0.40868351654775797</v>
      </c>
      <c r="BC4" s="38">
        <v>85147</v>
      </c>
      <c r="BD4" s="38">
        <f>88360+20000</f>
        <v>108360</v>
      </c>
      <c r="BE4" s="92">
        <f t="shared" ref="BE4:BE32" si="29">BD4/BC4-1</f>
        <v>0.27262264084465698</v>
      </c>
      <c r="BF4" s="38">
        <f t="shared" ref="BF4:BF31" si="30">BC4+AZ4</f>
        <v>892543.4</v>
      </c>
      <c r="BG4" s="38">
        <f t="shared" ref="BG4:BG31" si="31">BD4+BA4</f>
        <v>1245726</v>
      </c>
      <c r="BH4" s="92">
        <f t="shared" ref="BH4:BH32" si="32">BG4/BF4-1</f>
        <v>0.39570355906502702</v>
      </c>
      <c r="BI4" s="28">
        <v>232045</v>
      </c>
      <c r="BJ4" s="28">
        <v>330393</v>
      </c>
      <c r="BK4" s="28">
        <v>298629</v>
      </c>
      <c r="BL4" s="28">
        <v>1753610.4</v>
      </c>
      <c r="BM4" s="29">
        <f t="shared" ref="BM4:BM32" si="33">BG4/10000/I4</f>
        <v>0.62286300000000006</v>
      </c>
      <c r="BN4" s="42"/>
      <c r="BO4" s="40">
        <f>20500+20000+20000</f>
        <v>60500</v>
      </c>
    </row>
    <row r="5" spans="1:67">
      <c r="A5" s="22" t="s">
        <v>164</v>
      </c>
      <c r="B5" s="78" t="s">
        <v>164</v>
      </c>
      <c r="C5" s="116" t="s">
        <v>173</v>
      </c>
      <c r="D5" s="114" t="s">
        <v>79</v>
      </c>
      <c r="E5" s="114" t="s">
        <v>79</v>
      </c>
      <c r="F5" s="33" t="s">
        <v>174</v>
      </c>
      <c r="G5" s="33" t="s">
        <v>80</v>
      </c>
      <c r="H5" s="39" t="s">
        <v>175</v>
      </c>
      <c r="I5" s="39"/>
      <c r="J5" s="22">
        <v>97567.31</v>
      </c>
      <c r="K5" s="22">
        <v>170180.19</v>
      </c>
      <c r="L5" s="92">
        <f t="shared" si="5"/>
        <v>0.74423369876652301</v>
      </c>
      <c r="M5" s="105"/>
      <c r="N5" s="105">
        <v>33500.800000000003</v>
      </c>
      <c r="O5" s="92" t="e">
        <f t="shared" si="0"/>
        <v>#DIV/0!</v>
      </c>
      <c r="P5" s="105">
        <f t="shared" si="6"/>
        <v>97567.31</v>
      </c>
      <c r="Q5" s="105">
        <f t="shared" si="7"/>
        <v>203680.99</v>
      </c>
      <c r="R5" s="92">
        <f t="shared" si="1"/>
        <v>1.0875946052012699</v>
      </c>
      <c r="S5" s="39"/>
      <c r="T5" s="39">
        <v>337846.67</v>
      </c>
      <c r="U5" s="92" t="e">
        <f t="shared" si="2"/>
        <v>#DIV/0!</v>
      </c>
      <c r="V5" s="38">
        <f t="shared" si="8"/>
        <v>97567.31</v>
      </c>
      <c r="W5" s="38">
        <f t="shared" si="9"/>
        <v>541527.66</v>
      </c>
      <c r="X5" s="92">
        <f t="shared" si="10"/>
        <v>4.5502981480169904</v>
      </c>
      <c r="Y5" s="39">
        <v>240583.45</v>
      </c>
      <c r="Z5" s="39">
        <f>204513.1+40000</f>
        <v>244513.1</v>
      </c>
      <c r="AA5" s="92">
        <f t="shared" si="3"/>
        <v>1.63338334370049E-2</v>
      </c>
      <c r="AB5" s="39">
        <f t="shared" si="11"/>
        <v>338150.76</v>
      </c>
      <c r="AC5" s="39">
        <f t="shared" si="12"/>
        <v>786040.76</v>
      </c>
      <c r="AD5" s="92">
        <f t="shared" si="13"/>
        <v>1.3245275568802499</v>
      </c>
      <c r="AE5" s="39">
        <v>100835.81</v>
      </c>
      <c r="AF5" s="39">
        <f>177019.03+16000</f>
        <v>193019.03</v>
      </c>
      <c r="AG5" s="92">
        <f t="shared" si="14"/>
        <v>0.91419129771457197</v>
      </c>
      <c r="AH5" s="39">
        <f t="shared" si="15"/>
        <v>438986.57</v>
      </c>
      <c r="AI5" s="39">
        <f t="shared" si="16"/>
        <v>979059.79</v>
      </c>
      <c r="AJ5" s="92">
        <f t="shared" si="17"/>
        <v>1.2302727621029499</v>
      </c>
      <c r="AK5" s="38">
        <v>64337.91</v>
      </c>
      <c r="AL5" s="38">
        <v>241756.98</v>
      </c>
      <c r="AM5" s="92">
        <f t="shared" si="18"/>
        <v>2.7576132019209201</v>
      </c>
      <c r="AN5" s="38">
        <f t="shared" si="19"/>
        <v>503324.48</v>
      </c>
      <c r="AO5" s="38">
        <f t="shared" si="20"/>
        <v>1220816.77</v>
      </c>
      <c r="AP5" s="92">
        <f t="shared" si="21"/>
        <v>1.4255064446696499</v>
      </c>
      <c r="AQ5" s="39">
        <v>130913.08</v>
      </c>
      <c r="AR5" s="39">
        <v>124862.42</v>
      </c>
      <c r="AS5" s="92">
        <f t="shared" si="4"/>
        <v>-4.6218911051516001E-2</v>
      </c>
      <c r="AT5" s="39">
        <f t="shared" si="22"/>
        <v>634237.56000000006</v>
      </c>
      <c r="AU5" s="39">
        <f t="shared" si="23"/>
        <v>1345679.19</v>
      </c>
      <c r="AV5" s="92">
        <f t="shared" si="24"/>
        <v>1.1217273697887</v>
      </c>
      <c r="AW5" s="39">
        <v>41058.21</v>
      </c>
      <c r="AX5" s="39"/>
      <c r="AY5" s="92">
        <f t="shared" si="25"/>
        <v>-1</v>
      </c>
      <c r="AZ5" s="39">
        <f t="shared" si="26"/>
        <v>675295.77</v>
      </c>
      <c r="BA5" s="39">
        <f t="shared" si="27"/>
        <v>1345679.19</v>
      </c>
      <c r="BB5" s="92">
        <f t="shared" si="28"/>
        <v>0.99272563191088903</v>
      </c>
      <c r="BC5" s="38">
        <v>115479.03999999999</v>
      </c>
      <c r="BD5" s="38">
        <v>10000</v>
      </c>
      <c r="BE5" s="92">
        <f t="shared" si="29"/>
        <v>-0.91340419871865897</v>
      </c>
      <c r="BF5" s="38">
        <f t="shared" si="30"/>
        <v>790774.81</v>
      </c>
      <c r="BG5" s="38">
        <f t="shared" si="31"/>
        <v>1355679.19</v>
      </c>
      <c r="BH5" s="92">
        <f t="shared" si="32"/>
        <v>0.71436820300333004</v>
      </c>
      <c r="BI5" s="28">
        <v>171817.37</v>
      </c>
      <c r="BJ5" s="28">
        <v>249700.3</v>
      </c>
      <c r="BK5" s="28">
        <v>153495.25</v>
      </c>
      <c r="BL5" s="28">
        <v>1365787.73</v>
      </c>
      <c r="BM5" s="29" t="e">
        <f t="shared" si="33"/>
        <v>#DIV/0!</v>
      </c>
      <c r="BN5" s="42">
        <v>46300</v>
      </c>
      <c r="BO5" s="40">
        <f>40000+16000+10000</f>
        <v>66000</v>
      </c>
    </row>
    <row r="6" spans="1:67">
      <c r="A6" s="22" t="s">
        <v>164</v>
      </c>
      <c r="B6" s="78" t="s">
        <v>164</v>
      </c>
      <c r="C6" s="33" t="s">
        <v>176</v>
      </c>
      <c r="D6" s="114" t="s">
        <v>84</v>
      </c>
      <c r="E6" s="114" t="s">
        <v>84</v>
      </c>
      <c r="F6" s="33" t="s">
        <v>174</v>
      </c>
      <c r="G6" s="33" t="s">
        <v>177</v>
      </c>
      <c r="H6" s="39" t="s">
        <v>178</v>
      </c>
      <c r="I6" s="39"/>
      <c r="J6" s="22">
        <v>17958</v>
      </c>
      <c r="K6" s="22"/>
      <c r="L6" s="92">
        <f t="shared" si="5"/>
        <v>-1</v>
      </c>
      <c r="M6" s="105">
        <v>3966</v>
      </c>
      <c r="N6" s="105"/>
      <c r="O6" s="92">
        <f t="shared" si="0"/>
        <v>-1</v>
      </c>
      <c r="P6" s="105">
        <f t="shared" si="6"/>
        <v>21924</v>
      </c>
      <c r="Q6" s="105">
        <f t="shared" si="7"/>
        <v>0</v>
      </c>
      <c r="R6" s="92">
        <f t="shared" si="1"/>
        <v>-1</v>
      </c>
      <c r="S6" s="39">
        <v>6800</v>
      </c>
      <c r="T6" s="39"/>
      <c r="U6" s="92">
        <f t="shared" si="2"/>
        <v>-1</v>
      </c>
      <c r="V6" s="38">
        <f t="shared" si="8"/>
        <v>28724</v>
      </c>
      <c r="W6" s="38">
        <f t="shared" si="9"/>
        <v>0</v>
      </c>
      <c r="X6" s="92">
        <f t="shared" si="10"/>
        <v>-1</v>
      </c>
      <c r="Y6" s="39"/>
      <c r="Z6" s="39"/>
      <c r="AA6" s="92" t="e">
        <f t="shared" si="3"/>
        <v>#DIV/0!</v>
      </c>
      <c r="AB6" s="39">
        <f t="shared" si="11"/>
        <v>28724</v>
      </c>
      <c r="AC6" s="39">
        <f t="shared" si="12"/>
        <v>0</v>
      </c>
      <c r="AD6" s="92">
        <f t="shared" si="13"/>
        <v>-1</v>
      </c>
      <c r="AE6" s="39"/>
      <c r="AF6" s="39"/>
      <c r="AG6" s="92" t="e">
        <f t="shared" si="14"/>
        <v>#DIV/0!</v>
      </c>
      <c r="AH6" s="39">
        <f t="shared" si="15"/>
        <v>28724</v>
      </c>
      <c r="AI6" s="39">
        <f t="shared" si="16"/>
        <v>0</v>
      </c>
      <c r="AJ6" s="92">
        <f t="shared" si="17"/>
        <v>-1</v>
      </c>
      <c r="AK6" s="38"/>
      <c r="AL6" s="38"/>
      <c r="AM6" s="92" t="e">
        <f t="shared" si="18"/>
        <v>#DIV/0!</v>
      </c>
      <c r="AN6" s="38">
        <f t="shared" si="19"/>
        <v>28724</v>
      </c>
      <c r="AO6" s="38">
        <f t="shared" si="20"/>
        <v>0</v>
      </c>
      <c r="AP6" s="92">
        <f t="shared" si="21"/>
        <v>-1</v>
      </c>
      <c r="AQ6" s="39"/>
      <c r="AR6" s="39"/>
      <c r="AS6" s="92" t="e">
        <f t="shared" si="4"/>
        <v>#DIV/0!</v>
      </c>
      <c r="AT6" s="39">
        <f t="shared" si="22"/>
        <v>28724</v>
      </c>
      <c r="AU6" s="39">
        <f t="shared" si="23"/>
        <v>0</v>
      </c>
      <c r="AV6" s="92">
        <f t="shared" si="24"/>
        <v>-1</v>
      </c>
      <c r="AW6" s="39"/>
      <c r="AX6" s="39"/>
      <c r="AY6" s="92" t="e">
        <f t="shared" si="25"/>
        <v>#DIV/0!</v>
      </c>
      <c r="AZ6" s="39">
        <f t="shared" si="26"/>
        <v>28724</v>
      </c>
      <c r="BA6" s="39">
        <f t="shared" si="27"/>
        <v>0</v>
      </c>
      <c r="BB6" s="92">
        <f t="shared" si="28"/>
        <v>-1</v>
      </c>
      <c r="BC6" s="38"/>
      <c r="BD6" s="38"/>
      <c r="BE6" s="92" t="e">
        <f t="shared" si="29"/>
        <v>#DIV/0!</v>
      </c>
      <c r="BF6" s="38">
        <f t="shared" si="30"/>
        <v>28724</v>
      </c>
      <c r="BG6" s="38">
        <f t="shared" si="31"/>
        <v>0</v>
      </c>
      <c r="BH6" s="92">
        <f t="shared" si="32"/>
        <v>-1</v>
      </c>
      <c r="BI6" s="28"/>
      <c r="BJ6" s="28"/>
      <c r="BK6" s="28"/>
      <c r="BL6" s="28">
        <v>28724</v>
      </c>
      <c r="BM6" s="29" t="e">
        <f t="shared" si="33"/>
        <v>#DIV/0!</v>
      </c>
      <c r="BN6" s="40"/>
      <c r="BO6" s="40"/>
    </row>
    <row r="7" spans="1:67" ht="15" customHeight="1">
      <c r="A7" s="22" t="s">
        <v>164</v>
      </c>
      <c r="B7" s="78" t="s">
        <v>168</v>
      </c>
      <c r="C7" s="33" t="s">
        <v>179</v>
      </c>
      <c r="D7" s="114" t="s">
        <v>65</v>
      </c>
      <c r="E7" s="114" t="s">
        <v>65</v>
      </c>
      <c r="F7" s="33" t="s">
        <v>170</v>
      </c>
      <c r="G7" s="33" t="s">
        <v>180</v>
      </c>
      <c r="H7" s="39" t="s">
        <v>172</v>
      </c>
      <c r="I7" s="117">
        <v>80</v>
      </c>
      <c r="J7" s="22">
        <v>25400</v>
      </c>
      <c r="K7" s="22">
        <f>3850+26880</f>
        <v>30730</v>
      </c>
      <c r="L7" s="92">
        <f t="shared" si="5"/>
        <v>0.209842519685039</v>
      </c>
      <c r="M7" s="105">
        <v>10400</v>
      </c>
      <c r="N7" s="105"/>
      <c r="O7" s="92">
        <f t="shared" si="0"/>
        <v>-1</v>
      </c>
      <c r="P7" s="105">
        <f t="shared" si="6"/>
        <v>35800</v>
      </c>
      <c r="Q7" s="105">
        <f t="shared" si="7"/>
        <v>30730</v>
      </c>
      <c r="R7" s="92">
        <f t="shared" si="1"/>
        <v>-0.141620111731844</v>
      </c>
      <c r="S7" s="39">
        <v>30900</v>
      </c>
      <c r="T7" s="39">
        <f>11396+20456</f>
        <v>31852</v>
      </c>
      <c r="U7" s="92">
        <f t="shared" si="2"/>
        <v>3.0809061488673101E-2</v>
      </c>
      <c r="V7" s="38">
        <f t="shared" si="8"/>
        <v>66700</v>
      </c>
      <c r="W7" s="38">
        <f t="shared" si="9"/>
        <v>62582</v>
      </c>
      <c r="X7" s="92">
        <f t="shared" si="10"/>
        <v>-6.1739130434782602E-2</v>
      </c>
      <c r="Y7" s="39">
        <v>32900</v>
      </c>
      <c r="Z7" s="39">
        <v>39671</v>
      </c>
      <c r="AA7" s="92">
        <f t="shared" si="3"/>
        <v>0.20580547112462</v>
      </c>
      <c r="AB7" s="39">
        <f t="shared" si="11"/>
        <v>99600</v>
      </c>
      <c r="AC7" s="39">
        <f t="shared" si="12"/>
        <v>102253</v>
      </c>
      <c r="AD7" s="92">
        <f t="shared" si="13"/>
        <v>2.6636546184738898E-2</v>
      </c>
      <c r="AE7" s="39">
        <v>65953</v>
      </c>
      <c r="AF7" s="39">
        <f>3394+45002</f>
        <v>48396</v>
      </c>
      <c r="AG7" s="92">
        <f t="shared" si="14"/>
        <v>-0.26620472154413</v>
      </c>
      <c r="AH7" s="39">
        <f t="shared" si="15"/>
        <v>165553</v>
      </c>
      <c r="AI7" s="39">
        <f t="shared" si="16"/>
        <v>150649</v>
      </c>
      <c r="AJ7" s="92">
        <f t="shared" si="17"/>
        <v>-9.0025550729977796E-2</v>
      </c>
      <c r="AK7" s="38">
        <v>14600</v>
      </c>
      <c r="AL7" s="38">
        <v>79258</v>
      </c>
      <c r="AM7" s="92">
        <f t="shared" si="18"/>
        <v>4.4286301369862997</v>
      </c>
      <c r="AN7" s="38">
        <f t="shared" si="19"/>
        <v>180153</v>
      </c>
      <c r="AO7" s="38">
        <f t="shared" si="20"/>
        <v>229907</v>
      </c>
      <c r="AP7" s="92">
        <f t="shared" si="21"/>
        <v>0.27617636120408801</v>
      </c>
      <c r="AQ7" s="39">
        <v>20800</v>
      </c>
      <c r="AR7" s="39"/>
      <c r="AS7" s="92">
        <f t="shared" si="4"/>
        <v>-1</v>
      </c>
      <c r="AT7" s="39">
        <f t="shared" si="22"/>
        <v>200953</v>
      </c>
      <c r="AU7" s="39">
        <f t="shared" si="23"/>
        <v>229907</v>
      </c>
      <c r="AV7" s="92">
        <f t="shared" si="24"/>
        <v>0.14408344239697801</v>
      </c>
      <c r="AW7" s="39">
        <v>49150</v>
      </c>
      <c r="AX7" s="39">
        <v>11352</v>
      </c>
      <c r="AY7" s="92">
        <f t="shared" si="25"/>
        <v>-0.76903357070193301</v>
      </c>
      <c r="AZ7" s="39">
        <f t="shared" si="26"/>
        <v>250103</v>
      </c>
      <c r="BA7" s="39">
        <f t="shared" si="27"/>
        <v>241259</v>
      </c>
      <c r="BB7" s="92">
        <f t="shared" si="28"/>
        <v>-3.5361431090390798E-2</v>
      </c>
      <c r="BC7" s="38">
        <v>24900</v>
      </c>
      <c r="BD7" s="38">
        <f>3080+12188</f>
        <v>15268</v>
      </c>
      <c r="BE7" s="92">
        <f t="shared" si="29"/>
        <v>-0.38682730923694802</v>
      </c>
      <c r="BF7" s="38">
        <f t="shared" si="30"/>
        <v>275003</v>
      </c>
      <c r="BG7" s="38">
        <f t="shared" si="31"/>
        <v>256527</v>
      </c>
      <c r="BH7" s="92">
        <f t="shared" si="32"/>
        <v>-6.7184721621218704E-2</v>
      </c>
      <c r="BI7" s="28">
        <v>29262</v>
      </c>
      <c r="BJ7" s="28">
        <v>23000</v>
      </c>
      <c r="BK7" s="28">
        <v>27417</v>
      </c>
      <c r="BL7" s="28">
        <v>354682</v>
      </c>
      <c r="BM7" s="29">
        <f t="shared" si="33"/>
        <v>0.32065874999999999</v>
      </c>
      <c r="BN7" s="40">
        <v>37953</v>
      </c>
      <c r="BO7" s="40"/>
    </row>
    <row r="8" spans="1:67">
      <c r="A8" s="22" t="s">
        <v>164</v>
      </c>
      <c r="B8" s="78" t="s">
        <v>164</v>
      </c>
      <c r="C8" s="33" t="s">
        <v>181</v>
      </c>
      <c r="D8" s="114" t="s">
        <v>61</v>
      </c>
      <c r="E8" s="114" t="s">
        <v>61</v>
      </c>
      <c r="F8" s="33" t="s">
        <v>182</v>
      </c>
      <c r="G8" s="33" t="s">
        <v>182</v>
      </c>
      <c r="H8" s="39" t="s">
        <v>167</v>
      </c>
      <c r="I8" s="39">
        <v>20</v>
      </c>
      <c r="J8" s="22">
        <v>25000</v>
      </c>
      <c r="K8" s="22">
        <v>4298</v>
      </c>
      <c r="L8" s="92">
        <f t="shared" si="5"/>
        <v>-0.82808000000000004</v>
      </c>
      <c r="M8" s="105"/>
      <c r="N8" s="105">
        <v>5186</v>
      </c>
      <c r="O8" s="92" t="e">
        <f t="shared" si="0"/>
        <v>#DIV/0!</v>
      </c>
      <c r="P8" s="105">
        <f t="shared" si="6"/>
        <v>25000</v>
      </c>
      <c r="Q8" s="105">
        <f t="shared" si="7"/>
        <v>9484</v>
      </c>
      <c r="R8" s="92">
        <f t="shared" si="1"/>
        <v>-0.62063999999999997</v>
      </c>
      <c r="S8" s="39"/>
      <c r="T8" s="39"/>
      <c r="U8" s="92" t="e">
        <f t="shared" si="2"/>
        <v>#DIV/0!</v>
      </c>
      <c r="V8" s="38">
        <f t="shared" si="8"/>
        <v>25000</v>
      </c>
      <c r="W8" s="38">
        <f t="shared" si="9"/>
        <v>9484</v>
      </c>
      <c r="X8" s="92">
        <f t="shared" si="10"/>
        <v>-0.62063999999999997</v>
      </c>
      <c r="Y8" s="39">
        <v>800</v>
      </c>
      <c r="Z8" s="39">
        <v>2766</v>
      </c>
      <c r="AA8" s="92">
        <f t="shared" si="3"/>
        <v>2.4575</v>
      </c>
      <c r="AB8" s="39">
        <f t="shared" si="11"/>
        <v>25800</v>
      </c>
      <c r="AC8" s="39">
        <f t="shared" si="12"/>
        <v>12250</v>
      </c>
      <c r="AD8" s="92">
        <f t="shared" si="13"/>
        <v>-0.525193798449612</v>
      </c>
      <c r="AE8" s="39">
        <v>18078</v>
      </c>
      <c r="AF8" s="39"/>
      <c r="AG8" s="92">
        <f t="shared" si="14"/>
        <v>-1</v>
      </c>
      <c r="AH8" s="39">
        <f t="shared" si="15"/>
        <v>43878</v>
      </c>
      <c r="AI8" s="39">
        <f t="shared" si="16"/>
        <v>12250</v>
      </c>
      <c r="AJ8" s="92">
        <f t="shared" si="17"/>
        <v>-0.72081681024659305</v>
      </c>
      <c r="AK8" s="38"/>
      <c r="AL8" s="38"/>
      <c r="AM8" s="92" t="e">
        <f t="shared" si="18"/>
        <v>#DIV/0!</v>
      </c>
      <c r="AN8" s="38">
        <f t="shared" si="19"/>
        <v>43878</v>
      </c>
      <c r="AO8" s="38">
        <f t="shared" si="20"/>
        <v>12250</v>
      </c>
      <c r="AP8" s="92">
        <f t="shared" si="21"/>
        <v>-0.72081681024659305</v>
      </c>
      <c r="AQ8" s="39"/>
      <c r="AR8" s="39"/>
      <c r="AS8" s="92" t="e">
        <f t="shared" si="4"/>
        <v>#DIV/0!</v>
      </c>
      <c r="AT8" s="39">
        <f t="shared" si="22"/>
        <v>43878</v>
      </c>
      <c r="AU8" s="39">
        <f t="shared" si="23"/>
        <v>12250</v>
      </c>
      <c r="AV8" s="92">
        <f t="shared" si="24"/>
        <v>-0.72081681024659305</v>
      </c>
      <c r="AW8" s="39"/>
      <c r="AX8" s="39"/>
      <c r="AY8" s="92" t="e">
        <f t="shared" si="25"/>
        <v>#DIV/0!</v>
      </c>
      <c r="AZ8" s="39">
        <f t="shared" si="26"/>
        <v>43878</v>
      </c>
      <c r="BA8" s="39">
        <f t="shared" si="27"/>
        <v>12250</v>
      </c>
      <c r="BB8" s="92">
        <f t="shared" si="28"/>
        <v>-0.72081681024659305</v>
      </c>
      <c r="BC8" s="38"/>
      <c r="BD8" s="38"/>
      <c r="BE8" s="92" t="e">
        <f t="shared" si="29"/>
        <v>#DIV/0!</v>
      </c>
      <c r="BF8" s="38">
        <f t="shared" si="30"/>
        <v>43878</v>
      </c>
      <c r="BG8" s="38">
        <f t="shared" si="31"/>
        <v>12250</v>
      </c>
      <c r="BH8" s="92">
        <f t="shared" si="32"/>
        <v>-0.72081681024659305</v>
      </c>
      <c r="BI8" s="28">
        <v>29878</v>
      </c>
      <c r="BJ8" s="28"/>
      <c r="BK8" s="28">
        <v>5508</v>
      </c>
      <c r="BL8" s="28">
        <v>79264</v>
      </c>
      <c r="BM8" s="29">
        <f t="shared" si="33"/>
        <v>6.1249999999999999E-2</v>
      </c>
      <c r="BN8" s="40"/>
      <c r="BO8" s="40"/>
    </row>
    <row r="9" spans="1:67">
      <c r="A9" s="22" t="s">
        <v>164</v>
      </c>
      <c r="B9" s="78" t="s">
        <v>164</v>
      </c>
      <c r="C9" s="33" t="s">
        <v>183</v>
      </c>
      <c r="D9" s="114" t="s">
        <v>65</v>
      </c>
      <c r="E9" s="114" t="s">
        <v>65</v>
      </c>
      <c r="F9" s="33" t="s">
        <v>184</v>
      </c>
      <c r="G9" s="33" t="s">
        <v>184</v>
      </c>
      <c r="H9" s="39" t="s">
        <v>175</v>
      </c>
      <c r="I9" s="39"/>
      <c r="J9" s="22">
        <v>149023</v>
      </c>
      <c r="K9" s="22"/>
      <c r="L9" s="92">
        <f t="shared" si="5"/>
        <v>-1</v>
      </c>
      <c r="M9" s="105">
        <v>3015</v>
      </c>
      <c r="N9" s="105"/>
      <c r="O9" s="92">
        <f t="shared" si="0"/>
        <v>-1</v>
      </c>
      <c r="P9" s="105">
        <f t="shared" si="6"/>
        <v>152038</v>
      </c>
      <c r="Q9" s="105">
        <f t="shared" si="7"/>
        <v>0</v>
      </c>
      <c r="R9" s="92">
        <f t="shared" si="1"/>
        <v>-1</v>
      </c>
      <c r="S9" s="39">
        <v>19327</v>
      </c>
      <c r="T9" s="39"/>
      <c r="U9" s="92">
        <f t="shared" si="2"/>
        <v>-1</v>
      </c>
      <c r="V9" s="38">
        <f t="shared" si="8"/>
        <v>171365</v>
      </c>
      <c r="W9" s="38">
        <f t="shared" si="9"/>
        <v>0</v>
      </c>
      <c r="X9" s="92">
        <f t="shared" si="10"/>
        <v>-1</v>
      </c>
      <c r="Y9" s="39">
        <v>13493</v>
      </c>
      <c r="Z9" s="39"/>
      <c r="AA9" s="92">
        <f t="shared" si="3"/>
        <v>-1</v>
      </c>
      <c r="AB9" s="39">
        <f t="shared" si="11"/>
        <v>184858</v>
      </c>
      <c r="AC9" s="39">
        <f t="shared" si="12"/>
        <v>0</v>
      </c>
      <c r="AD9" s="92">
        <f t="shared" si="13"/>
        <v>-1</v>
      </c>
      <c r="AE9" s="39">
        <v>36809</v>
      </c>
      <c r="AF9" s="39"/>
      <c r="AG9" s="92">
        <f t="shared" si="14"/>
        <v>-1</v>
      </c>
      <c r="AH9" s="39">
        <f t="shared" si="15"/>
        <v>221667</v>
      </c>
      <c r="AI9" s="39">
        <f t="shared" si="16"/>
        <v>0</v>
      </c>
      <c r="AJ9" s="92">
        <f t="shared" si="17"/>
        <v>-1</v>
      </c>
      <c r="AK9" s="38">
        <v>34615</v>
      </c>
      <c r="AL9" s="38"/>
      <c r="AM9" s="92">
        <f t="shared" si="18"/>
        <v>-1</v>
      </c>
      <c r="AN9" s="38">
        <f t="shared" si="19"/>
        <v>256282</v>
      </c>
      <c r="AO9" s="38">
        <f t="shared" si="20"/>
        <v>0</v>
      </c>
      <c r="AP9" s="92">
        <f t="shared" si="21"/>
        <v>-1</v>
      </c>
      <c r="AQ9" s="39">
        <v>58454</v>
      </c>
      <c r="AR9" s="39"/>
      <c r="AS9" s="92">
        <f t="shared" si="4"/>
        <v>-1</v>
      </c>
      <c r="AT9" s="39">
        <f t="shared" si="22"/>
        <v>314736</v>
      </c>
      <c r="AU9" s="39">
        <f t="shared" si="23"/>
        <v>0</v>
      </c>
      <c r="AV9" s="92">
        <f t="shared" si="24"/>
        <v>-1</v>
      </c>
      <c r="AW9" s="39">
        <v>36959</v>
      </c>
      <c r="AX9" s="39"/>
      <c r="AY9" s="92">
        <f t="shared" si="25"/>
        <v>-1</v>
      </c>
      <c r="AZ9" s="39">
        <f t="shared" si="26"/>
        <v>351695</v>
      </c>
      <c r="BA9" s="39">
        <f t="shared" si="27"/>
        <v>0</v>
      </c>
      <c r="BB9" s="92">
        <f t="shared" si="28"/>
        <v>-1</v>
      </c>
      <c r="BC9" s="38">
        <v>1147</v>
      </c>
      <c r="BD9" s="38"/>
      <c r="BE9" s="92">
        <f t="shared" si="29"/>
        <v>-1</v>
      </c>
      <c r="BF9" s="38">
        <f t="shared" si="30"/>
        <v>352842</v>
      </c>
      <c r="BG9" s="38">
        <f t="shared" si="31"/>
        <v>0</v>
      </c>
      <c r="BH9" s="92">
        <f t="shared" si="32"/>
        <v>-1</v>
      </c>
      <c r="BI9" s="28"/>
      <c r="BJ9" s="28"/>
      <c r="BK9" s="28"/>
      <c r="BL9" s="28">
        <v>352842</v>
      </c>
      <c r="BM9" s="29" t="e">
        <f t="shared" si="33"/>
        <v>#DIV/0!</v>
      </c>
      <c r="BN9" s="40">
        <v>29947</v>
      </c>
      <c r="BO9" s="40"/>
    </row>
    <row r="10" spans="1:67">
      <c r="A10" s="22" t="s">
        <v>164</v>
      </c>
      <c r="B10" s="78" t="s">
        <v>164</v>
      </c>
      <c r="C10" s="33" t="s">
        <v>185</v>
      </c>
      <c r="D10" s="114" t="s">
        <v>84</v>
      </c>
      <c r="E10" s="114" t="s">
        <v>84</v>
      </c>
      <c r="F10" s="33" t="s">
        <v>174</v>
      </c>
      <c r="G10" s="33" t="s">
        <v>177</v>
      </c>
      <c r="H10" s="39" t="s">
        <v>178</v>
      </c>
      <c r="I10" s="39">
        <v>200</v>
      </c>
      <c r="J10" s="22">
        <v>84544</v>
      </c>
      <c r="K10" s="22">
        <f>297537-26880</f>
        <v>270657</v>
      </c>
      <c r="L10" s="92">
        <f t="shared" si="5"/>
        <v>2.2013744322483002</v>
      </c>
      <c r="M10" s="105">
        <v>15592</v>
      </c>
      <c r="N10" s="105">
        <v>114255</v>
      </c>
      <c r="O10" s="92">
        <f t="shared" si="0"/>
        <v>6.3277963057978504</v>
      </c>
      <c r="P10" s="105">
        <f t="shared" si="6"/>
        <v>100136</v>
      </c>
      <c r="Q10" s="105">
        <f t="shared" si="7"/>
        <v>384912</v>
      </c>
      <c r="R10" s="92">
        <f t="shared" si="1"/>
        <v>2.8438923064632098</v>
      </c>
      <c r="S10" s="39">
        <v>40421</v>
      </c>
      <c r="T10" s="39">
        <f>257334+15078</f>
        <v>272412</v>
      </c>
      <c r="U10" s="92">
        <f t="shared" si="2"/>
        <v>5.73936815021895</v>
      </c>
      <c r="V10" s="38">
        <f t="shared" si="8"/>
        <v>140557</v>
      </c>
      <c r="W10" s="38">
        <f t="shared" si="9"/>
        <v>657324</v>
      </c>
      <c r="X10" s="92">
        <f t="shared" si="10"/>
        <v>3.6765653791700199</v>
      </c>
      <c r="Y10" s="39">
        <v>95170</v>
      </c>
      <c r="Z10" s="39">
        <v>144687</v>
      </c>
      <c r="AA10" s="92">
        <f t="shared" si="3"/>
        <v>0.520300514868131</v>
      </c>
      <c r="AB10" s="39">
        <f t="shared" si="11"/>
        <v>235727</v>
      </c>
      <c r="AC10" s="39">
        <f t="shared" si="12"/>
        <v>802011</v>
      </c>
      <c r="AD10" s="92">
        <f t="shared" si="13"/>
        <v>2.4022873917709902</v>
      </c>
      <c r="AE10" s="39">
        <v>66978</v>
      </c>
      <c r="AF10" s="39">
        <v>201219</v>
      </c>
      <c r="AG10" s="92">
        <f t="shared" si="14"/>
        <v>2.0042551285496701</v>
      </c>
      <c r="AH10" s="39">
        <f t="shared" si="15"/>
        <v>302705</v>
      </c>
      <c r="AI10" s="39">
        <f t="shared" si="16"/>
        <v>1003230</v>
      </c>
      <c r="AJ10" s="92">
        <f t="shared" si="17"/>
        <v>2.3142168117474098</v>
      </c>
      <c r="AK10" s="38">
        <v>187833</v>
      </c>
      <c r="AL10" s="38">
        <v>310376</v>
      </c>
      <c r="AM10" s="92">
        <f t="shared" si="18"/>
        <v>0.65240399716769704</v>
      </c>
      <c r="AN10" s="38">
        <f t="shared" si="19"/>
        <v>490538</v>
      </c>
      <c r="AO10" s="38">
        <f t="shared" si="20"/>
        <v>1313606</v>
      </c>
      <c r="AP10" s="92">
        <f t="shared" si="21"/>
        <v>1.6778883593116101</v>
      </c>
      <c r="AQ10" s="39">
        <v>88914</v>
      </c>
      <c r="AR10" s="39">
        <v>82249</v>
      </c>
      <c r="AS10" s="92">
        <f t="shared" si="4"/>
        <v>-7.4960073779157393E-2</v>
      </c>
      <c r="AT10" s="39">
        <f t="shared" si="22"/>
        <v>579452</v>
      </c>
      <c r="AU10" s="39">
        <f t="shared" si="23"/>
        <v>1395855</v>
      </c>
      <c r="AV10" s="92">
        <f t="shared" si="24"/>
        <v>1.40892256821963</v>
      </c>
      <c r="AW10" s="39">
        <v>50005.4</v>
      </c>
      <c r="AX10" s="39">
        <v>82118</v>
      </c>
      <c r="AY10" s="92">
        <f t="shared" si="25"/>
        <v>0.64218264427441796</v>
      </c>
      <c r="AZ10" s="39">
        <f t="shared" si="26"/>
        <v>629457.4</v>
      </c>
      <c r="BA10" s="39">
        <f t="shared" si="27"/>
        <v>1477973</v>
      </c>
      <c r="BB10" s="92">
        <f t="shared" si="28"/>
        <v>1.34801116008804</v>
      </c>
      <c r="BC10" s="38">
        <v>169503</v>
      </c>
      <c r="BD10" s="38">
        <v>94853</v>
      </c>
      <c r="BE10" s="92">
        <f t="shared" si="29"/>
        <v>-0.44040518456900501</v>
      </c>
      <c r="BF10" s="38">
        <f t="shared" si="30"/>
        <v>798960.4</v>
      </c>
      <c r="BG10" s="38">
        <f t="shared" si="31"/>
        <v>1572826</v>
      </c>
      <c r="BH10" s="92">
        <f t="shared" si="32"/>
        <v>0.96859068359333</v>
      </c>
      <c r="BI10" s="28">
        <v>351448</v>
      </c>
      <c r="BJ10" s="28">
        <v>164797</v>
      </c>
      <c r="BK10" s="28">
        <v>369216</v>
      </c>
      <c r="BL10" s="28">
        <v>1684421.4</v>
      </c>
      <c r="BM10" s="29">
        <f t="shared" si="33"/>
        <v>0.78641300000000003</v>
      </c>
      <c r="BN10" s="40"/>
      <c r="BO10" s="40"/>
    </row>
    <row r="11" spans="1:67" ht="15">
      <c r="A11" s="22" t="s">
        <v>164</v>
      </c>
      <c r="B11" s="78" t="s">
        <v>164</v>
      </c>
      <c r="C11" s="33" t="s">
        <v>186</v>
      </c>
      <c r="D11" s="114" t="s">
        <v>61</v>
      </c>
      <c r="E11" s="114" t="s">
        <v>61</v>
      </c>
      <c r="F11" s="33" t="s">
        <v>184</v>
      </c>
      <c r="G11" s="33" t="s">
        <v>184</v>
      </c>
      <c r="H11" s="39" t="s">
        <v>175</v>
      </c>
      <c r="I11" s="117">
        <v>30</v>
      </c>
      <c r="J11" s="22">
        <v>30425</v>
      </c>
      <c r="K11" s="22">
        <v>21359</v>
      </c>
      <c r="L11" s="92">
        <f t="shared" si="5"/>
        <v>-0.29797863599014002</v>
      </c>
      <c r="M11" s="105">
        <v>10451</v>
      </c>
      <c r="N11" s="105">
        <f>1528+7277</f>
        <v>8805</v>
      </c>
      <c r="O11" s="92">
        <f t="shared" si="0"/>
        <v>-0.15749689024973701</v>
      </c>
      <c r="P11" s="105">
        <f t="shared" si="6"/>
        <v>40876</v>
      </c>
      <c r="Q11" s="105">
        <f t="shared" si="7"/>
        <v>30164</v>
      </c>
      <c r="R11" s="92">
        <f t="shared" si="1"/>
        <v>-0.26206086701242798</v>
      </c>
      <c r="S11" s="39"/>
      <c r="T11" s="39">
        <v>3203</v>
      </c>
      <c r="U11" s="92" t="e">
        <f t="shared" si="2"/>
        <v>#DIV/0!</v>
      </c>
      <c r="V11" s="38">
        <f t="shared" si="8"/>
        <v>40876</v>
      </c>
      <c r="W11" s="38">
        <f t="shared" si="9"/>
        <v>33367</v>
      </c>
      <c r="X11" s="92">
        <f t="shared" si="10"/>
        <v>-0.18370192778158301</v>
      </c>
      <c r="Y11" s="39">
        <v>7276</v>
      </c>
      <c r="Z11" s="39">
        <v>1479</v>
      </c>
      <c r="AA11" s="92">
        <f t="shared" si="3"/>
        <v>-0.79672897196261705</v>
      </c>
      <c r="AB11" s="39">
        <f t="shared" si="11"/>
        <v>48152</v>
      </c>
      <c r="AC11" s="39">
        <f t="shared" si="12"/>
        <v>34846</v>
      </c>
      <c r="AD11" s="92">
        <f t="shared" si="13"/>
        <v>-0.27633327795314799</v>
      </c>
      <c r="AE11" s="39">
        <v>21993</v>
      </c>
      <c r="AF11" s="39"/>
      <c r="AG11" s="92">
        <f t="shared" si="14"/>
        <v>-1</v>
      </c>
      <c r="AH11" s="39">
        <f t="shared" si="15"/>
        <v>70145</v>
      </c>
      <c r="AI11" s="39">
        <f t="shared" si="16"/>
        <v>34846</v>
      </c>
      <c r="AJ11" s="92">
        <f t="shared" si="17"/>
        <v>-0.50322902558985005</v>
      </c>
      <c r="AK11" s="38"/>
      <c r="AL11" s="38"/>
      <c r="AM11" s="92" t="e">
        <f t="shared" si="18"/>
        <v>#DIV/0!</v>
      </c>
      <c r="AN11" s="38">
        <f t="shared" si="19"/>
        <v>70145</v>
      </c>
      <c r="AO11" s="38">
        <f t="shared" si="20"/>
        <v>34846</v>
      </c>
      <c r="AP11" s="92">
        <f t="shared" si="21"/>
        <v>-0.50322902558985005</v>
      </c>
      <c r="AQ11" s="39">
        <v>12632</v>
      </c>
      <c r="AR11" s="39"/>
      <c r="AS11" s="92">
        <f t="shared" si="4"/>
        <v>-1</v>
      </c>
      <c r="AT11" s="39">
        <f t="shared" si="22"/>
        <v>82777</v>
      </c>
      <c r="AU11" s="39">
        <f t="shared" si="23"/>
        <v>34846</v>
      </c>
      <c r="AV11" s="92">
        <f t="shared" si="24"/>
        <v>-0.57903765538736596</v>
      </c>
      <c r="AW11" s="39">
        <v>15224</v>
      </c>
      <c r="AX11" s="39"/>
      <c r="AY11" s="92">
        <f t="shared" si="25"/>
        <v>-1</v>
      </c>
      <c r="AZ11" s="39">
        <f t="shared" si="26"/>
        <v>98001</v>
      </c>
      <c r="BA11" s="39">
        <f t="shared" si="27"/>
        <v>34846</v>
      </c>
      <c r="BB11" s="92">
        <f t="shared" si="28"/>
        <v>-0.64443219967143195</v>
      </c>
      <c r="BC11" s="38">
        <v>21656</v>
      </c>
      <c r="BD11" s="38"/>
      <c r="BE11" s="92">
        <f t="shared" si="29"/>
        <v>-1</v>
      </c>
      <c r="BF11" s="38">
        <f t="shared" si="30"/>
        <v>119657</v>
      </c>
      <c r="BG11" s="38">
        <f t="shared" si="31"/>
        <v>34846</v>
      </c>
      <c r="BH11" s="92">
        <f t="shared" si="32"/>
        <v>-0.70878427505285901</v>
      </c>
      <c r="BI11" s="28">
        <v>33726</v>
      </c>
      <c r="BJ11" s="28">
        <v>22763</v>
      </c>
      <c r="BK11" s="28"/>
      <c r="BL11" s="28">
        <v>176146</v>
      </c>
      <c r="BM11" s="29">
        <f t="shared" si="33"/>
        <v>0.116153333333333</v>
      </c>
      <c r="BN11" s="40"/>
      <c r="BO11" s="40"/>
    </row>
    <row r="12" spans="1:67">
      <c r="A12" s="22" t="s">
        <v>164</v>
      </c>
      <c r="B12" s="78" t="s">
        <v>164</v>
      </c>
      <c r="C12" s="33" t="s">
        <v>187</v>
      </c>
      <c r="D12" s="114" t="s">
        <v>88</v>
      </c>
      <c r="E12" s="114" t="s">
        <v>88</v>
      </c>
      <c r="F12" s="33" t="s">
        <v>174</v>
      </c>
      <c r="G12" s="33" t="s">
        <v>80</v>
      </c>
      <c r="H12" s="39" t="s">
        <v>178</v>
      </c>
      <c r="I12" s="39"/>
      <c r="J12" s="22">
        <v>3850</v>
      </c>
      <c r="K12" s="22">
        <v>4018</v>
      </c>
      <c r="L12" s="92">
        <f t="shared" si="5"/>
        <v>4.3636363636363702E-2</v>
      </c>
      <c r="M12" s="105"/>
      <c r="N12" s="105"/>
      <c r="O12" s="92" t="e">
        <f t="shared" si="0"/>
        <v>#DIV/0!</v>
      </c>
      <c r="P12" s="105">
        <f t="shared" si="6"/>
        <v>3850</v>
      </c>
      <c r="Q12" s="105">
        <f t="shared" si="7"/>
        <v>4018</v>
      </c>
      <c r="R12" s="92">
        <f t="shared" si="1"/>
        <v>4.3636363636363702E-2</v>
      </c>
      <c r="S12" s="39">
        <v>8800</v>
      </c>
      <c r="T12" s="39">
        <v>6295</v>
      </c>
      <c r="U12" s="92">
        <f t="shared" si="2"/>
        <v>-0.28465909090909097</v>
      </c>
      <c r="V12" s="38">
        <f t="shared" si="8"/>
        <v>12650</v>
      </c>
      <c r="W12" s="38">
        <f t="shared" si="9"/>
        <v>10313</v>
      </c>
      <c r="X12" s="92">
        <f t="shared" si="10"/>
        <v>-0.18474308300395301</v>
      </c>
      <c r="Y12" s="39"/>
      <c r="Z12" s="39">
        <v>12000</v>
      </c>
      <c r="AA12" s="92" t="e">
        <f t="shared" si="3"/>
        <v>#DIV/0!</v>
      </c>
      <c r="AB12" s="39">
        <f t="shared" si="11"/>
        <v>12650</v>
      </c>
      <c r="AC12" s="39">
        <f t="shared" si="12"/>
        <v>22313</v>
      </c>
      <c r="AD12" s="92">
        <f t="shared" si="13"/>
        <v>0.76387351778656098</v>
      </c>
      <c r="AE12" s="39">
        <v>1800</v>
      </c>
      <c r="AF12" s="39"/>
      <c r="AG12" s="92">
        <f t="shared" si="14"/>
        <v>-1</v>
      </c>
      <c r="AH12" s="39">
        <f t="shared" si="15"/>
        <v>14450</v>
      </c>
      <c r="AI12" s="39">
        <f t="shared" si="16"/>
        <v>22313</v>
      </c>
      <c r="AJ12" s="92">
        <f t="shared" si="17"/>
        <v>0.54415224913494797</v>
      </c>
      <c r="AK12" s="38">
        <v>10093</v>
      </c>
      <c r="AL12" s="38">
        <v>2502</v>
      </c>
      <c r="AM12" s="92">
        <f t="shared" si="18"/>
        <v>-0.75210541959774102</v>
      </c>
      <c r="AN12" s="38">
        <f t="shared" si="19"/>
        <v>24543</v>
      </c>
      <c r="AO12" s="38">
        <f t="shared" si="20"/>
        <v>24815</v>
      </c>
      <c r="AP12" s="92">
        <f t="shared" si="21"/>
        <v>1.10825897404556E-2</v>
      </c>
      <c r="AQ12" s="39">
        <v>20900</v>
      </c>
      <c r="AR12" s="39">
        <v>3253</v>
      </c>
      <c r="AS12" s="92">
        <f t="shared" si="4"/>
        <v>-0.84435406698564597</v>
      </c>
      <c r="AT12" s="39">
        <f t="shared" si="22"/>
        <v>45443</v>
      </c>
      <c r="AU12" s="39">
        <f t="shared" si="23"/>
        <v>28068</v>
      </c>
      <c r="AV12" s="92">
        <f t="shared" si="24"/>
        <v>-0.382347116167506</v>
      </c>
      <c r="AW12" s="39">
        <v>7922</v>
      </c>
      <c r="AX12" s="39">
        <v>4280</v>
      </c>
      <c r="AY12" s="92">
        <f t="shared" si="25"/>
        <v>-0.45973239081040101</v>
      </c>
      <c r="AZ12" s="39">
        <f t="shared" si="26"/>
        <v>53365</v>
      </c>
      <c r="BA12" s="39">
        <f t="shared" si="27"/>
        <v>32348</v>
      </c>
      <c r="BB12" s="92">
        <f t="shared" si="28"/>
        <v>-0.39383491052187802</v>
      </c>
      <c r="BC12" s="38">
        <v>1410</v>
      </c>
      <c r="BD12" s="38"/>
      <c r="BE12" s="92">
        <f t="shared" si="29"/>
        <v>-1</v>
      </c>
      <c r="BF12" s="38">
        <f t="shared" si="30"/>
        <v>54775</v>
      </c>
      <c r="BG12" s="38">
        <f t="shared" si="31"/>
        <v>32348</v>
      </c>
      <c r="BH12" s="92">
        <f t="shared" si="32"/>
        <v>-0.40943861250570501</v>
      </c>
      <c r="BI12" s="28">
        <v>10980</v>
      </c>
      <c r="BJ12" s="28">
        <v>4350</v>
      </c>
      <c r="BK12" s="28">
        <v>1750</v>
      </c>
      <c r="BL12" s="28">
        <v>71855</v>
      </c>
      <c r="BM12" s="29" t="e">
        <f t="shared" si="33"/>
        <v>#DIV/0!</v>
      </c>
      <c r="BN12" s="40"/>
      <c r="BO12" s="40"/>
    </row>
    <row r="13" spans="1:67">
      <c r="A13" s="22" t="s">
        <v>164</v>
      </c>
      <c r="B13" s="78" t="s">
        <v>164</v>
      </c>
      <c r="C13" s="33" t="s">
        <v>188</v>
      </c>
      <c r="D13" s="114" t="s">
        <v>61</v>
      </c>
      <c r="E13" s="114" t="s">
        <v>61</v>
      </c>
      <c r="F13" s="33" t="s">
        <v>189</v>
      </c>
      <c r="G13" s="33" t="s">
        <v>189</v>
      </c>
      <c r="H13" s="39" t="s">
        <v>167</v>
      </c>
      <c r="I13" s="39"/>
      <c r="J13" s="22">
        <v>6649</v>
      </c>
      <c r="K13" s="22"/>
      <c r="L13" s="92">
        <f t="shared" si="5"/>
        <v>-1</v>
      </c>
      <c r="M13" s="105"/>
      <c r="N13" s="105"/>
      <c r="O13" s="92" t="e">
        <f t="shared" si="0"/>
        <v>#DIV/0!</v>
      </c>
      <c r="P13" s="105">
        <f t="shared" si="6"/>
        <v>6649</v>
      </c>
      <c r="Q13" s="105">
        <f t="shared" si="7"/>
        <v>0</v>
      </c>
      <c r="R13" s="92">
        <f t="shared" si="1"/>
        <v>-1</v>
      </c>
      <c r="S13" s="39"/>
      <c r="T13" s="39"/>
      <c r="U13" s="92" t="e">
        <f t="shared" si="2"/>
        <v>#DIV/0!</v>
      </c>
      <c r="V13" s="38">
        <f t="shared" si="8"/>
        <v>6649</v>
      </c>
      <c r="W13" s="38">
        <f t="shared" si="9"/>
        <v>0</v>
      </c>
      <c r="X13" s="92">
        <f t="shared" si="10"/>
        <v>-1</v>
      </c>
      <c r="Y13" s="39"/>
      <c r="Z13" s="39"/>
      <c r="AA13" s="92" t="e">
        <f t="shared" si="3"/>
        <v>#DIV/0!</v>
      </c>
      <c r="AB13" s="39">
        <f t="shared" si="11"/>
        <v>6649</v>
      </c>
      <c r="AC13" s="39">
        <f t="shared" si="12"/>
        <v>0</v>
      </c>
      <c r="AD13" s="92">
        <f t="shared" si="13"/>
        <v>-1</v>
      </c>
      <c r="AE13" s="39"/>
      <c r="AF13" s="39"/>
      <c r="AG13" s="92" t="e">
        <f t="shared" si="14"/>
        <v>#DIV/0!</v>
      </c>
      <c r="AH13" s="39">
        <f t="shared" si="15"/>
        <v>6649</v>
      </c>
      <c r="AI13" s="39">
        <f t="shared" si="16"/>
        <v>0</v>
      </c>
      <c r="AJ13" s="92">
        <f t="shared" si="17"/>
        <v>-1</v>
      </c>
      <c r="AK13" s="38"/>
      <c r="AL13" s="38"/>
      <c r="AM13" s="92" t="e">
        <f t="shared" si="18"/>
        <v>#DIV/0!</v>
      </c>
      <c r="AN13" s="38">
        <f t="shared" si="19"/>
        <v>6649</v>
      </c>
      <c r="AO13" s="38">
        <f t="shared" si="20"/>
        <v>0</v>
      </c>
      <c r="AP13" s="92">
        <f t="shared" si="21"/>
        <v>-1</v>
      </c>
      <c r="AQ13" s="39"/>
      <c r="AR13" s="39"/>
      <c r="AS13" s="92" t="e">
        <f t="shared" si="4"/>
        <v>#DIV/0!</v>
      </c>
      <c r="AT13" s="39">
        <f t="shared" si="22"/>
        <v>6649</v>
      </c>
      <c r="AU13" s="39">
        <f t="shared" si="23"/>
        <v>0</v>
      </c>
      <c r="AV13" s="92">
        <f t="shared" si="24"/>
        <v>-1</v>
      </c>
      <c r="AW13" s="39"/>
      <c r="AX13" s="39"/>
      <c r="AY13" s="92" t="e">
        <f t="shared" si="25"/>
        <v>#DIV/0!</v>
      </c>
      <c r="AZ13" s="39">
        <f t="shared" si="26"/>
        <v>6649</v>
      </c>
      <c r="BA13" s="39">
        <f t="shared" si="27"/>
        <v>0</v>
      </c>
      <c r="BB13" s="92">
        <f t="shared" si="28"/>
        <v>-1</v>
      </c>
      <c r="BC13" s="38"/>
      <c r="BD13" s="38"/>
      <c r="BE13" s="92" t="e">
        <f t="shared" si="29"/>
        <v>#DIV/0!</v>
      </c>
      <c r="BF13" s="38">
        <f t="shared" si="30"/>
        <v>6649</v>
      </c>
      <c r="BG13" s="38">
        <f t="shared" si="31"/>
        <v>0</v>
      </c>
      <c r="BH13" s="92">
        <f t="shared" si="32"/>
        <v>-1</v>
      </c>
      <c r="BI13" s="28"/>
      <c r="BJ13" s="28"/>
      <c r="BK13" s="28"/>
      <c r="BL13" s="28">
        <v>6649</v>
      </c>
      <c r="BM13" s="29" t="e">
        <f t="shared" si="33"/>
        <v>#DIV/0!</v>
      </c>
      <c r="BN13" s="40"/>
      <c r="BO13" s="40"/>
    </row>
    <row r="14" spans="1:67">
      <c r="A14" s="22" t="s">
        <v>164</v>
      </c>
      <c r="B14" s="78" t="s">
        <v>168</v>
      </c>
      <c r="C14" s="33" t="s">
        <v>190</v>
      </c>
      <c r="D14" s="114" t="s">
        <v>61</v>
      </c>
      <c r="E14" s="114" t="s">
        <v>61</v>
      </c>
      <c r="F14" s="33" t="s">
        <v>191</v>
      </c>
      <c r="G14" s="33" t="s">
        <v>191</v>
      </c>
      <c r="H14" s="39" t="s">
        <v>172</v>
      </c>
      <c r="I14" s="39"/>
      <c r="J14" s="22"/>
      <c r="K14" s="22"/>
      <c r="L14" s="92" t="e">
        <f t="shared" si="5"/>
        <v>#DIV/0!</v>
      </c>
      <c r="M14" s="105">
        <v>19218</v>
      </c>
      <c r="N14" s="105"/>
      <c r="O14" s="92">
        <f t="shared" si="0"/>
        <v>-1</v>
      </c>
      <c r="P14" s="105">
        <f t="shared" si="6"/>
        <v>19218</v>
      </c>
      <c r="Q14" s="105">
        <f t="shared" si="7"/>
        <v>0</v>
      </c>
      <c r="R14" s="92">
        <f t="shared" si="1"/>
        <v>-1</v>
      </c>
      <c r="S14" s="39"/>
      <c r="T14" s="39"/>
      <c r="U14" s="92" t="e">
        <f t="shared" si="2"/>
        <v>#DIV/0!</v>
      </c>
      <c r="V14" s="38">
        <f t="shared" si="8"/>
        <v>19218</v>
      </c>
      <c r="W14" s="38">
        <f t="shared" si="9"/>
        <v>0</v>
      </c>
      <c r="X14" s="92">
        <f t="shared" si="10"/>
        <v>-1</v>
      </c>
      <c r="Y14" s="39"/>
      <c r="Z14" s="39"/>
      <c r="AA14" s="92" t="e">
        <f t="shared" si="3"/>
        <v>#DIV/0!</v>
      </c>
      <c r="AB14" s="39">
        <f t="shared" si="11"/>
        <v>19218</v>
      </c>
      <c r="AC14" s="39">
        <f t="shared" si="12"/>
        <v>0</v>
      </c>
      <c r="AD14" s="92">
        <f t="shared" si="13"/>
        <v>-1</v>
      </c>
      <c r="AE14" s="39"/>
      <c r="AF14" s="39"/>
      <c r="AG14" s="92" t="e">
        <f t="shared" si="14"/>
        <v>#DIV/0!</v>
      </c>
      <c r="AH14" s="39">
        <f t="shared" si="15"/>
        <v>19218</v>
      </c>
      <c r="AI14" s="39">
        <f t="shared" si="16"/>
        <v>0</v>
      </c>
      <c r="AJ14" s="92">
        <f t="shared" si="17"/>
        <v>-1</v>
      </c>
      <c r="AK14" s="38"/>
      <c r="AL14" s="38"/>
      <c r="AM14" s="92" t="e">
        <f t="shared" si="18"/>
        <v>#DIV/0!</v>
      </c>
      <c r="AN14" s="38">
        <f t="shared" si="19"/>
        <v>19218</v>
      </c>
      <c r="AO14" s="38">
        <f t="shared" si="20"/>
        <v>0</v>
      </c>
      <c r="AP14" s="92">
        <f t="shared" si="21"/>
        <v>-1</v>
      </c>
      <c r="AQ14" s="39"/>
      <c r="AR14" s="39"/>
      <c r="AS14" s="92" t="e">
        <f t="shared" si="4"/>
        <v>#DIV/0!</v>
      </c>
      <c r="AT14" s="39">
        <f t="shared" si="22"/>
        <v>19218</v>
      </c>
      <c r="AU14" s="39">
        <f t="shared" si="23"/>
        <v>0</v>
      </c>
      <c r="AV14" s="92">
        <f t="shared" si="24"/>
        <v>-1</v>
      </c>
      <c r="AW14" s="39"/>
      <c r="AX14" s="39"/>
      <c r="AY14" s="92" t="e">
        <f t="shared" si="25"/>
        <v>#DIV/0!</v>
      </c>
      <c r="AZ14" s="39">
        <f t="shared" si="26"/>
        <v>19218</v>
      </c>
      <c r="BA14" s="39">
        <f t="shared" si="27"/>
        <v>0</v>
      </c>
      <c r="BB14" s="92">
        <f t="shared" si="28"/>
        <v>-1</v>
      </c>
      <c r="BC14" s="38"/>
      <c r="BD14" s="38"/>
      <c r="BE14" s="92" t="e">
        <f t="shared" si="29"/>
        <v>#DIV/0!</v>
      </c>
      <c r="BF14" s="38">
        <f t="shared" si="30"/>
        <v>19218</v>
      </c>
      <c r="BG14" s="38">
        <f t="shared" si="31"/>
        <v>0</v>
      </c>
      <c r="BH14" s="92">
        <f t="shared" si="32"/>
        <v>-1</v>
      </c>
      <c r="BI14" s="28"/>
      <c r="BJ14" s="28"/>
      <c r="BK14" s="28"/>
      <c r="BL14" s="28">
        <v>19218</v>
      </c>
      <c r="BM14" s="29" t="e">
        <f t="shared" si="33"/>
        <v>#DIV/0!</v>
      </c>
      <c r="BN14" s="40"/>
      <c r="BO14" s="40"/>
    </row>
    <row r="15" spans="1:67">
      <c r="A15" s="22" t="s">
        <v>164</v>
      </c>
      <c r="B15" s="78" t="s">
        <v>164</v>
      </c>
      <c r="C15" s="33" t="s">
        <v>192</v>
      </c>
      <c r="D15" s="114" t="s">
        <v>65</v>
      </c>
      <c r="E15" s="114" t="s">
        <v>65</v>
      </c>
      <c r="F15" s="33" t="s">
        <v>166</v>
      </c>
      <c r="G15" s="33" t="s">
        <v>166</v>
      </c>
      <c r="H15" s="39" t="s">
        <v>167</v>
      </c>
      <c r="I15" s="39"/>
      <c r="J15" s="22">
        <v>95208</v>
      </c>
      <c r="K15" s="22"/>
      <c r="L15" s="92">
        <f t="shared" si="5"/>
        <v>-1</v>
      </c>
      <c r="M15" s="105">
        <v>23568</v>
      </c>
      <c r="N15" s="105"/>
      <c r="O15" s="92">
        <f t="shared" si="0"/>
        <v>-1</v>
      </c>
      <c r="P15" s="105">
        <f t="shared" si="6"/>
        <v>118776</v>
      </c>
      <c r="Q15" s="105">
        <f t="shared" si="7"/>
        <v>0</v>
      </c>
      <c r="R15" s="92">
        <f t="shared" si="1"/>
        <v>-1</v>
      </c>
      <c r="S15" s="39">
        <v>27546</v>
      </c>
      <c r="T15" s="39"/>
      <c r="U15" s="92">
        <f t="shared" si="2"/>
        <v>-1</v>
      </c>
      <c r="V15" s="38">
        <f t="shared" si="8"/>
        <v>146322</v>
      </c>
      <c r="W15" s="38">
        <f t="shared" si="9"/>
        <v>0</v>
      </c>
      <c r="X15" s="92">
        <f t="shared" si="10"/>
        <v>-1</v>
      </c>
      <c r="Y15" s="39">
        <v>48756</v>
      </c>
      <c r="Z15" s="39"/>
      <c r="AA15" s="92">
        <f t="shared" si="3"/>
        <v>-1</v>
      </c>
      <c r="AB15" s="39">
        <f t="shared" si="11"/>
        <v>195078</v>
      </c>
      <c r="AC15" s="39">
        <f t="shared" si="12"/>
        <v>0</v>
      </c>
      <c r="AD15" s="92">
        <f t="shared" si="13"/>
        <v>-1</v>
      </c>
      <c r="AE15" s="39">
        <v>57457</v>
      </c>
      <c r="AF15" s="39"/>
      <c r="AG15" s="92">
        <f t="shared" si="14"/>
        <v>-1</v>
      </c>
      <c r="AH15" s="39">
        <f t="shared" si="15"/>
        <v>252535</v>
      </c>
      <c r="AI15" s="39">
        <f t="shared" si="16"/>
        <v>0</v>
      </c>
      <c r="AJ15" s="92">
        <f t="shared" si="17"/>
        <v>-1</v>
      </c>
      <c r="AK15" s="38">
        <v>34276</v>
      </c>
      <c r="AL15" s="38"/>
      <c r="AM15" s="92">
        <f t="shared" si="18"/>
        <v>-1</v>
      </c>
      <c r="AN15" s="38">
        <f t="shared" si="19"/>
        <v>286811</v>
      </c>
      <c r="AO15" s="38">
        <f t="shared" si="20"/>
        <v>0</v>
      </c>
      <c r="AP15" s="92">
        <f t="shared" si="21"/>
        <v>-1</v>
      </c>
      <c r="AQ15" s="39">
        <v>66284</v>
      </c>
      <c r="AR15" s="39"/>
      <c r="AS15" s="92">
        <f t="shared" si="4"/>
        <v>-1</v>
      </c>
      <c r="AT15" s="39">
        <f t="shared" si="22"/>
        <v>353095</v>
      </c>
      <c r="AU15" s="39">
        <f t="shared" si="23"/>
        <v>0</v>
      </c>
      <c r="AV15" s="92">
        <f t="shared" si="24"/>
        <v>-1</v>
      </c>
      <c r="AW15" s="39">
        <v>21828</v>
      </c>
      <c r="AX15" s="39"/>
      <c r="AY15" s="92">
        <f t="shared" si="25"/>
        <v>-1</v>
      </c>
      <c r="AZ15" s="39">
        <f t="shared" si="26"/>
        <v>374923</v>
      </c>
      <c r="BA15" s="39">
        <f t="shared" si="27"/>
        <v>0</v>
      </c>
      <c r="BB15" s="92">
        <f t="shared" si="28"/>
        <v>-1</v>
      </c>
      <c r="BC15" s="38"/>
      <c r="BD15" s="38"/>
      <c r="BE15" s="92" t="e">
        <f t="shared" si="29"/>
        <v>#DIV/0!</v>
      </c>
      <c r="BF15" s="38">
        <f t="shared" si="30"/>
        <v>374923</v>
      </c>
      <c r="BG15" s="38">
        <f t="shared" si="31"/>
        <v>0</v>
      </c>
      <c r="BH15" s="92">
        <f t="shared" si="32"/>
        <v>-1</v>
      </c>
      <c r="BI15" s="28"/>
      <c r="BJ15" s="28"/>
      <c r="BK15" s="28"/>
      <c r="BL15" s="28">
        <v>374923</v>
      </c>
      <c r="BM15" s="29" t="e">
        <f t="shared" si="33"/>
        <v>#DIV/0!</v>
      </c>
      <c r="BN15" s="40"/>
      <c r="BO15" s="40"/>
    </row>
    <row r="16" spans="1:67">
      <c r="A16" s="22" t="s">
        <v>164</v>
      </c>
      <c r="B16" s="78" t="s">
        <v>164</v>
      </c>
      <c r="C16" s="33" t="s">
        <v>193</v>
      </c>
      <c r="D16" s="114" t="s">
        <v>61</v>
      </c>
      <c r="E16" s="114" t="s">
        <v>61</v>
      </c>
      <c r="F16" s="33" t="s">
        <v>182</v>
      </c>
      <c r="G16" s="33" t="s">
        <v>182</v>
      </c>
      <c r="H16" s="39" t="s">
        <v>167</v>
      </c>
      <c r="I16" s="39"/>
      <c r="J16" s="22">
        <v>1690</v>
      </c>
      <c r="K16" s="22"/>
      <c r="L16" s="92">
        <f t="shared" si="5"/>
        <v>-1</v>
      </c>
      <c r="M16" s="105"/>
      <c r="N16" s="105"/>
      <c r="O16" s="92" t="e">
        <f t="shared" si="0"/>
        <v>#DIV/0!</v>
      </c>
      <c r="P16" s="105">
        <f t="shared" si="6"/>
        <v>1690</v>
      </c>
      <c r="Q16" s="105">
        <f t="shared" si="7"/>
        <v>0</v>
      </c>
      <c r="R16" s="92">
        <f t="shared" si="1"/>
        <v>-1</v>
      </c>
      <c r="S16" s="39"/>
      <c r="T16" s="39"/>
      <c r="U16" s="92" t="e">
        <f t="shared" si="2"/>
        <v>#DIV/0!</v>
      </c>
      <c r="V16" s="38">
        <f t="shared" si="8"/>
        <v>1690</v>
      </c>
      <c r="W16" s="38">
        <f t="shared" si="9"/>
        <v>0</v>
      </c>
      <c r="X16" s="92">
        <f t="shared" si="10"/>
        <v>-1</v>
      </c>
      <c r="Y16" s="39">
        <v>3375</v>
      </c>
      <c r="Z16" s="39"/>
      <c r="AA16" s="92">
        <f t="shared" si="3"/>
        <v>-1</v>
      </c>
      <c r="AB16" s="39">
        <f t="shared" si="11"/>
        <v>5065</v>
      </c>
      <c r="AC16" s="39">
        <f t="shared" si="12"/>
        <v>0</v>
      </c>
      <c r="AD16" s="92">
        <f t="shared" si="13"/>
        <v>-1</v>
      </c>
      <c r="AE16" s="39"/>
      <c r="AF16" s="39"/>
      <c r="AG16" s="92" t="e">
        <f t="shared" si="14"/>
        <v>#DIV/0!</v>
      </c>
      <c r="AH16" s="39">
        <f t="shared" si="15"/>
        <v>5065</v>
      </c>
      <c r="AI16" s="39">
        <f t="shared" si="16"/>
        <v>0</v>
      </c>
      <c r="AJ16" s="92">
        <f t="shared" si="17"/>
        <v>-1</v>
      </c>
      <c r="AK16" s="38"/>
      <c r="AL16" s="38"/>
      <c r="AM16" s="92" t="e">
        <f t="shared" si="18"/>
        <v>#DIV/0!</v>
      </c>
      <c r="AN16" s="38">
        <f t="shared" si="19"/>
        <v>5065</v>
      </c>
      <c r="AO16" s="38">
        <f t="shared" si="20"/>
        <v>0</v>
      </c>
      <c r="AP16" s="92">
        <f t="shared" si="21"/>
        <v>-1</v>
      </c>
      <c r="AQ16" s="39"/>
      <c r="AR16" s="39"/>
      <c r="AS16" s="92" t="e">
        <f t="shared" si="4"/>
        <v>#DIV/0!</v>
      </c>
      <c r="AT16" s="39">
        <f t="shared" si="22"/>
        <v>5065</v>
      </c>
      <c r="AU16" s="39">
        <f t="shared" si="23"/>
        <v>0</v>
      </c>
      <c r="AV16" s="92">
        <f t="shared" si="24"/>
        <v>-1</v>
      </c>
      <c r="AW16" s="39"/>
      <c r="AX16" s="39"/>
      <c r="AY16" s="92" t="e">
        <f t="shared" si="25"/>
        <v>#DIV/0!</v>
      </c>
      <c r="AZ16" s="39">
        <f t="shared" si="26"/>
        <v>5065</v>
      </c>
      <c r="BA16" s="39">
        <f t="shared" si="27"/>
        <v>0</v>
      </c>
      <c r="BB16" s="92">
        <f t="shared" si="28"/>
        <v>-1</v>
      </c>
      <c r="BC16" s="38">
        <v>3375</v>
      </c>
      <c r="BD16" s="38"/>
      <c r="BE16" s="92">
        <f t="shared" si="29"/>
        <v>-1</v>
      </c>
      <c r="BF16" s="38">
        <f t="shared" si="30"/>
        <v>8440</v>
      </c>
      <c r="BG16" s="38">
        <f t="shared" si="31"/>
        <v>0</v>
      </c>
      <c r="BH16" s="92">
        <f t="shared" si="32"/>
        <v>-1</v>
      </c>
      <c r="BI16" s="28"/>
      <c r="BJ16" s="28"/>
      <c r="BK16" s="28"/>
      <c r="BL16" s="28">
        <v>8440</v>
      </c>
      <c r="BM16" s="29" t="e">
        <f t="shared" si="33"/>
        <v>#DIV/0!</v>
      </c>
      <c r="BN16" s="40"/>
      <c r="BO16" s="40"/>
    </row>
    <row r="17" spans="1:67">
      <c r="A17" s="22" t="s">
        <v>164</v>
      </c>
      <c r="B17" s="78" t="s">
        <v>164</v>
      </c>
      <c r="C17" s="33" t="s">
        <v>194</v>
      </c>
      <c r="D17" s="114" t="s">
        <v>61</v>
      </c>
      <c r="E17" s="114" t="s">
        <v>61</v>
      </c>
      <c r="F17" s="33" t="s">
        <v>174</v>
      </c>
      <c r="G17" s="33" t="s">
        <v>195</v>
      </c>
      <c r="H17" s="39" t="s">
        <v>175</v>
      </c>
      <c r="I17" s="39">
        <v>30</v>
      </c>
      <c r="J17" s="22">
        <v>5412</v>
      </c>
      <c r="K17" s="22">
        <v>-8765</v>
      </c>
      <c r="L17" s="92">
        <f t="shared" si="5"/>
        <v>-2.6195491500369501</v>
      </c>
      <c r="M17" s="105">
        <v>729</v>
      </c>
      <c r="N17" s="105">
        <v>2310</v>
      </c>
      <c r="O17" s="92">
        <f t="shared" si="0"/>
        <v>2.1687242798353901</v>
      </c>
      <c r="P17" s="105">
        <f t="shared" si="6"/>
        <v>6141</v>
      </c>
      <c r="Q17" s="105">
        <f t="shared" si="7"/>
        <v>-6455</v>
      </c>
      <c r="R17" s="92">
        <f t="shared" si="1"/>
        <v>-2.0511317375020401</v>
      </c>
      <c r="S17" s="39">
        <v>20000</v>
      </c>
      <c r="T17" s="39">
        <v>5229</v>
      </c>
      <c r="U17" s="92">
        <f t="shared" si="2"/>
        <v>-0.73855000000000004</v>
      </c>
      <c r="V17" s="38">
        <f t="shared" si="8"/>
        <v>26141</v>
      </c>
      <c r="W17" s="38">
        <f t="shared" si="9"/>
        <v>-1226</v>
      </c>
      <c r="X17" s="92">
        <f t="shared" si="10"/>
        <v>-1.0468995065223199</v>
      </c>
      <c r="Y17" s="39"/>
      <c r="Z17" s="39"/>
      <c r="AA17" s="92" t="e">
        <f t="shared" si="3"/>
        <v>#DIV/0!</v>
      </c>
      <c r="AB17" s="39">
        <f t="shared" si="11"/>
        <v>26141</v>
      </c>
      <c r="AC17" s="39">
        <f t="shared" si="12"/>
        <v>-1226</v>
      </c>
      <c r="AD17" s="92">
        <f t="shared" si="13"/>
        <v>-1.0468995065223199</v>
      </c>
      <c r="AE17" s="39"/>
      <c r="AF17" s="39"/>
      <c r="AG17" s="92" t="e">
        <f t="shared" si="14"/>
        <v>#DIV/0!</v>
      </c>
      <c r="AH17" s="39">
        <f t="shared" si="15"/>
        <v>26141</v>
      </c>
      <c r="AI17" s="39">
        <f t="shared" si="16"/>
        <v>-1226</v>
      </c>
      <c r="AJ17" s="92">
        <f t="shared" si="17"/>
        <v>-1.0468995065223199</v>
      </c>
      <c r="AK17" s="38">
        <v>47792</v>
      </c>
      <c r="AL17" s="38">
        <v>3242</v>
      </c>
      <c r="AM17" s="92">
        <f t="shared" si="18"/>
        <v>-0.93216437897556104</v>
      </c>
      <c r="AN17" s="38">
        <f t="shared" si="19"/>
        <v>73933</v>
      </c>
      <c r="AO17" s="38">
        <f t="shared" si="20"/>
        <v>2016</v>
      </c>
      <c r="AP17" s="92">
        <f t="shared" si="21"/>
        <v>-0.97273206822393199</v>
      </c>
      <c r="AQ17" s="39">
        <v>37572</v>
      </c>
      <c r="AR17" s="39">
        <v>1535</v>
      </c>
      <c r="AS17" s="92">
        <f t="shared" si="4"/>
        <v>-0.95914510805919295</v>
      </c>
      <c r="AT17" s="39">
        <f t="shared" si="22"/>
        <v>111505</v>
      </c>
      <c r="AU17" s="39">
        <f t="shared" si="23"/>
        <v>3551</v>
      </c>
      <c r="AV17" s="92">
        <f t="shared" si="24"/>
        <v>-0.96815389444419497</v>
      </c>
      <c r="AW17" s="39"/>
      <c r="AX17" s="39"/>
      <c r="AY17" s="92" t="e">
        <f t="shared" si="25"/>
        <v>#DIV/0!</v>
      </c>
      <c r="AZ17" s="39">
        <f t="shared" si="26"/>
        <v>111505</v>
      </c>
      <c r="BA17" s="39">
        <f t="shared" si="27"/>
        <v>3551</v>
      </c>
      <c r="BB17" s="92">
        <f t="shared" si="28"/>
        <v>-0.96815389444419497</v>
      </c>
      <c r="BC17" s="38">
        <v>13087</v>
      </c>
      <c r="BD17" s="38"/>
      <c r="BE17" s="92">
        <f t="shared" si="29"/>
        <v>-1</v>
      </c>
      <c r="BF17" s="38">
        <f t="shared" si="30"/>
        <v>124592</v>
      </c>
      <c r="BG17" s="38">
        <f t="shared" si="31"/>
        <v>3551</v>
      </c>
      <c r="BH17" s="92">
        <f t="shared" si="32"/>
        <v>-0.97149897264671903</v>
      </c>
      <c r="BI17" s="28">
        <v>19477</v>
      </c>
      <c r="BJ17" s="28">
        <v>37873</v>
      </c>
      <c r="BK17" s="28">
        <v>35797</v>
      </c>
      <c r="BL17" s="28">
        <v>217739</v>
      </c>
      <c r="BM17" s="29">
        <f t="shared" si="33"/>
        <v>1.18366666666667E-2</v>
      </c>
      <c r="BN17" s="40"/>
      <c r="BO17" s="40"/>
    </row>
    <row r="18" spans="1:67">
      <c r="A18" s="22" t="s">
        <v>164</v>
      </c>
      <c r="B18" s="78" t="s">
        <v>168</v>
      </c>
      <c r="C18" s="33" t="s">
        <v>196</v>
      </c>
      <c r="D18" s="114" t="s">
        <v>61</v>
      </c>
      <c r="E18" s="114" t="s">
        <v>61</v>
      </c>
      <c r="F18" s="33" t="s">
        <v>197</v>
      </c>
      <c r="G18" s="33" t="s">
        <v>197</v>
      </c>
      <c r="H18" s="39" t="s">
        <v>172</v>
      </c>
      <c r="I18" s="39">
        <v>5</v>
      </c>
      <c r="J18" s="22"/>
      <c r="K18" s="22">
        <v>2310</v>
      </c>
      <c r="L18" s="92" t="e">
        <f t="shared" si="5"/>
        <v>#DIV/0!</v>
      </c>
      <c r="M18" s="105"/>
      <c r="N18" s="105">
        <v>3302</v>
      </c>
      <c r="O18" s="92" t="e">
        <f t="shared" si="0"/>
        <v>#DIV/0!</v>
      </c>
      <c r="P18" s="105">
        <f t="shared" si="6"/>
        <v>0</v>
      </c>
      <c r="Q18" s="105">
        <f t="shared" si="7"/>
        <v>5612</v>
      </c>
      <c r="R18" s="92" t="e">
        <f t="shared" si="1"/>
        <v>#DIV/0!</v>
      </c>
      <c r="S18" s="39"/>
      <c r="T18" s="39"/>
      <c r="U18" s="92" t="e">
        <f t="shared" si="2"/>
        <v>#DIV/0!</v>
      </c>
      <c r="V18" s="38">
        <f t="shared" si="8"/>
        <v>0</v>
      </c>
      <c r="W18" s="38">
        <f t="shared" si="9"/>
        <v>5612</v>
      </c>
      <c r="X18" s="92" t="e">
        <f t="shared" si="10"/>
        <v>#DIV/0!</v>
      </c>
      <c r="Y18" s="39">
        <v>2998</v>
      </c>
      <c r="Z18" s="39"/>
      <c r="AA18" s="92">
        <f t="shared" si="3"/>
        <v>-1</v>
      </c>
      <c r="AB18" s="39">
        <f t="shared" si="11"/>
        <v>2998</v>
      </c>
      <c r="AC18" s="39">
        <f t="shared" si="12"/>
        <v>5612</v>
      </c>
      <c r="AD18" s="92">
        <f t="shared" si="13"/>
        <v>0.87191460973982604</v>
      </c>
      <c r="AE18" s="39"/>
      <c r="AF18" s="39"/>
      <c r="AG18" s="92" t="e">
        <f t="shared" si="14"/>
        <v>#DIV/0!</v>
      </c>
      <c r="AH18" s="39">
        <f t="shared" si="15"/>
        <v>2998</v>
      </c>
      <c r="AI18" s="39">
        <f t="shared" si="16"/>
        <v>5612</v>
      </c>
      <c r="AJ18" s="92">
        <f t="shared" si="17"/>
        <v>0.87191460973982604</v>
      </c>
      <c r="AK18" s="38"/>
      <c r="AL18" s="38"/>
      <c r="AM18" s="92" t="e">
        <f t="shared" si="18"/>
        <v>#DIV/0!</v>
      </c>
      <c r="AN18" s="38">
        <f t="shared" si="19"/>
        <v>2998</v>
      </c>
      <c r="AO18" s="38">
        <f t="shared" si="20"/>
        <v>5612</v>
      </c>
      <c r="AP18" s="92">
        <f t="shared" si="21"/>
        <v>0.87191460973982604</v>
      </c>
      <c r="AQ18" s="39"/>
      <c r="AR18" s="39">
        <v>4354</v>
      </c>
      <c r="AS18" s="92" t="e">
        <f t="shared" si="4"/>
        <v>#DIV/0!</v>
      </c>
      <c r="AT18" s="39">
        <f t="shared" si="22"/>
        <v>2998</v>
      </c>
      <c r="AU18" s="39">
        <f t="shared" si="23"/>
        <v>9966</v>
      </c>
      <c r="AV18" s="92">
        <f t="shared" si="24"/>
        <v>2.3242161440960598</v>
      </c>
      <c r="AW18" s="39"/>
      <c r="AX18" s="39"/>
      <c r="AY18" s="92" t="e">
        <f t="shared" si="25"/>
        <v>#DIV/0!</v>
      </c>
      <c r="AZ18" s="39">
        <f t="shared" si="26"/>
        <v>2998</v>
      </c>
      <c r="BA18" s="39">
        <f t="shared" si="27"/>
        <v>9966</v>
      </c>
      <c r="BB18" s="92">
        <f t="shared" si="28"/>
        <v>2.3242161440960598</v>
      </c>
      <c r="BC18" s="38"/>
      <c r="BD18" s="38"/>
      <c r="BE18" s="92" t="e">
        <f t="shared" si="29"/>
        <v>#DIV/0!</v>
      </c>
      <c r="BF18" s="38">
        <f t="shared" si="30"/>
        <v>2998</v>
      </c>
      <c r="BG18" s="38">
        <f t="shared" si="31"/>
        <v>9966</v>
      </c>
      <c r="BH18" s="92">
        <f t="shared" si="32"/>
        <v>2.3242161440960598</v>
      </c>
      <c r="BI18" s="28">
        <v>2334</v>
      </c>
      <c r="BJ18" s="28">
        <v>2890</v>
      </c>
      <c r="BK18" s="28">
        <v>3100</v>
      </c>
      <c r="BL18" s="28">
        <v>11322</v>
      </c>
      <c r="BM18" s="29">
        <f t="shared" si="33"/>
        <v>0.19932</v>
      </c>
      <c r="BN18" s="40"/>
      <c r="BO18" s="40"/>
    </row>
    <row r="19" spans="1:67">
      <c r="A19" s="22" t="s">
        <v>164</v>
      </c>
      <c r="B19" s="78" t="s">
        <v>168</v>
      </c>
      <c r="C19" s="33" t="s">
        <v>198</v>
      </c>
      <c r="D19" s="114" t="s">
        <v>61</v>
      </c>
      <c r="E19" s="114" t="s">
        <v>61</v>
      </c>
      <c r="F19" s="33" t="s">
        <v>199</v>
      </c>
      <c r="G19" s="33" t="s">
        <v>199</v>
      </c>
      <c r="H19" s="39" t="s">
        <v>172</v>
      </c>
      <c r="I19" s="39">
        <v>30</v>
      </c>
      <c r="J19" s="22"/>
      <c r="K19" s="22"/>
      <c r="L19" s="92" t="e">
        <f t="shared" si="5"/>
        <v>#DIV/0!</v>
      </c>
      <c r="M19" s="105"/>
      <c r="N19" s="105"/>
      <c r="O19" s="92" t="e">
        <f t="shared" si="0"/>
        <v>#DIV/0!</v>
      </c>
      <c r="P19" s="105">
        <f t="shared" si="6"/>
        <v>0</v>
      </c>
      <c r="Q19" s="105">
        <f t="shared" si="7"/>
        <v>0</v>
      </c>
      <c r="R19" s="92" t="e">
        <f t="shared" si="1"/>
        <v>#DIV/0!</v>
      </c>
      <c r="S19" s="39"/>
      <c r="T19" s="39"/>
      <c r="U19" s="92" t="e">
        <f t="shared" si="2"/>
        <v>#DIV/0!</v>
      </c>
      <c r="V19" s="38">
        <f t="shared" si="8"/>
        <v>0</v>
      </c>
      <c r="W19" s="38">
        <f t="shared" si="9"/>
        <v>0</v>
      </c>
      <c r="X19" s="92" t="e">
        <f t="shared" si="10"/>
        <v>#DIV/0!</v>
      </c>
      <c r="Y19" s="39">
        <v>20000</v>
      </c>
      <c r="Z19" s="39"/>
      <c r="AA19" s="92">
        <f t="shared" si="3"/>
        <v>-1</v>
      </c>
      <c r="AB19" s="39">
        <f t="shared" si="11"/>
        <v>20000</v>
      </c>
      <c r="AC19" s="39">
        <f t="shared" si="12"/>
        <v>0</v>
      </c>
      <c r="AD19" s="92">
        <f t="shared" si="13"/>
        <v>-1</v>
      </c>
      <c r="AE19" s="39"/>
      <c r="AF19" s="39"/>
      <c r="AG19" s="92" t="e">
        <f t="shared" si="14"/>
        <v>#DIV/0!</v>
      </c>
      <c r="AH19" s="39">
        <f t="shared" si="15"/>
        <v>20000</v>
      </c>
      <c r="AI19" s="39">
        <f t="shared" si="16"/>
        <v>0</v>
      </c>
      <c r="AJ19" s="92">
        <f t="shared" si="17"/>
        <v>-1</v>
      </c>
      <c r="AK19" s="38"/>
      <c r="AL19" s="38"/>
      <c r="AM19" s="92" t="e">
        <f t="shared" si="18"/>
        <v>#DIV/0!</v>
      </c>
      <c r="AN19" s="38">
        <f t="shared" si="19"/>
        <v>20000</v>
      </c>
      <c r="AO19" s="38">
        <f t="shared" si="20"/>
        <v>0</v>
      </c>
      <c r="AP19" s="92">
        <f t="shared" si="21"/>
        <v>-1</v>
      </c>
      <c r="AQ19" s="39">
        <v>10000</v>
      </c>
      <c r="AR19" s="39"/>
      <c r="AS19" s="92">
        <f t="shared" si="4"/>
        <v>-1</v>
      </c>
      <c r="AT19" s="39">
        <f t="shared" si="22"/>
        <v>30000</v>
      </c>
      <c r="AU19" s="39">
        <f t="shared" si="23"/>
        <v>0</v>
      </c>
      <c r="AV19" s="92">
        <f t="shared" si="24"/>
        <v>-1</v>
      </c>
      <c r="AW19" s="39"/>
      <c r="AX19" s="39"/>
      <c r="AY19" s="92" t="e">
        <f t="shared" si="25"/>
        <v>#DIV/0!</v>
      </c>
      <c r="AZ19" s="39">
        <f t="shared" si="26"/>
        <v>30000</v>
      </c>
      <c r="BA19" s="39">
        <f t="shared" si="27"/>
        <v>0</v>
      </c>
      <c r="BB19" s="92">
        <f t="shared" si="28"/>
        <v>-1</v>
      </c>
      <c r="BC19" s="38"/>
      <c r="BD19" s="38"/>
      <c r="BE19" s="92" t="e">
        <f t="shared" si="29"/>
        <v>#DIV/0!</v>
      </c>
      <c r="BF19" s="38">
        <f t="shared" si="30"/>
        <v>30000</v>
      </c>
      <c r="BG19" s="38">
        <f t="shared" si="31"/>
        <v>0</v>
      </c>
      <c r="BH19" s="92">
        <f t="shared" si="32"/>
        <v>-1</v>
      </c>
      <c r="BI19" s="28"/>
      <c r="BJ19" s="28"/>
      <c r="BK19" s="28"/>
      <c r="BL19" s="28">
        <v>30000</v>
      </c>
      <c r="BM19" s="29">
        <f t="shared" si="33"/>
        <v>0</v>
      </c>
      <c r="BN19" s="40"/>
      <c r="BO19" s="40"/>
    </row>
    <row r="20" spans="1:67">
      <c r="A20" s="22" t="s">
        <v>164</v>
      </c>
      <c r="B20" s="78" t="s">
        <v>164</v>
      </c>
      <c r="C20" s="33" t="s">
        <v>200</v>
      </c>
      <c r="D20" s="114" t="s">
        <v>61</v>
      </c>
      <c r="E20" s="114" t="s">
        <v>61</v>
      </c>
      <c r="F20" s="33" t="s">
        <v>174</v>
      </c>
      <c r="G20" s="33" t="s">
        <v>177</v>
      </c>
      <c r="H20" s="39" t="s">
        <v>175</v>
      </c>
      <c r="I20" s="39">
        <v>10</v>
      </c>
      <c r="J20" s="22"/>
      <c r="K20" s="22">
        <v>840</v>
      </c>
      <c r="L20" s="92" t="e">
        <f t="shared" si="5"/>
        <v>#DIV/0!</v>
      </c>
      <c r="M20" s="105"/>
      <c r="N20" s="105">
        <v>10504</v>
      </c>
      <c r="O20" s="92" t="e">
        <f t="shared" si="0"/>
        <v>#DIV/0!</v>
      </c>
      <c r="P20" s="105">
        <f t="shared" si="6"/>
        <v>0</v>
      </c>
      <c r="Q20" s="105">
        <f t="shared" si="7"/>
        <v>11344</v>
      </c>
      <c r="R20" s="92" t="e">
        <f t="shared" si="1"/>
        <v>#DIV/0!</v>
      </c>
      <c r="S20" s="39"/>
      <c r="T20" s="39">
        <v>3070</v>
      </c>
      <c r="U20" s="92" t="e">
        <f t="shared" si="2"/>
        <v>#DIV/0!</v>
      </c>
      <c r="V20" s="38">
        <f t="shared" si="8"/>
        <v>0</v>
      </c>
      <c r="W20" s="38">
        <f t="shared" si="9"/>
        <v>14414</v>
      </c>
      <c r="X20" s="92" t="e">
        <f t="shared" si="10"/>
        <v>#DIV/0!</v>
      </c>
      <c r="Y20" s="39">
        <v>1810</v>
      </c>
      <c r="Z20" s="39"/>
      <c r="AA20" s="92">
        <f t="shared" si="3"/>
        <v>-1</v>
      </c>
      <c r="AB20" s="39">
        <f t="shared" si="11"/>
        <v>1810</v>
      </c>
      <c r="AC20" s="39">
        <f t="shared" si="12"/>
        <v>14414</v>
      </c>
      <c r="AD20" s="92">
        <f t="shared" si="13"/>
        <v>6.96353591160221</v>
      </c>
      <c r="AE20" s="39">
        <v>4787</v>
      </c>
      <c r="AF20" s="39"/>
      <c r="AG20" s="92">
        <f t="shared" si="14"/>
        <v>-1</v>
      </c>
      <c r="AH20" s="39">
        <f t="shared" si="15"/>
        <v>6597</v>
      </c>
      <c r="AI20" s="39">
        <f t="shared" si="16"/>
        <v>14414</v>
      </c>
      <c r="AJ20" s="92">
        <f t="shared" si="17"/>
        <v>1.18493254509626</v>
      </c>
      <c r="AK20" s="38">
        <v>8454</v>
      </c>
      <c r="AL20" s="38"/>
      <c r="AM20" s="92">
        <f t="shared" si="18"/>
        <v>-1</v>
      </c>
      <c r="AN20" s="38">
        <f t="shared" si="19"/>
        <v>15051</v>
      </c>
      <c r="AO20" s="38">
        <f t="shared" si="20"/>
        <v>14414</v>
      </c>
      <c r="AP20" s="92">
        <f t="shared" si="21"/>
        <v>-4.2322769251212602E-2</v>
      </c>
      <c r="AQ20" s="39"/>
      <c r="AR20" s="39"/>
      <c r="AS20" s="92" t="e">
        <f t="shared" si="4"/>
        <v>#DIV/0!</v>
      </c>
      <c r="AT20" s="39">
        <f t="shared" si="22"/>
        <v>15051</v>
      </c>
      <c r="AU20" s="39">
        <f t="shared" si="23"/>
        <v>14414</v>
      </c>
      <c r="AV20" s="92">
        <f t="shared" si="24"/>
        <v>-4.2322769251212602E-2</v>
      </c>
      <c r="AW20" s="39">
        <v>2987</v>
      </c>
      <c r="AX20" s="39"/>
      <c r="AY20" s="92">
        <f t="shared" si="25"/>
        <v>-1</v>
      </c>
      <c r="AZ20" s="39">
        <f t="shared" si="26"/>
        <v>18038</v>
      </c>
      <c r="BA20" s="39">
        <f t="shared" si="27"/>
        <v>14414</v>
      </c>
      <c r="BB20" s="92">
        <f t="shared" si="28"/>
        <v>-0.20090919170639801</v>
      </c>
      <c r="BC20" s="38"/>
      <c r="BD20" s="38">
        <v>2452</v>
      </c>
      <c r="BE20" s="92" t="e">
        <f t="shared" si="29"/>
        <v>#DIV/0!</v>
      </c>
      <c r="BF20" s="38">
        <f t="shared" si="30"/>
        <v>18038</v>
      </c>
      <c r="BG20" s="38">
        <f t="shared" si="31"/>
        <v>16866</v>
      </c>
      <c r="BH20" s="92">
        <f t="shared" si="32"/>
        <v>-6.4973943896219105E-2</v>
      </c>
      <c r="BI20" s="28">
        <v>6500</v>
      </c>
      <c r="BJ20" s="28">
        <v>18255</v>
      </c>
      <c r="BK20" s="28">
        <v>22290</v>
      </c>
      <c r="BL20" s="28">
        <v>65083</v>
      </c>
      <c r="BM20" s="29">
        <f t="shared" si="33"/>
        <v>0.16866</v>
      </c>
      <c r="BN20" s="40"/>
      <c r="BO20" s="40"/>
    </row>
    <row r="21" spans="1:67">
      <c r="A21" s="22" t="s">
        <v>164</v>
      </c>
      <c r="B21" s="78" t="s">
        <v>164</v>
      </c>
      <c r="C21" s="33" t="s">
        <v>201</v>
      </c>
      <c r="D21" s="114" t="s">
        <v>61</v>
      </c>
      <c r="E21" s="114" t="s">
        <v>61</v>
      </c>
      <c r="F21" s="33" t="s">
        <v>184</v>
      </c>
      <c r="G21" s="33" t="s">
        <v>184</v>
      </c>
      <c r="H21" s="39" t="s">
        <v>175</v>
      </c>
      <c r="I21" s="39"/>
      <c r="J21" s="22"/>
      <c r="K21" s="22"/>
      <c r="L21" s="92" t="e">
        <f t="shared" si="5"/>
        <v>#DIV/0!</v>
      </c>
      <c r="M21" s="105"/>
      <c r="N21" s="105"/>
      <c r="O21" s="92" t="e">
        <f t="shared" si="0"/>
        <v>#DIV/0!</v>
      </c>
      <c r="P21" s="105">
        <f t="shared" si="6"/>
        <v>0</v>
      </c>
      <c r="Q21" s="105">
        <f t="shared" si="7"/>
        <v>0</v>
      </c>
      <c r="R21" s="92" t="e">
        <f t="shared" si="1"/>
        <v>#DIV/0!</v>
      </c>
      <c r="S21" s="39"/>
      <c r="T21" s="39"/>
      <c r="U21" s="92" t="e">
        <f t="shared" si="2"/>
        <v>#DIV/0!</v>
      </c>
      <c r="V21" s="38">
        <f t="shared" si="8"/>
        <v>0</v>
      </c>
      <c r="W21" s="38">
        <f t="shared" si="9"/>
        <v>0</v>
      </c>
      <c r="X21" s="92" t="e">
        <f t="shared" si="10"/>
        <v>#DIV/0!</v>
      </c>
      <c r="Y21" s="39"/>
      <c r="Z21" s="39"/>
      <c r="AA21" s="92" t="e">
        <f t="shared" si="3"/>
        <v>#DIV/0!</v>
      </c>
      <c r="AB21" s="39">
        <f t="shared" si="11"/>
        <v>0</v>
      </c>
      <c r="AC21" s="39">
        <f t="shared" si="12"/>
        <v>0</v>
      </c>
      <c r="AD21" s="92" t="e">
        <f t="shared" si="13"/>
        <v>#DIV/0!</v>
      </c>
      <c r="AE21" s="39">
        <v>30000</v>
      </c>
      <c r="AF21" s="39"/>
      <c r="AG21" s="92">
        <f t="shared" si="14"/>
        <v>-1</v>
      </c>
      <c r="AH21" s="39">
        <f t="shared" si="15"/>
        <v>30000</v>
      </c>
      <c r="AI21" s="39">
        <f t="shared" si="16"/>
        <v>0</v>
      </c>
      <c r="AJ21" s="92">
        <f t="shared" si="17"/>
        <v>-1</v>
      </c>
      <c r="AK21" s="38"/>
      <c r="AL21" s="38"/>
      <c r="AM21" s="92" t="e">
        <f t="shared" si="18"/>
        <v>#DIV/0!</v>
      </c>
      <c r="AN21" s="38">
        <f t="shared" si="19"/>
        <v>30000</v>
      </c>
      <c r="AO21" s="38">
        <f t="shared" si="20"/>
        <v>0</v>
      </c>
      <c r="AP21" s="92">
        <f t="shared" si="21"/>
        <v>-1</v>
      </c>
      <c r="AQ21" s="39"/>
      <c r="AR21" s="39"/>
      <c r="AS21" s="92" t="e">
        <f t="shared" si="4"/>
        <v>#DIV/0!</v>
      </c>
      <c r="AT21" s="39">
        <f t="shared" si="22"/>
        <v>30000</v>
      </c>
      <c r="AU21" s="39">
        <f t="shared" si="23"/>
        <v>0</v>
      </c>
      <c r="AV21" s="92">
        <f t="shared" si="24"/>
        <v>-1</v>
      </c>
      <c r="AW21" s="39"/>
      <c r="AX21" s="39"/>
      <c r="AY21" s="92" t="e">
        <f t="shared" si="25"/>
        <v>#DIV/0!</v>
      </c>
      <c r="AZ21" s="39">
        <f t="shared" si="26"/>
        <v>30000</v>
      </c>
      <c r="BA21" s="39">
        <f t="shared" si="27"/>
        <v>0</v>
      </c>
      <c r="BB21" s="92">
        <f t="shared" si="28"/>
        <v>-1</v>
      </c>
      <c r="BC21" s="38"/>
      <c r="BD21" s="38"/>
      <c r="BE21" s="92" t="e">
        <f t="shared" si="29"/>
        <v>#DIV/0!</v>
      </c>
      <c r="BF21" s="38">
        <f t="shared" si="30"/>
        <v>30000</v>
      </c>
      <c r="BG21" s="38">
        <f t="shared" si="31"/>
        <v>0</v>
      </c>
      <c r="BH21" s="92">
        <f t="shared" si="32"/>
        <v>-1</v>
      </c>
      <c r="BI21" s="28"/>
      <c r="BJ21" s="28"/>
      <c r="BK21" s="28">
        <v>3658</v>
      </c>
      <c r="BL21" s="28">
        <v>33658</v>
      </c>
      <c r="BM21" s="29" t="e">
        <f t="shared" si="33"/>
        <v>#DIV/0!</v>
      </c>
      <c r="BN21" s="40"/>
      <c r="BO21" s="40"/>
    </row>
    <row r="22" spans="1:67">
      <c r="A22" s="22" t="s">
        <v>164</v>
      </c>
      <c r="B22" s="78" t="s">
        <v>164</v>
      </c>
      <c r="C22" s="33" t="s">
        <v>115</v>
      </c>
      <c r="D22" s="114" t="s">
        <v>114</v>
      </c>
      <c r="E22" s="114" t="s">
        <v>114</v>
      </c>
      <c r="F22" s="33" t="s">
        <v>174</v>
      </c>
      <c r="G22" s="33"/>
      <c r="H22" s="39" t="s">
        <v>175</v>
      </c>
      <c r="I22" s="39"/>
      <c r="J22" s="22"/>
      <c r="K22" s="22"/>
      <c r="L22" s="92" t="e">
        <f t="shared" si="5"/>
        <v>#DIV/0!</v>
      </c>
      <c r="M22" s="105"/>
      <c r="N22" s="105"/>
      <c r="O22" s="92" t="e">
        <f t="shared" si="0"/>
        <v>#DIV/0!</v>
      </c>
      <c r="P22" s="105">
        <f t="shared" si="6"/>
        <v>0</v>
      </c>
      <c r="Q22" s="105">
        <f t="shared" si="7"/>
        <v>0</v>
      </c>
      <c r="R22" s="92" t="e">
        <f t="shared" si="1"/>
        <v>#DIV/0!</v>
      </c>
      <c r="S22" s="39"/>
      <c r="T22" s="39">
        <v>1732</v>
      </c>
      <c r="U22" s="92" t="e">
        <f t="shared" si="2"/>
        <v>#DIV/0!</v>
      </c>
      <c r="V22" s="38">
        <f t="shared" si="8"/>
        <v>0</v>
      </c>
      <c r="W22" s="38">
        <f t="shared" si="9"/>
        <v>1732</v>
      </c>
      <c r="X22" s="92" t="e">
        <f t="shared" si="10"/>
        <v>#DIV/0!</v>
      </c>
      <c r="Y22" s="39"/>
      <c r="Z22" s="39">
        <v>2701</v>
      </c>
      <c r="AA22" s="92" t="e">
        <f t="shared" si="3"/>
        <v>#DIV/0!</v>
      </c>
      <c r="AB22" s="39">
        <f t="shared" si="11"/>
        <v>0</v>
      </c>
      <c r="AC22" s="39">
        <f t="shared" si="12"/>
        <v>4433</v>
      </c>
      <c r="AD22" s="92" t="e">
        <f t="shared" si="13"/>
        <v>#DIV/0!</v>
      </c>
      <c r="AE22" s="39"/>
      <c r="AF22" s="39"/>
      <c r="AG22" s="92" t="e">
        <f t="shared" si="14"/>
        <v>#DIV/0!</v>
      </c>
      <c r="AH22" s="39">
        <f t="shared" si="15"/>
        <v>0</v>
      </c>
      <c r="AI22" s="39">
        <f t="shared" si="16"/>
        <v>4433</v>
      </c>
      <c r="AJ22" s="92" t="e">
        <f t="shared" si="17"/>
        <v>#DIV/0!</v>
      </c>
      <c r="AK22" s="38"/>
      <c r="AL22" s="38"/>
      <c r="AM22" s="92" t="e">
        <f t="shared" si="18"/>
        <v>#DIV/0!</v>
      </c>
      <c r="AN22" s="38">
        <f t="shared" si="19"/>
        <v>0</v>
      </c>
      <c r="AO22" s="38">
        <f t="shared" si="20"/>
        <v>4433</v>
      </c>
      <c r="AP22" s="92" t="e">
        <f t="shared" si="21"/>
        <v>#DIV/0!</v>
      </c>
      <c r="AQ22" s="39"/>
      <c r="AR22" s="39"/>
      <c r="AS22" s="92" t="e">
        <f t="shared" si="4"/>
        <v>#DIV/0!</v>
      </c>
      <c r="AT22" s="39">
        <f t="shared" si="22"/>
        <v>0</v>
      </c>
      <c r="AU22" s="39">
        <f t="shared" si="23"/>
        <v>4433</v>
      </c>
      <c r="AV22" s="92" t="e">
        <f t="shared" si="24"/>
        <v>#DIV/0!</v>
      </c>
      <c r="AW22" s="39">
        <v>5806.24</v>
      </c>
      <c r="AX22" s="39">
        <v>433</v>
      </c>
      <c r="AY22" s="92">
        <f t="shared" si="25"/>
        <v>-0.92542505993551805</v>
      </c>
      <c r="AZ22" s="39">
        <f t="shared" si="26"/>
        <v>5806.24</v>
      </c>
      <c r="BA22" s="39">
        <f t="shared" si="27"/>
        <v>4866</v>
      </c>
      <c r="BB22" s="92">
        <f t="shared" si="28"/>
        <v>-0.16193612389429299</v>
      </c>
      <c r="BC22" s="38">
        <v>5640</v>
      </c>
      <c r="BD22" s="38"/>
      <c r="BE22" s="92">
        <f t="shared" si="29"/>
        <v>-1</v>
      </c>
      <c r="BF22" s="38">
        <f t="shared" si="30"/>
        <v>11446.24</v>
      </c>
      <c r="BG22" s="38">
        <f t="shared" si="31"/>
        <v>4866</v>
      </c>
      <c r="BH22" s="92">
        <f t="shared" si="32"/>
        <v>-0.57488223206922096</v>
      </c>
      <c r="BI22" s="28">
        <v>2295</v>
      </c>
      <c r="BJ22" s="28">
        <v>5066</v>
      </c>
      <c r="BK22" s="28"/>
      <c r="BL22" s="28">
        <v>18807.240000000002</v>
      </c>
      <c r="BM22" s="29" t="e">
        <f t="shared" si="33"/>
        <v>#DIV/0!</v>
      </c>
      <c r="BN22" s="40"/>
      <c r="BO22" s="40"/>
    </row>
    <row r="23" spans="1:67">
      <c r="A23" s="22" t="s">
        <v>164</v>
      </c>
      <c r="B23" s="78" t="s">
        <v>164</v>
      </c>
      <c r="C23" s="33" t="s">
        <v>119</v>
      </c>
      <c r="D23" s="114" t="s">
        <v>61</v>
      </c>
      <c r="E23" s="114" t="s">
        <v>61</v>
      </c>
      <c r="F23" s="33" t="s">
        <v>174</v>
      </c>
      <c r="G23" s="33"/>
      <c r="H23" s="39" t="s">
        <v>175</v>
      </c>
      <c r="I23" s="39"/>
      <c r="J23" s="22"/>
      <c r="K23" s="22"/>
      <c r="L23" s="92" t="e">
        <f t="shared" si="5"/>
        <v>#DIV/0!</v>
      </c>
      <c r="M23" s="105"/>
      <c r="N23" s="105">
        <v>12400.68</v>
      </c>
      <c r="O23" s="92" t="e">
        <f t="shared" si="0"/>
        <v>#DIV/0!</v>
      </c>
      <c r="P23" s="105">
        <f t="shared" si="6"/>
        <v>0</v>
      </c>
      <c r="Q23" s="105">
        <f t="shared" si="7"/>
        <v>12400.68</v>
      </c>
      <c r="R23" s="92" t="e">
        <f t="shared" si="1"/>
        <v>#DIV/0!</v>
      </c>
      <c r="S23" s="39"/>
      <c r="T23" s="39">
        <v>3939.44</v>
      </c>
      <c r="U23" s="92" t="e">
        <f t="shared" si="2"/>
        <v>#DIV/0!</v>
      </c>
      <c r="V23" s="38">
        <f t="shared" si="8"/>
        <v>0</v>
      </c>
      <c r="W23" s="38">
        <f t="shared" si="9"/>
        <v>16340.12</v>
      </c>
      <c r="X23" s="92" t="e">
        <f t="shared" si="10"/>
        <v>#DIV/0!</v>
      </c>
      <c r="Y23" s="39"/>
      <c r="Z23" s="39"/>
      <c r="AA23" s="92" t="e">
        <f t="shared" si="3"/>
        <v>#DIV/0!</v>
      </c>
      <c r="AB23" s="39">
        <f t="shared" si="11"/>
        <v>0</v>
      </c>
      <c r="AC23" s="39">
        <f t="shared" si="12"/>
        <v>16340.12</v>
      </c>
      <c r="AD23" s="92" t="e">
        <f t="shared" si="13"/>
        <v>#DIV/0!</v>
      </c>
      <c r="AE23" s="39"/>
      <c r="AF23" s="39"/>
      <c r="AG23" s="92" t="e">
        <f t="shared" si="14"/>
        <v>#DIV/0!</v>
      </c>
      <c r="AH23" s="39">
        <f t="shared" si="15"/>
        <v>0</v>
      </c>
      <c r="AI23" s="39">
        <f t="shared" si="16"/>
        <v>16340.12</v>
      </c>
      <c r="AJ23" s="92" t="e">
        <f t="shared" si="17"/>
        <v>#DIV/0!</v>
      </c>
      <c r="AK23" s="38"/>
      <c r="AL23" s="38"/>
      <c r="AM23" s="92" t="e">
        <f t="shared" si="18"/>
        <v>#DIV/0!</v>
      </c>
      <c r="AN23" s="38">
        <f t="shared" si="19"/>
        <v>0</v>
      </c>
      <c r="AO23" s="38">
        <f t="shared" si="20"/>
        <v>16340.12</v>
      </c>
      <c r="AP23" s="92" t="e">
        <f t="shared" si="21"/>
        <v>#DIV/0!</v>
      </c>
      <c r="AQ23" s="39"/>
      <c r="AR23" s="39"/>
      <c r="AS23" s="92" t="e">
        <f t="shared" si="4"/>
        <v>#DIV/0!</v>
      </c>
      <c r="AT23" s="39">
        <f t="shared" si="22"/>
        <v>0</v>
      </c>
      <c r="AU23" s="39">
        <f t="shared" si="23"/>
        <v>16340.12</v>
      </c>
      <c r="AV23" s="92" t="e">
        <f t="shared" si="24"/>
        <v>#DIV/0!</v>
      </c>
      <c r="AW23" s="39">
        <v>662.33</v>
      </c>
      <c r="AX23" s="39"/>
      <c r="AY23" s="92">
        <f t="shared" si="25"/>
        <v>-1</v>
      </c>
      <c r="AZ23" s="39">
        <f t="shared" si="26"/>
        <v>662.33</v>
      </c>
      <c r="BA23" s="39">
        <f t="shared" si="27"/>
        <v>16340.12</v>
      </c>
      <c r="BB23" s="92">
        <f t="shared" si="28"/>
        <v>23.670662660607199</v>
      </c>
      <c r="BC23" s="38">
        <v>10457.719999999999</v>
      </c>
      <c r="BD23" s="38">
        <v>5675.48</v>
      </c>
      <c r="BE23" s="92">
        <f t="shared" si="29"/>
        <v>-0.45729279422283298</v>
      </c>
      <c r="BF23" s="38">
        <f t="shared" si="30"/>
        <v>11120.05</v>
      </c>
      <c r="BG23" s="38">
        <f t="shared" si="31"/>
        <v>22015.599999999999</v>
      </c>
      <c r="BH23" s="92">
        <f t="shared" si="32"/>
        <v>0.97981124185592705</v>
      </c>
      <c r="BI23" s="28">
        <v>1246.5999999999999</v>
      </c>
      <c r="BJ23" s="28"/>
      <c r="BK23" s="28"/>
      <c r="BL23" s="28">
        <v>12366.65</v>
      </c>
      <c r="BM23" s="29" t="e">
        <f t="shared" si="33"/>
        <v>#DIV/0!</v>
      </c>
      <c r="BN23" s="40"/>
      <c r="BO23" s="40"/>
    </row>
    <row r="24" spans="1:67">
      <c r="A24" s="22" t="s">
        <v>164</v>
      </c>
      <c r="B24" s="78" t="s">
        <v>168</v>
      </c>
      <c r="C24" s="33" t="s">
        <v>202</v>
      </c>
      <c r="D24" s="114" t="s">
        <v>61</v>
      </c>
      <c r="E24" s="114" t="s">
        <v>61</v>
      </c>
      <c r="F24" s="33" t="s">
        <v>170</v>
      </c>
      <c r="G24" s="33" t="s">
        <v>180</v>
      </c>
      <c r="H24" s="39" t="s">
        <v>172</v>
      </c>
      <c r="I24" s="39"/>
      <c r="J24" s="22"/>
      <c r="K24" s="22">
        <v>5688</v>
      </c>
      <c r="L24" s="92" t="e">
        <f t="shared" si="5"/>
        <v>#DIV/0!</v>
      </c>
      <c r="M24" s="105"/>
      <c r="N24" s="105"/>
      <c r="O24" s="92" t="e">
        <f t="shared" si="0"/>
        <v>#DIV/0!</v>
      </c>
      <c r="P24" s="105">
        <f t="shared" si="6"/>
        <v>0</v>
      </c>
      <c r="Q24" s="105">
        <f t="shared" si="7"/>
        <v>5688</v>
      </c>
      <c r="R24" s="92" t="e">
        <f t="shared" si="1"/>
        <v>#DIV/0!</v>
      </c>
      <c r="S24" s="39"/>
      <c r="T24" s="39">
        <v>2300</v>
      </c>
      <c r="U24" s="92" t="e">
        <f t="shared" si="2"/>
        <v>#DIV/0!</v>
      </c>
      <c r="V24" s="38">
        <f t="shared" si="8"/>
        <v>0</v>
      </c>
      <c r="W24" s="38">
        <f t="shared" si="9"/>
        <v>7988</v>
      </c>
      <c r="X24" s="92" t="e">
        <f t="shared" si="10"/>
        <v>#DIV/0!</v>
      </c>
      <c r="Y24" s="39"/>
      <c r="Z24" s="39"/>
      <c r="AA24" s="92" t="e">
        <f t="shared" si="3"/>
        <v>#DIV/0!</v>
      </c>
      <c r="AB24" s="39">
        <f t="shared" si="11"/>
        <v>0</v>
      </c>
      <c r="AC24" s="39">
        <f t="shared" si="12"/>
        <v>7988</v>
      </c>
      <c r="AD24" s="92" t="e">
        <f t="shared" si="13"/>
        <v>#DIV/0!</v>
      </c>
      <c r="AE24" s="39"/>
      <c r="AF24" s="39"/>
      <c r="AG24" s="92" t="e">
        <f t="shared" si="14"/>
        <v>#DIV/0!</v>
      </c>
      <c r="AH24" s="39">
        <f t="shared" si="15"/>
        <v>0</v>
      </c>
      <c r="AI24" s="39">
        <f t="shared" si="16"/>
        <v>7988</v>
      </c>
      <c r="AJ24" s="92" t="e">
        <f t="shared" si="17"/>
        <v>#DIV/0!</v>
      </c>
      <c r="AK24" s="38"/>
      <c r="AL24" s="38"/>
      <c r="AM24" s="92" t="e">
        <f t="shared" si="18"/>
        <v>#DIV/0!</v>
      </c>
      <c r="AN24" s="38">
        <f t="shared" si="19"/>
        <v>0</v>
      </c>
      <c r="AO24" s="38">
        <f t="shared" si="20"/>
        <v>7988</v>
      </c>
      <c r="AP24" s="92" t="e">
        <f t="shared" si="21"/>
        <v>#DIV/0!</v>
      </c>
      <c r="AQ24" s="39"/>
      <c r="AR24" s="39"/>
      <c r="AS24" s="92" t="e">
        <f t="shared" si="4"/>
        <v>#DIV/0!</v>
      </c>
      <c r="AT24" s="39">
        <f t="shared" si="22"/>
        <v>0</v>
      </c>
      <c r="AU24" s="39">
        <f t="shared" si="23"/>
        <v>7988</v>
      </c>
      <c r="AV24" s="92" t="e">
        <f t="shared" si="24"/>
        <v>#DIV/0!</v>
      </c>
      <c r="AW24" s="39"/>
      <c r="AX24" s="39"/>
      <c r="AY24" s="92" t="e">
        <f t="shared" si="25"/>
        <v>#DIV/0!</v>
      </c>
      <c r="AZ24" s="39">
        <f t="shared" si="26"/>
        <v>0</v>
      </c>
      <c r="BA24" s="39">
        <f t="shared" si="27"/>
        <v>7988</v>
      </c>
      <c r="BB24" s="92" t="e">
        <f t="shared" si="28"/>
        <v>#DIV/0!</v>
      </c>
      <c r="BC24" s="38"/>
      <c r="BD24" s="38"/>
      <c r="BE24" s="92" t="e">
        <f t="shared" si="29"/>
        <v>#DIV/0!</v>
      </c>
      <c r="BF24" s="38">
        <f t="shared" si="30"/>
        <v>0</v>
      </c>
      <c r="BG24" s="38">
        <f t="shared" si="31"/>
        <v>7988</v>
      </c>
      <c r="BH24" s="92" t="e">
        <f t="shared" si="32"/>
        <v>#DIV/0!</v>
      </c>
      <c r="BI24" s="28"/>
      <c r="BJ24" s="28">
        <v>4405</v>
      </c>
      <c r="BK24" s="28"/>
      <c r="BL24" s="28">
        <v>4405</v>
      </c>
      <c r="BM24" s="29" t="e">
        <f t="shared" si="33"/>
        <v>#DIV/0!</v>
      </c>
      <c r="BN24" s="40"/>
      <c r="BO24" s="40"/>
    </row>
    <row r="25" spans="1:67">
      <c r="A25" s="22" t="s">
        <v>164</v>
      </c>
      <c r="B25" s="78" t="s">
        <v>164</v>
      </c>
      <c r="C25" s="33" t="s">
        <v>203</v>
      </c>
      <c r="D25" s="114" t="s">
        <v>61</v>
      </c>
      <c r="E25" s="114" t="s">
        <v>61</v>
      </c>
      <c r="F25" s="33" t="s">
        <v>174</v>
      </c>
      <c r="G25" s="33" t="s">
        <v>195</v>
      </c>
      <c r="H25" s="39" t="s">
        <v>175</v>
      </c>
      <c r="I25" s="39"/>
      <c r="J25" s="22"/>
      <c r="K25" s="22"/>
      <c r="L25" s="92" t="e">
        <f t="shared" si="5"/>
        <v>#DIV/0!</v>
      </c>
      <c r="M25" s="105"/>
      <c r="N25" s="105"/>
      <c r="O25" s="92" t="e">
        <f t="shared" si="0"/>
        <v>#DIV/0!</v>
      </c>
      <c r="P25" s="105">
        <f t="shared" si="6"/>
        <v>0</v>
      </c>
      <c r="Q25" s="105">
        <f t="shared" si="7"/>
        <v>0</v>
      </c>
      <c r="R25" s="92" t="e">
        <f t="shared" si="1"/>
        <v>#DIV/0!</v>
      </c>
      <c r="S25" s="39"/>
      <c r="T25" s="39"/>
      <c r="U25" s="92" t="e">
        <f t="shared" si="2"/>
        <v>#DIV/0!</v>
      </c>
      <c r="V25" s="38">
        <f t="shared" si="8"/>
        <v>0</v>
      </c>
      <c r="W25" s="38">
        <f t="shared" si="9"/>
        <v>0</v>
      </c>
      <c r="X25" s="92" t="e">
        <f t="shared" si="10"/>
        <v>#DIV/0!</v>
      </c>
      <c r="Y25" s="39"/>
      <c r="Z25" s="39"/>
      <c r="AA25" s="92" t="e">
        <f t="shared" si="3"/>
        <v>#DIV/0!</v>
      </c>
      <c r="AB25" s="39">
        <f t="shared" si="11"/>
        <v>0</v>
      </c>
      <c r="AC25" s="39">
        <f t="shared" si="12"/>
        <v>0</v>
      </c>
      <c r="AD25" s="92" t="e">
        <f t="shared" si="13"/>
        <v>#DIV/0!</v>
      </c>
      <c r="AE25" s="39"/>
      <c r="AF25" s="39"/>
      <c r="AG25" s="92" t="e">
        <f t="shared" si="14"/>
        <v>#DIV/0!</v>
      </c>
      <c r="AH25" s="39">
        <f t="shared" si="15"/>
        <v>0</v>
      </c>
      <c r="AI25" s="39">
        <f t="shared" si="16"/>
        <v>0</v>
      </c>
      <c r="AJ25" s="92" t="e">
        <f t="shared" si="17"/>
        <v>#DIV/0!</v>
      </c>
      <c r="AK25" s="38"/>
      <c r="AL25" s="38"/>
      <c r="AM25" s="92" t="e">
        <f t="shared" si="18"/>
        <v>#DIV/0!</v>
      </c>
      <c r="AN25" s="38">
        <f t="shared" si="19"/>
        <v>0</v>
      </c>
      <c r="AO25" s="38">
        <f t="shared" si="20"/>
        <v>0</v>
      </c>
      <c r="AP25" s="92" t="e">
        <f t="shared" si="21"/>
        <v>#DIV/0!</v>
      </c>
      <c r="AQ25" s="39"/>
      <c r="AR25" s="39"/>
      <c r="AS25" s="92" t="e">
        <f t="shared" si="4"/>
        <v>#DIV/0!</v>
      </c>
      <c r="AT25" s="39">
        <f t="shared" si="22"/>
        <v>0</v>
      </c>
      <c r="AU25" s="39">
        <f t="shared" si="23"/>
        <v>0</v>
      </c>
      <c r="AV25" s="92" t="e">
        <f t="shared" si="24"/>
        <v>#DIV/0!</v>
      </c>
      <c r="AW25" s="39"/>
      <c r="AX25" s="39"/>
      <c r="AY25" s="92" t="e">
        <f t="shared" si="25"/>
        <v>#DIV/0!</v>
      </c>
      <c r="AZ25" s="39">
        <f t="shared" si="26"/>
        <v>0</v>
      </c>
      <c r="BA25" s="39">
        <f t="shared" si="27"/>
        <v>0</v>
      </c>
      <c r="BB25" s="92" t="e">
        <f t="shared" si="28"/>
        <v>#DIV/0!</v>
      </c>
      <c r="BC25" s="38"/>
      <c r="BD25" s="38"/>
      <c r="BE25" s="92" t="e">
        <f t="shared" si="29"/>
        <v>#DIV/0!</v>
      </c>
      <c r="BF25" s="38">
        <f t="shared" si="30"/>
        <v>0</v>
      </c>
      <c r="BG25" s="38">
        <f t="shared" si="31"/>
        <v>0</v>
      </c>
      <c r="BH25" s="92" t="e">
        <f t="shared" si="32"/>
        <v>#DIV/0!</v>
      </c>
      <c r="BI25" s="28">
        <v>10000</v>
      </c>
      <c r="BJ25" s="28"/>
      <c r="BK25" s="28"/>
      <c r="BL25" s="28">
        <v>10000</v>
      </c>
      <c r="BM25" s="29" t="e">
        <f t="shared" si="33"/>
        <v>#DIV/0!</v>
      </c>
      <c r="BN25" s="40"/>
      <c r="BO25" s="40"/>
    </row>
    <row r="26" spans="1:67">
      <c r="A26" s="22" t="s">
        <v>164</v>
      </c>
      <c r="B26" s="78" t="s">
        <v>164</v>
      </c>
      <c r="C26" s="41" t="s">
        <v>204</v>
      </c>
      <c r="D26" s="114" t="s">
        <v>61</v>
      </c>
      <c r="E26" s="114" t="s">
        <v>61</v>
      </c>
      <c r="F26" s="33" t="s">
        <v>174</v>
      </c>
      <c r="G26" s="33" t="s">
        <v>195</v>
      </c>
      <c r="H26" s="39" t="s">
        <v>175</v>
      </c>
      <c r="I26" s="39"/>
      <c r="J26" s="22"/>
      <c r="K26" s="22"/>
      <c r="L26" s="92"/>
      <c r="M26" s="105"/>
      <c r="N26" s="105"/>
      <c r="O26" s="92"/>
      <c r="P26" s="105"/>
      <c r="Q26" s="105"/>
      <c r="R26" s="92"/>
      <c r="S26" s="39"/>
      <c r="T26" s="39"/>
      <c r="U26" s="92"/>
      <c r="V26" s="38"/>
      <c r="W26" s="38"/>
      <c r="X26" s="92"/>
      <c r="Y26" s="39"/>
      <c r="Z26" s="39"/>
      <c r="AA26" s="92"/>
      <c r="AB26" s="39"/>
      <c r="AC26" s="39"/>
      <c r="AD26" s="92"/>
      <c r="AE26" s="39"/>
      <c r="AF26" s="39">
        <v>10781</v>
      </c>
      <c r="AG26" s="92" t="e">
        <f t="shared" si="14"/>
        <v>#DIV/0!</v>
      </c>
      <c r="AH26" s="39">
        <f t="shared" si="15"/>
        <v>0</v>
      </c>
      <c r="AI26" s="39">
        <f t="shared" si="16"/>
        <v>10781</v>
      </c>
      <c r="AJ26" s="92" t="e">
        <f t="shared" si="17"/>
        <v>#DIV/0!</v>
      </c>
      <c r="AK26" s="38"/>
      <c r="AL26" s="38">
        <v>11769</v>
      </c>
      <c r="AM26" s="92" t="e">
        <f t="shared" si="18"/>
        <v>#DIV/0!</v>
      </c>
      <c r="AN26" s="38">
        <f t="shared" si="19"/>
        <v>0</v>
      </c>
      <c r="AO26" s="38">
        <f t="shared" si="20"/>
        <v>22550</v>
      </c>
      <c r="AP26" s="92" t="e">
        <f t="shared" si="21"/>
        <v>#DIV/0!</v>
      </c>
      <c r="AQ26" s="39"/>
      <c r="AR26" s="39">
        <v>22469</v>
      </c>
      <c r="AS26" s="92" t="e">
        <f t="shared" si="4"/>
        <v>#DIV/0!</v>
      </c>
      <c r="AT26" s="39">
        <f t="shared" si="22"/>
        <v>0</v>
      </c>
      <c r="AU26" s="39">
        <f t="shared" si="23"/>
        <v>45019</v>
      </c>
      <c r="AV26" s="92" t="e">
        <f t="shared" si="24"/>
        <v>#DIV/0!</v>
      </c>
      <c r="AW26" s="39"/>
      <c r="AX26" s="39">
        <v>2200</v>
      </c>
      <c r="AY26" s="92" t="e">
        <f t="shared" si="25"/>
        <v>#DIV/0!</v>
      </c>
      <c r="AZ26" s="39">
        <f t="shared" si="26"/>
        <v>0</v>
      </c>
      <c r="BA26" s="39">
        <f t="shared" si="27"/>
        <v>47219</v>
      </c>
      <c r="BB26" s="92" t="e">
        <f t="shared" si="28"/>
        <v>#DIV/0!</v>
      </c>
      <c r="BC26" s="38"/>
      <c r="BD26" s="38">
        <v>19839</v>
      </c>
      <c r="BE26" s="92" t="e">
        <f t="shared" si="29"/>
        <v>#DIV/0!</v>
      </c>
      <c r="BF26" s="38">
        <f t="shared" si="30"/>
        <v>0</v>
      </c>
      <c r="BG26" s="38">
        <f t="shared" si="31"/>
        <v>67058</v>
      </c>
      <c r="BH26" s="92" t="e">
        <f t="shared" si="32"/>
        <v>#DIV/0!</v>
      </c>
      <c r="BI26" s="28"/>
      <c r="BJ26" s="28"/>
      <c r="BK26" s="28"/>
      <c r="BL26" s="28"/>
      <c r="BM26" s="29" t="e">
        <f t="shared" si="33"/>
        <v>#DIV/0!</v>
      </c>
      <c r="BN26" s="40"/>
      <c r="BO26" s="40"/>
    </row>
    <row r="27" spans="1:67">
      <c r="A27" s="22" t="s">
        <v>164</v>
      </c>
      <c r="B27" s="78" t="s">
        <v>164</v>
      </c>
      <c r="C27" s="41" t="s">
        <v>205</v>
      </c>
      <c r="D27" s="114" t="s">
        <v>61</v>
      </c>
      <c r="E27" s="114" t="s">
        <v>61</v>
      </c>
      <c r="F27" s="33" t="s">
        <v>166</v>
      </c>
      <c r="G27" s="33"/>
      <c r="H27" s="39" t="s">
        <v>167</v>
      </c>
      <c r="I27" s="39">
        <v>10</v>
      </c>
      <c r="J27" s="22"/>
      <c r="K27" s="22"/>
      <c r="L27" s="92"/>
      <c r="M27" s="105"/>
      <c r="N27" s="105"/>
      <c r="O27" s="92"/>
      <c r="P27" s="105"/>
      <c r="Q27" s="105"/>
      <c r="R27" s="92"/>
      <c r="S27" s="39"/>
      <c r="T27" s="39"/>
      <c r="U27" s="92"/>
      <c r="V27" s="38"/>
      <c r="W27" s="38"/>
      <c r="X27" s="92"/>
      <c r="Y27" s="39"/>
      <c r="Z27" s="39"/>
      <c r="AA27" s="92"/>
      <c r="AB27" s="39"/>
      <c r="AC27" s="39"/>
      <c r="AD27" s="92"/>
      <c r="AE27" s="39"/>
      <c r="AF27" s="39">
        <v>20000</v>
      </c>
      <c r="AG27" s="92" t="e">
        <f t="shared" si="14"/>
        <v>#DIV/0!</v>
      </c>
      <c r="AH27" s="39">
        <f t="shared" si="15"/>
        <v>0</v>
      </c>
      <c r="AI27" s="39">
        <f t="shared" si="16"/>
        <v>20000</v>
      </c>
      <c r="AJ27" s="92" t="e">
        <f t="shared" si="17"/>
        <v>#DIV/0!</v>
      </c>
      <c r="AK27" s="38"/>
      <c r="AL27" s="38"/>
      <c r="AM27" s="92" t="e">
        <f t="shared" si="18"/>
        <v>#DIV/0!</v>
      </c>
      <c r="AN27" s="38">
        <f t="shared" si="19"/>
        <v>0</v>
      </c>
      <c r="AO27" s="38">
        <f t="shared" si="20"/>
        <v>20000</v>
      </c>
      <c r="AP27" s="92" t="e">
        <f t="shared" si="21"/>
        <v>#DIV/0!</v>
      </c>
      <c r="AQ27" s="39"/>
      <c r="AR27" s="39"/>
      <c r="AS27" s="92" t="e">
        <f t="shared" si="4"/>
        <v>#DIV/0!</v>
      </c>
      <c r="AT27" s="39">
        <f t="shared" si="22"/>
        <v>0</v>
      </c>
      <c r="AU27" s="39">
        <f t="shared" si="23"/>
        <v>20000</v>
      </c>
      <c r="AV27" s="92" t="e">
        <f t="shared" si="24"/>
        <v>#DIV/0!</v>
      </c>
      <c r="AW27" s="39"/>
      <c r="AX27" s="39"/>
      <c r="AY27" s="92" t="e">
        <f t="shared" si="25"/>
        <v>#DIV/0!</v>
      </c>
      <c r="AZ27" s="39">
        <f t="shared" si="26"/>
        <v>0</v>
      </c>
      <c r="BA27" s="39">
        <f t="shared" si="27"/>
        <v>20000</v>
      </c>
      <c r="BB27" s="92" t="e">
        <f t="shared" si="28"/>
        <v>#DIV/0!</v>
      </c>
      <c r="BC27" s="38"/>
      <c r="BD27" s="38"/>
      <c r="BE27" s="92" t="e">
        <f t="shared" si="29"/>
        <v>#DIV/0!</v>
      </c>
      <c r="BF27" s="38">
        <f t="shared" si="30"/>
        <v>0</v>
      </c>
      <c r="BG27" s="38">
        <f t="shared" si="31"/>
        <v>20000</v>
      </c>
      <c r="BH27" s="92" t="e">
        <f t="shared" si="32"/>
        <v>#DIV/0!</v>
      </c>
      <c r="BI27" s="28"/>
      <c r="BJ27" s="28"/>
      <c r="BK27" s="28"/>
      <c r="BL27" s="28"/>
      <c r="BM27" s="29">
        <f t="shared" si="33"/>
        <v>0.2</v>
      </c>
      <c r="BN27" s="40"/>
      <c r="BO27" s="40"/>
    </row>
    <row r="28" spans="1:67" ht="15">
      <c r="A28" s="22" t="s">
        <v>164</v>
      </c>
      <c r="B28" s="78" t="s">
        <v>164</v>
      </c>
      <c r="C28" s="33" t="s">
        <v>206</v>
      </c>
      <c r="D28" s="114" t="s">
        <v>61</v>
      </c>
      <c r="E28" s="114" t="s">
        <v>61</v>
      </c>
      <c r="F28" s="33" t="s">
        <v>174</v>
      </c>
      <c r="G28" s="33"/>
      <c r="H28" s="39" t="s">
        <v>175</v>
      </c>
      <c r="I28" s="117">
        <v>10</v>
      </c>
      <c r="J28" s="22"/>
      <c r="K28" s="22">
        <v>4928</v>
      </c>
      <c r="L28" s="92" t="e">
        <f>K28/J28-1</f>
        <v>#DIV/0!</v>
      </c>
      <c r="M28" s="105"/>
      <c r="N28" s="105"/>
      <c r="O28" s="92" t="e">
        <f>N28/M28-1</f>
        <v>#DIV/0!</v>
      </c>
      <c r="P28" s="105">
        <f>M28+J28</f>
        <v>0</v>
      </c>
      <c r="Q28" s="105">
        <f>N28+K28</f>
        <v>4928</v>
      </c>
      <c r="R28" s="92" t="e">
        <f>Q28/P28-1</f>
        <v>#DIV/0!</v>
      </c>
      <c r="S28" s="39"/>
      <c r="T28" s="39">
        <v>22339</v>
      </c>
      <c r="U28" s="92" t="e">
        <f>T28/S28-1</f>
        <v>#DIV/0!</v>
      </c>
      <c r="V28" s="38">
        <f>S28+P28</f>
        <v>0</v>
      </c>
      <c r="W28" s="38">
        <f>T28+Q28</f>
        <v>27267</v>
      </c>
      <c r="X28" s="92" t="e">
        <f>W28/V28-1</f>
        <v>#DIV/0!</v>
      </c>
      <c r="Y28" s="39"/>
      <c r="Z28" s="39"/>
      <c r="AA28" s="92" t="e">
        <f>Z28/Y28-1</f>
        <v>#DIV/0!</v>
      </c>
      <c r="AB28" s="39">
        <f>Y28+V28</f>
        <v>0</v>
      </c>
      <c r="AC28" s="39">
        <f>Z28+W28</f>
        <v>27267</v>
      </c>
      <c r="AD28" s="92" t="e">
        <f>AC28/AB28-1</f>
        <v>#DIV/0!</v>
      </c>
      <c r="AE28" s="39"/>
      <c r="AF28" s="39"/>
      <c r="AG28" s="92" t="e">
        <f t="shared" si="14"/>
        <v>#DIV/0!</v>
      </c>
      <c r="AH28" s="39">
        <f t="shared" si="15"/>
        <v>0</v>
      </c>
      <c r="AI28" s="39">
        <f t="shared" si="16"/>
        <v>27267</v>
      </c>
      <c r="AJ28" s="92" t="e">
        <f t="shared" si="17"/>
        <v>#DIV/0!</v>
      </c>
      <c r="AK28" s="38"/>
      <c r="AL28" s="38"/>
      <c r="AM28" s="92" t="e">
        <f t="shared" si="18"/>
        <v>#DIV/0!</v>
      </c>
      <c r="AN28" s="38">
        <f t="shared" si="19"/>
        <v>0</v>
      </c>
      <c r="AO28" s="38">
        <f t="shared" si="20"/>
        <v>27267</v>
      </c>
      <c r="AP28" s="92" t="e">
        <f t="shared" si="21"/>
        <v>#DIV/0!</v>
      </c>
      <c r="AQ28" s="39"/>
      <c r="AR28" s="39"/>
      <c r="AS28" s="92" t="e">
        <f t="shared" si="4"/>
        <v>#DIV/0!</v>
      </c>
      <c r="AT28" s="39">
        <f t="shared" si="22"/>
        <v>0</v>
      </c>
      <c r="AU28" s="39">
        <f t="shared" si="23"/>
        <v>27267</v>
      </c>
      <c r="AV28" s="92" t="e">
        <f t="shared" si="24"/>
        <v>#DIV/0!</v>
      </c>
      <c r="AW28" s="39"/>
      <c r="AX28" s="39"/>
      <c r="AY28" s="92" t="e">
        <f t="shared" si="25"/>
        <v>#DIV/0!</v>
      </c>
      <c r="AZ28" s="39">
        <f t="shared" si="26"/>
        <v>0</v>
      </c>
      <c r="BA28" s="39">
        <f t="shared" si="27"/>
        <v>27267</v>
      </c>
      <c r="BB28" s="92" t="e">
        <f t="shared" si="28"/>
        <v>#DIV/0!</v>
      </c>
      <c r="BC28" s="38"/>
      <c r="BD28" s="38">
        <v>11500</v>
      </c>
      <c r="BE28" s="92" t="e">
        <f t="shared" si="29"/>
        <v>#DIV/0!</v>
      </c>
      <c r="BF28" s="38">
        <f t="shared" si="30"/>
        <v>0</v>
      </c>
      <c r="BG28" s="38">
        <f t="shared" si="31"/>
        <v>38767</v>
      </c>
      <c r="BH28" s="92" t="e">
        <f t="shared" si="32"/>
        <v>#DIV/0!</v>
      </c>
      <c r="BI28" s="28"/>
      <c r="BJ28" s="28">
        <v>20000</v>
      </c>
      <c r="BK28" s="28">
        <v>14207</v>
      </c>
      <c r="BL28" s="28">
        <v>34207</v>
      </c>
      <c r="BM28" s="29">
        <f t="shared" si="33"/>
        <v>0.38767000000000001</v>
      </c>
      <c r="BN28" s="40"/>
      <c r="BO28" s="40"/>
    </row>
    <row r="29" spans="1:67">
      <c r="A29" s="22" t="s">
        <v>164</v>
      </c>
      <c r="B29" s="78" t="s">
        <v>164</v>
      </c>
      <c r="C29" s="33" t="s">
        <v>207</v>
      </c>
      <c r="D29" s="114" t="s">
        <v>61</v>
      </c>
      <c r="E29" s="114" t="s">
        <v>61</v>
      </c>
      <c r="F29" s="33" t="s">
        <v>174</v>
      </c>
      <c r="G29" s="33"/>
      <c r="H29" s="39" t="s">
        <v>175</v>
      </c>
      <c r="I29" s="118">
        <v>54</v>
      </c>
      <c r="J29" s="22"/>
      <c r="K29" s="22"/>
      <c r="L29" s="92"/>
      <c r="M29" s="105"/>
      <c r="N29" s="105"/>
      <c r="O29" s="92"/>
      <c r="P29" s="105"/>
      <c r="Q29" s="105"/>
      <c r="R29" s="92"/>
      <c r="S29" s="39"/>
      <c r="T29" s="39"/>
      <c r="U29" s="92"/>
      <c r="V29" s="38"/>
      <c r="W29" s="38"/>
      <c r="X29" s="92"/>
      <c r="Y29" s="39"/>
      <c r="Z29" s="39">
        <v>150000</v>
      </c>
      <c r="AA29" s="92" t="e">
        <f>Z29/Y29-1</f>
        <v>#DIV/0!</v>
      </c>
      <c r="AB29" s="39">
        <f>Y29+V29</f>
        <v>0</v>
      </c>
      <c r="AC29" s="39">
        <f>Z29+W29</f>
        <v>150000</v>
      </c>
      <c r="AD29" s="92" t="e">
        <f>AC29/AB29-1</f>
        <v>#DIV/0!</v>
      </c>
      <c r="AE29" s="39"/>
      <c r="AF29" s="39"/>
      <c r="AG29" s="92" t="e">
        <f t="shared" si="14"/>
        <v>#DIV/0!</v>
      </c>
      <c r="AH29" s="39">
        <f t="shared" si="15"/>
        <v>0</v>
      </c>
      <c r="AI29" s="39">
        <f t="shared" si="16"/>
        <v>150000</v>
      </c>
      <c r="AJ29" s="92" t="e">
        <f t="shared" si="17"/>
        <v>#DIV/0!</v>
      </c>
      <c r="AK29" s="38"/>
      <c r="AL29" s="38"/>
      <c r="AM29" s="92" t="e">
        <f t="shared" si="18"/>
        <v>#DIV/0!</v>
      </c>
      <c r="AN29" s="38">
        <f t="shared" si="19"/>
        <v>0</v>
      </c>
      <c r="AO29" s="38">
        <f t="shared" si="20"/>
        <v>150000</v>
      </c>
      <c r="AP29" s="92" t="e">
        <f t="shared" si="21"/>
        <v>#DIV/0!</v>
      </c>
      <c r="AQ29" s="39"/>
      <c r="AR29" s="39"/>
      <c r="AS29" s="92" t="e">
        <f t="shared" si="4"/>
        <v>#DIV/0!</v>
      </c>
      <c r="AT29" s="39">
        <f t="shared" si="22"/>
        <v>0</v>
      </c>
      <c r="AU29" s="39">
        <f t="shared" si="23"/>
        <v>150000</v>
      </c>
      <c r="AV29" s="92" t="e">
        <f t="shared" si="24"/>
        <v>#DIV/0!</v>
      </c>
      <c r="AW29" s="39"/>
      <c r="AX29" s="39"/>
      <c r="AY29" s="92" t="e">
        <f t="shared" si="25"/>
        <v>#DIV/0!</v>
      </c>
      <c r="AZ29" s="39">
        <f t="shared" si="26"/>
        <v>0</v>
      </c>
      <c r="BA29" s="39">
        <f t="shared" si="27"/>
        <v>150000</v>
      </c>
      <c r="BB29" s="92" t="e">
        <f t="shared" si="28"/>
        <v>#DIV/0!</v>
      </c>
      <c r="BC29" s="38"/>
      <c r="BD29" s="38"/>
      <c r="BE29" s="92" t="e">
        <f t="shared" si="29"/>
        <v>#DIV/0!</v>
      </c>
      <c r="BF29" s="38">
        <f t="shared" si="30"/>
        <v>0</v>
      </c>
      <c r="BG29" s="38">
        <f t="shared" si="31"/>
        <v>150000</v>
      </c>
      <c r="BH29" s="92" t="e">
        <f t="shared" si="32"/>
        <v>#DIV/0!</v>
      </c>
      <c r="BI29" s="28"/>
      <c r="BJ29" s="28"/>
      <c r="BK29" s="28"/>
      <c r="BL29" s="28"/>
      <c r="BM29" s="29">
        <f t="shared" si="33"/>
        <v>0.27777777777777801</v>
      </c>
      <c r="BN29" s="40"/>
      <c r="BO29" s="40"/>
    </row>
    <row r="30" spans="1:67">
      <c r="A30" s="22" t="s">
        <v>164</v>
      </c>
      <c r="B30" s="78" t="s">
        <v>168</v>
      </c>
      <c r="C30" s="33" t="s">
        <v>208</v>
      </c>
      <c r="D30" s="114" t="s">
        <v>61</v>
      </c>
      <c r="E30" s="114" t="s">
        <v>61</v>
      </c>
      <c r="F30" s="33" t="s">
        <v>170</v>
      </c>
      <c r="G30" s="33" t="s">
        <v>180</v>
      </c>
      <c r="H30" s="39" t="s">
        <v>172</v>
      </c>
      <c r="I30" s="118"/>
      <c r="J30" s="22"/>
      <c r="K30" s="22"/>
      <c r="L30" s="92"/>
      <c r="M30" s="105"/>
      <c r="N30" s="105"/>
      <c r="O30" s="92"/>
      <c r="P30" s="105"/>
      <c r="Q30" s="105"/>
      <c r="R30" s="92"/>
      <c r="S30" s="39"/>
      <c r="T30" s="39"/>
      <c r="U30" s="92"/>
      <c r="V30" s="38"/>
      <c r="W30" s="38"/>
      <c r="X30" s="92"/>
      <c r="Y30" s="39"/>
      <c r="Z30" s="39"/>
      <c r="AA30" s="92"/>
      <c r="AB30" s="39"/>
      <c r="AC30" s="39"/>
      <c r="AD30" s="92"/>
      <c r="AE30" s="39"/>
      <c r="AF30" s="39"/>
      <c r="AG30" s="92"/>
      <c r="AH30" s="39"/>
      <c r="AI30" s="39"/>
      <c r="AJ30" s="92"/>
      <c r="AK30" s="38"/>
      <c r="AL30" s="38"/>
      <c r="AM30" s="92"/>
      <c r="AN30" s="38"/>
      <c r="AO30" s="38"/>
      <c r="AP30" s="92"/>
      <c r="AQ30" s="39"/>
      <c r="AR30" s="39"/>
      <c r="AS30" s="92"/>
      <c r="AT30" s="39"/>
      <c r="AU30" s="39"/>
      <c r="AV30" s="92"/>
      <c r="AW30" s="39"/>
      <c r="AX30" s="39"/>
      <c r="AY30" s="92"/>
      <c r="AZ30" s="39"/>
      <c r="BA30" s="39"/>
      <c r="BB30" s="92"/>
      <c r="BC30" s="38"/>
      <c r="BD30" s="38">
        <v>14577</v>
      </c>
      <c r="BE30" s="92" t="e">
        <f t="shared" si="29"/>
        <v>#DIV/0!</v>
      </c>
      <c r="BF30" s="38">
        <f t="shared" si="30"/>
        <v>0</v>
      </c>
      <c r="BG30" s="38">
        <f t="shared" si="31"/>
        <v>14577</v>
      </c>
      <c r="BH30" s="92" t="e">
        <f t="shared" si="32"/>
        <v>#DIV/0!</v>
      </c>
      <c r="BI30" s="28"/>
      <c r="BJ30" s="28"/>
      <c r="BK30" s="28"/>
      <c r="BL30" s="28"/>
      <c r="BM30" s="29" t="e">
        <f t="shared" si="33"/>
        <v>#DIV/0!</v>
      </c>
      <c r="BN30" s="40"/>
      <c r="BO30" s="40"/>
    </row>
    <row r="31" spans="1:67">
      <c r="A31" s="22" t="s">
        <v>164</v>
      </c>
      <c r="B31" s="78" t="s">
        <v>164</v>
      </c>
      <c r="C31" s="33" t="s">
        <v>209</v>
      </c>
      <c r="D31" s="114" t="s">
        <v>61</v>
      </c>
      <c r="E31" s="114" t="s">
        <v>61</v>
      </c>
      <c r="F31" s="33" t="s">
        <v>174</v>
      </c>
      <c r="G31" s="33"/>
      <c r="H31" s="39" t="s">
        <v>175</v>
      </c>
      <c r="I31" s="118"/>
      <c r="J31" s="22"/>
      <c r="K31" s="22"/>
      <c r="L31" s="92"/>
      <c r="M31" s="105"/>
      <c r="N31" s="105"/>
      <c r="O31" s="92"/>
      <c r="P31" s="105"/>
      <c r="Q31" s="105"/>
      <c r="R31" s="92"/>
      <c r="S31" s="39"/>
      <c r="T31" s="39"/>
      <c r="U31" s="92"/>
      <c r="V31" s="38"/>
      <c r="W31" s="38"/>
      <c r="X31" s="92"/>
      <c r="Y31" s="39"/>
      <c r="Z31" s="39"/>
      <c r="AA31" s="92"/>
      <c r="AB31" s="39"/>
      <c r="AC31" s="39"/>
      <c r="AD31" s="92"/>
      <c r="AE31" s="39"/>
      <c r="AF31" s="39"/>
      <c r="AG31" s="92"/>
      <c r="AH31" s="39"/>
      <c r="AI31" s="39"/>
      <c r="AJ31" s="92"/>
      <c r="AK31" s="38"/>
      <c r="AL31" s="38"/>
      <c r="AM31" s="92"/>
      <c r="AN31" s="38"/>
      <c r="AO31" s="38"/>
      <c r="AP31" s="92"/>
      <c r="AQ31" s="39"/>
      <c r="AR31" s="39">
        <v>1918</v>
      </c>
      <c r="AS31" s="92" t="e">
        <f>AR31/AQ31-1</f>
        <v>#DIV/0!</v>
      </c>
      <c r="AT31" s="39">
        <f>AQ31+AN31</f>
        <v>0</v>
      </c>
      <c r="AU31" s="39">
        <f>AR31+AO31</f>
        <v>1918</v>
      </c>
      <c r="AV31" s="92" t="e">
        <f>AU31/AT31-1</f>
        <v>#DIV/0!</v>
      </c>
      <c r="AW31" s="39"/>
      <c r="AX31" s="39">
        <v>868</v>
      </c>
      <c r="AY31" s="92" t="e">
        <f>AX31/AW31-1</f>
        <v>#DIV/0!</v>
      </c>
      <c r="AZ31" s="39">
        <f>AW31+AT31</f>
        <v>0</v>
      </c>
      <c r="BA31" s="39">
        <f>AX31+AU31</f>
        <v>2786</v>
      </c>
      <c r="BB31" s="92" t="e">
        <f>BA31/AZ31-1</f>
        <v>#DIV/0!</v>
      </c>
      <c r="BC31" s="38"/>
      <c r="BD31" s="38">
        <v>3160</v>
      </c>
      <c r="BE31" s="92" t="e">
        <f t="shared" si="29"/>
        <v>#DIV/0!</v>
      </c>
      <c r="BF31" s="38">
        <f t="shared" si="30"/>
        <v>0</v>
      </c>
      <c r="BG31" s="38">
        <f t="shared" si="31"/>
        <v>5946</v>
      </c>
      <c r="BH31" s="92" t="e">
        <f t="shared" si="32"/>
        <v>#DIV/0!</v>
      </c>
      <c r="BI31" s="28"/>
      <c r="BJ31" s="28"/>
      <c r="BK31" s="28"/>
      <c r="BL31" s="28"/>
      <c r="BM31" s="29" t="e">
        <f t="shared" si="33"/>
        <v>#DIV/0!</v>
      </c>
      <c r="BN31" s="40"/>
      <c r="BO31" s="40"/>
    </row>
    <row r="32" spans="1:67">
      <c r="A32" s="22"/>
      <c r="B32" s="78"/>
      <c r="C32" s="33" t="s">
        <v>31</v>
      </c>
      <c r="D32" s="33"/>
      <c r="E32" s="33"/>
      <c r="F32" s="33"/>
      <c r="G32" s="33"/>
      <c r="H32" s="39"/>
      <c r="I32" s="93">
        <f>SUBTOTAL(9,I3:I31)</f>
        <v>899</v>
      </c>
      <c r="J32" s="93">
        <f>SUBTOTAL(9,J3:J29)</f>
        <v>1110866.71</v>
      </c>
      <c r="K32" s="93">
        <f>SUBTOTAL(9,K3:K29)</f>
        <v>802311.19</v>
      </c>
      <c r="L32" s="92">
        <f>K32/J32-1</f>
        <v>-0.27776106460153099</v>
      </c>
      <c r="M32" s="93">
        <f>SUBTOTAL(9,M3:M29)</f>
        <v>225264</v>
      </c>
      <c r="N32" s="93">
        <f>SUBTOTAL(9,N3:N29)</f>
        <v>353390.48</v>
      </c>
      <c r="O32" s="92">
        <f>N32/M32-1</f>
        <v>0.56878364940691795</v>
      </c>
      <c r="P32" s="93">
        <f>SUBTOTAL(9,P3:P29)</f>
        <v>1336130.71</v>
      </c>
      <c r="Q32" s="93">
        <f>SUBTOTAL(9,Q3:Q29)</f>
        <v>1155701.67</v>
      </c>
      <c r="R32" s="92">
        <f>Q32/P32-1</f>
        <v>-0.135038464911865</v>
      </c>
      <c r="S32" s="93">
        <f>SUBTOTAL(9,S3:S29)</f>
        <v>365888</v>
      </c>
      <c r="T32" s="93">
        <f>SUBTOTAL(9,T3:T29)</f>
        <v>969353.65</v>
      </c>
      <c r="U32" s="92">
        <f>T32/S32-1</f>
        <v>1.64931796068742</v>
      </c>
      <c r="V32" s="93">
        <f>SUBTOTAL(9,V3:V29)</f>
        <v>1702018.71</v>
      </c>
      <c r="W32" s="93">
        <f>SUBTOTAL(9,W3:W29)</f>
        <v>2125055.3199999998</v>
      </c>
      <c r="X32" s="92">
        <f>W32/V32-1</f>
        <v>0.24854991752705199</v>
      </c>
      <c r="Y32" s="93">
        <f>SUBTOTAL(9,Y3:Y29)</f>
        <v>648379.44999999995</v>
      </c>
      <c r="Z32" s="93">
        <f t="shared" ref="Z32:AF32" si="34">SUBTOTAL(9,Z3:Z29)</f>
        <v>857787.1</v>
      </c>
      <c r="AA32" s="92">
        <f>Z32/Y32-1</f>
        <v>0.32297083135500398</v>
      </c>
      <c r="AB32" s="93">
        <f t="shared" si="34"/>
        <v>2350398.16</v>
      </c>
      <c r="AC32" s="93">
        <f t="shared" si="34"/>
        <v>2982842.42</v>
      </c>
      <c r="AD32" s="92">
        <f>AC32/AB32-1</f>
        <v>0.269079626917339</v>
      </c>
      <c r="AE32" s="93">
        <f t="shared" si="34"/>
        <v>639095.81000000006</v>
      </c>
      <c r="AF32" s="93">
        <f t="shared" si="34"/>
        <v>661714.03</v>
      </c>
      <c r="AG32" s="92">
        <f>AF32/AE32-1</f>
        <v>3.5390969000407099E-2</v>
      </c>
      <c r="AH32" s="93">
        <f t="shared" ref="AH32:AL32" si="35">SUBTOTAL(9,AH3:AH29)</f>
        <v>2989493.97</v>
      </c>
      <c r="AI32" s="93">
        <f t="shared" si="35"/>
        <v>3644556.45</v>
      </c>
      <c r="AJ32" s="92">
        <f>AI32/AH32-1</f>
        <v>0.21912152577447799</v>
      </c>
      <c r="AK32" s="93">
        <f t="shared" si="35"/>
        <v>677171.21</v>
      </c>
      <c r="AL32" s="93">
        <f t="shared" si="35"/>
        <v>970845.98</v>
      </c>
      <c r="AM32" s="92">
        <f>AL32/AK32-1</f>
        <v>0.43367875902462</v>
      </c>
      <c r="AN32" s="102">
        <f>SUBTOTAL(9,AN3:AN29)</f>
        <v>3666665.18</v>
      </c>
      <c r="AO32" s="102">
        <f>SUBTOTAL(9,AO3:AO29)</f>
        <v>4615402.43</v>
      </c>
      <c r="AP32" s="92">
        <f>AO32/AN32-1</f>
        <v>0.25874662763726902</v>
      </c>
      <c r="AQ32" s="93">
        <f>SUBTOTAL(9,AQ3:AQ31)</f>
        <v>658308.07999999996</v>
      </c>
      <c r="AR32" s="103">
        <f>SUBTOTAL(9,AR3:AR31)</f>
        <v>383538.42</v>
      </c>
      <c r="AS32" s="92">
        <f>AR32/AQ32-1</f>
        <v>-0.41738764622181201</v>
      </c>
      <c r="AT32" s="103">
        <f>SUBTOTAL(9,AT3:AT31)</f>
        <v>4324973.26</v>
      </c>
      <c r="AU32" s="103">
        <f>SUBTOTAL(9,AU3:AU31)</f>
        <v>4998940.8499999996</v>
      </c>
      <c r="AV32" s="92">
        <f>AU32/AT32-1</f>
        <v>0.155831620101161</v>
      </c>
      <c r="AW32" s="103">
        <f>SUBTOTAL(9,AW3:AW31)</f>
        <v>452837.18</v>
      </c>
      <c r="AX32" s="103">
        <f>SUBTOTAL(9,AX3:AX31)</f>
        <v>243092</v>
      </c>
      <c r="AY32" s="92">
        <f>AX32/AW32-1</f>
        <v>-0.46318012138490899</v>
      </c>
      <c r="AZ32" s="103">
        <f>SUBTOTAL(9,AZ3:AZ31)</f>
        <v>4777810.4400000004</v>
      </c>
      <c r="BA32" s="103">
        <f t="shared" ref="BA32:BG32" si="36">SUBTOTAL(9,BA3:BA31)</f>
        <v>5242032.8499999996</v>
      </c>
      <c r="BB32" s="92">
        <f>BA32/AZ32-1</f>
        <v>9.71621657723198E-2</v>
      </c>
      <c r="BC32" s="103">
        <f t="shared" si="36"/>
        <v>672163.76</v>
      </c>
      <c r="BD32" s="103">
        <f t="shared" si="36"/>
        <v>347351.48</v>
      </c>
      <c r="BE32" s="92">
        <f t="shared" si="29"/>
        <v>-0.48323384765640998</v>
      </c>
      <c r="BF32" s="103">
        <f t="shared" si="36"/>
        <v>5449974.2000000002</v>
      </c>
      <c r="BG32" s="103">
        <f t="shared" si="36"/>
        <v>5589384.3300000001</v>
      </c>
      <c r="BH32" s="92">
        <f t="shared" si="32"/>
        <v>2.5579961461101901E-2</v>
      </c>
      <c r="BI32" s="120">
        <v>1095150.97</v>
      </c>
      <c r="BJ32" s="120">
        <v>1070992.3</v>
      </c>
      <c r="BK32" s="120">
        <v>1112207.25</v>
      </c>
      <c r="BL32" s="120">
        <v>8728324.7200000007</v>
      </c>
      <c r="BM32" s="29">
        <f t="shared" si="33"/>
        <v>0.62173351835372603</v>
      </c>
      <c r="BN32" s="40"/>
      <c r="BO32" s="40"/>
    </row>
    <row r="33" spans="2:65" ht="15">
      <c r="B33" s="25"/>
      <c r="C33" s="25"/>
      <c r="D33" s="25"/>
      <c r="E33" s="25"/>
      <c r="F33" s="25"/>
      <c r="G33" s="25"/>
      <c r="H33" s="25"/>
      <c r="I33" s="25"/>
      <c r="J33" s="32"/>
      <c r="K33" s="32"/>
      <c r="L33" s="32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6"/>
      <c r="AL33" s="26"/>
      <c r="AM33" s="26"/>
      <c r="AN33" s="26"/>
      <c r="AO33" s="26"/>
      <c r="AP33" s="26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5"/>
    </row>
  </sheetData>
  <autoFilter ref="A2:BO31" xr:uid="{00000000-0009-0000-0000-000003000000}"/>
  <mergeCells count="44">
    <mergeCell ref="M1:N1"/>
    <mergeCell ref="P1:Q1"/>
    <mergeCell ref="S1:T1"/>
    <mergeCell ref="V1:W1"/>
    <mergeCell ref="O1:O2"/>
    <mergeCell ref="R1:R2"/>
    <mergeCell ref="U1:U2"/>
    <mergeCell ref="X1:X2"/>
    <mergeCell ref="AN1:AO1"/>
    <mergeCell ref="Y1:Z1"/>
    <mergeCell ref="AB1:AC1"/>
    <mergeCell ref="AE1:AF1"/>
    <mergeCell ref="AH1:AI1"/>
    <mergeCell ref="AK1:AL1"/>
    <mergeCell ref="AA1:AA2"/>
    <mergeCell ref="AD1:AD2"/>
    <mergeCell ref="AG1:AG2"/>
    <mergeCell ref="AJ1:AJ2"/>
    <mergeCell ref="F1:F2"/>
    <mergeCell ref="G1:G2"/>
    <mergeCell ref="H1:H2"/>
    <mergeCell ref="I1:I2"/>
    <mergeCell ref="L1:L2"/>
    <mergeCell ref="J1:K1"/>
    <mergeCell ref="A1:A2"/>
    <mergeCell ref="B1:B2"/>
    <mergeCell ref="C1:C2"/>
    <mergeCell ref="D1:D2"/>
    <mergeCell ref="E1:E2"/>
    <mergeCell ref="BB1:BB2"/>
    <mergeCell ref="BE1:BE2"/>
    <mergeCell ref="BH1:BH2"/>
    <mergeCell ref="BM1:BM2"/>
    <mergeCell ref="AM1:AM2"/>
    <mergeCell ref="AP1:AP2"/>
    <mergeCell ref="AS1:AS2"/>
    <mergeCell ref="AV1:AV2"/>
    <mergeCell ref="AY1:AY2"/>
    <mergeCell ref="BC1:BD1"/>
    <mergeCell ref="BF1:BG1"/>
    <mergeCell ref="AQ1:AR1"/>
    <mergeCell ref="AT1:AU1"/>
    <mergeCell ref="AW1:AX1"/>
    <mergeCell ref="AZ1:BA1"/>
  </mergeCells>
  <phoneticPr fontId="32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BO79"/>
  <sheetViews>
    <sheetView workbookViewId="0">
      <pane xSplit="9" ySplit="2" topLeftCell="BA3" activePane="bottomRight" state="frozen"/>
      <selection pane="topRight"/>
      <selection pane="bottomLeft"/>
      <selection pane="bottomRight" activeCell="F32" sqref="A1:BO79"/>
    </sheetView>
  </sheetViews>
  <sheetFormatPr baseColWidth="10" defaultColWidth="9" defaultRowHeight="14"/>
  <cols>
    <col min="1" max="2" width="6.33203125" style="19" customWidth="1"/>
    <col min="3" max="3" width="28.33203125" style="76" customWidth="1"/>
    <col min="4" max="4" width="6.33203125" style="77" customWidth="1"/>
    <col min="5" max="5" width="5.5" style="77" customWidth="1"/>
    <col min="6" max="6" width="7.5" style="19" customWidth="1"/>
    <col min="7" max="7" width="7.1640625" style="19" hidden="1" customWidth="1"/>
    <col min="8" max="8" width="7.1640625" style="77" customWidth="1"/>
    <col min="9" max="9" width="7.1640625" style="19" customWidth="1"/>
    <col min="10" max="18" width="9.33203125" style="77" customWidth="1"/>
    <col min="19" max="19" width="11.33203125" style="77" customWidth="1"/>
    <col min="20" max="20" width="12.6640625" style="77" customWidth="1"/>
    <col min="21" max="21" width="8.83203125" style="77" customWidth="1"/>
    <col min="22" max="22" width="10.1640625" style="77" customWidth="1"/>
    <col min="23" max="23" width="10.5" style="77" customWidth="1"/>
    <col min="24" max="24" width="8.83203125" style="77" customWidth="1"/>
    <col min="25" max="25" width="8.1640625" style="77" customWidth="1"/>
    <col min="26" max="26" width="9.33203125" style="77" customWidth="1"/>
    <col min="27" max="27" width="10.33203125" style="77" customWidth="1"/>
    <col min="28" max="28" width="7.83203125" style="77" customWidth="1"/>
    <col min="29" max="29" width="12.83203125" style="77" customWidth="1"/>
    <col min="30" max="30" width="7" style="77" customWidth="1"/>
    <col min="31" max="36" width="10.33203125" style="77" customWidth="1"/>
    <col min="37" max="60" width="10.5" style="77" customWidth="1"/>
    <col min="61" max="61" width="10.5" style="106" hidden="1" customWidth="1"/>
    <col min="62" max="64" width="10.5" style="77" hidden="1" customWidth="1"/>
    <col min="65" max="65" width="9.83203125" style="77" customWidth="1"/>
    <col min="66" max="66" width="9" style="77" customWidth="1"/>
    <col min="67" max="67" width="9" style="77"/>
  </cols>
  <sheetData>
    <row r="1" spans="1:67">
      <c r="A1" s="107"/>
      <c r="B1" s="107"/>
      <c r="C1" s="217" t="s">
        <v>132</v>
      </c>
      <c r="D1" s="196" t="s">
        <v>47</v>
      </c>
      <c r="E1" s="196" t="s">
        <v>48</v>
      </c>
      <c r="F1" s="197" t="s">
        <v>210</v>
      </c>
      <c r="G1" s="197" t="s">
        <v>50</v>
      </c>
      <c r="H1" s="197" t="s">
        <v>51</v>
      </c>
      <c r="I1" s="197" t="s">
        <v>38</v>
      </c>
      <c r="J1" s="207" t="s">
        <v>3</v>
      </c>
      <c r="K1" s="207"/>
      <c r="L1" s="207" t="s">
        <v>4</v>
      </c>
      <c r="M1" s="197" t="s">
        <v>5</v>
      </c>
      <c r="N1" s="197"/>
      <c r="O1" s="196" t="s">
        <v>4</v>
      </c>
      <c r="P1" s="197" t="s">
        <v>39</v>
      </c>
      <c r="Q1" s="197"/>
      <c r="R1" s="196" t="s">
        <v>4</v>
      </c>
      <c r="S1" s="197" t="s">
        <v>6</v>
      </c>
      <c r="T1" s="197"/>
      <c r="U1" s="196" t="s">
        <v>4</v>
      </c>
      <c r="V1" s="197" t="s">
        <v>7</v>
      </c>
      <c r="W1" s="197"/>
      <c r="X1" s="196" t="s">
        <v>4</v>
      </c>
      <c r="Y1" s="197" t="s">
        <v>8</v>
      </c>
      <c r="Z1" s="197"/>
      <c r="AA1" s="196" t="s">
        <v>4</v>
      </c>
      <c r="AB1" s="197" t="s">
        <v>9</v>
      </c>
      <c r="AC1" s="197"/>
      <c r="AD1" s="196" t="s">
        <v>4</v>
      </c>
      <c r="AE1" s="197" t="s">
        <v>10</v>
      </c>
      <c r="AF1" s="197"/>
      <c r="AG1" s="196" t="s">
        <v>4</v>
      </c>
      <c r="AH1" s="197" t="s">
        <v>11</v>
      </c>
      <c r="AI1" s="197"/>
      <c r="AJ1" s="196" t="s">
        <v>4</v>
      </c>
      <c r="AK1" s="197" t="s">
        <v>12</v>
      </c>
      <c r="AL1" s="197"/>
      <c r="AM1" s="196" t="s">
        <v>4</v>
      </c>
      <c r="AN1" s="197" t="s">
        <v>13</v>
      </c>
      <c r="AO1" s="197"/>
      <c r="AP1" s="196" t="s">
        <v>4</v>
      </c>
      <c r="AQ1" s="197" t="s">
        <v>14</v>
      </c>
      <c r="AR1" s="197"/>
      <c r="AS1" s="196" t="s">
        <v>4</v>
      </c>
      <c r="AT1" s="197" t="s">
        <v>15</v>
      </c>
      <c r="AU1" s="197"/>
      <c r="AV1" s="187" t="s">
        <v>4</v>
      </c>
      <c r="AW1" s="197" t="s">
        <v>16</v>
      </c>
      <c r="AX1" s="197"/>
      <c r="AY1" s="196" t="s">
        <v>4</v>
      </c>
      <c r="AZ1" s="197" t="s">
        <v>17</v>
      </c>
      <c r="BA1" s="197"/>
      <c r="BB1" s="187" t="s">
        <v>4</v>
      </c>
      <c r="BC1" s="191" t="s">
        <v>18</v>
      </c>
      <c r="BD1" s="192"/>
      <c r="BE1" s="187" t="s">
        <v>4</v>
      </c>
      <c r="BF1" s="191" t="s">
        <v>19</v>
      </c>
      <c r="BG1" s="192"/>
      <c r="BH1" s="187" t="s">
        <v>4</v>
      </c>
      <c r="BI1" s="78" t="s">
        <v>40</v>
      </c>
      <c r="BJ1" s="78" t="s">
        <v>41</v>
      </c>
      <c r="BK1" s="78" t="s">
        <v>42</v>
      </c>
      <c r="BL1" s="78" t="s">
        <v>133</v>
      </c>
      <c r="BM1" s="198" t="s">
        <v>211</v>
      </c>
      <c r="BN1" s="22"/>
      <c r="BO1" s="22"/>
    </row>
    <row r="2" spans="1:67">
      <c r="A2" s="107"/>
      <c r="B2" s="107"/>
      <c r="C2" s="217"/>
      <c r="D2" s="196"/>
      <c r="E2" s="196"/>
      <c r="F2" s="197"/>
      <c r="G2" s="197"/>
      <c r="H2" s="197"/>
      <c r="I2" s="197"/>
      <c r="J2" s="78" t="s">
        <v>21</v>
      </c>
      <c r="K2" s="78" t="s">
        <v>22</v>
      </c>
      <c r="L2" s="207"/>
      <c r="M2" s="35" t="s">
        <v>21</v>
      </c>
      <c r="N2" s="35" t="s">
        <v>22</v>
      </c>
      <c r="O2" s="196"/>
      <c r="P2" s="35" t="s">
        <v>21</v>
      </c>
      <c r="Q2" s="35" t="s">
        <v>22</v>
      </c>
      <c r="R2" s="196"/>
      <c r="S2" s="35" t="s">
        <v>21</v>
      </c>
      <c r="T2" s="35" t="s">
        <v>22</v>
      </c>
      <c r="U2" s="196"/>
      <c r="V2" s="35" t="s">
        <v>21</v>
      </c>
      <c r="W2" s="35" t="s">
        <v>22</v>
      </c>
      <c r="X2" s="196"/>
      <c r="Y2" s="35" t="s">
        <v>21</v>
      </c>
      <c r="Z2" s="35" t="s">
        <v>22</v>
      </c>
      <c r="AA2" s="196"/>
      <c r="AB2" s="35" t="s">
        <v>21</v>
      </c>
      <c r="AC2" s="35" t="s">
        <v>22</v>
      </c>
      <c r="AD2" s="196"/>
      <c r="AE2" s="35" t="s">
        <v>21</v>
      </c>
      <c r="AF2" s="35" t="s">
        <v>22</v>
      </c>
      <c r="AG2" s="196"/>
      <c r="AH2" s="35" t="s">
        <v>21</v>
      </c>
      <c r="AI2" s="35" t="s">
        <v>22</v>
      </c>
      <c r="AJ2" s="196"/>
      <c r="AK2" s="35" t="s">
        <v>21</v>
      </c>
      <c r="AL2" s="35" t="s">
        <v>22</v>
      </c>
      <c r="AM2" s="196"/>
      <c r="AN2" s="35" t="s">
        <v>21</v>
      </c>
      <c r="AO2" s="35" t="s">
        <v>22</v>
      </c>
      <c r="AP2" s="196"/>
      <c r="AQ2" s="35" t="s">
        <v>21</v>
      </c>
      <c r="AR2" s="35" t="s">
        <v>22</v>
      </c>
      <c r="AS2" s="196"/>
      <c r="AT2" s="35" t="s">
        <v>21</v>
      </c>
      <c r="AU2" s="35" t="s">
        <v>22</v>
      </c>
      <c r="AV2" s="187"/>
      <c r="AW2" s="35" t="s">
        <v>21</v>
      </c>
      <c r="AX2" s="35" t="s">
        <v>22</v>
      </c>
      <c r="AY2" s="196"/>
      <c r="AZ2" s="35" t="s">
        <v>21</v>
      </c>
      <c r="BA2" s="35" t="s">
        <v>22</v>
      </c>
      <c r="BB2" s="187"/>
      <c r="BC2" s="35" t="s">
        <v>21</v>
      </c>
      <c r="BD2" s="35" t="s">
        <v>22</v>
      </c>
      <c r="BE2" s="187"/>
      <c r="BF2" s="35" t="s">
        <v>21</v>
      </c>
      <c r="BG2" s="35" t="s">
        <v>22</v>
      </c>
      <c r="BH2" s="187"/>
      <c r="BI2" s="78" t="s">
        <v>21</v>
      </c>
      <c r="BJ2" s="78" t="s">
        <v>21</v>
      </c>
      <c r="BK2" s="78" t="s">
        <v>21</v>
      </c>
      <c r="BL2" s="78" t="s">
        <v>21</v>
      </c>
      <c r="BM2" s="198"/>
      <c r="BN2" s="22" t="s">
        <v>52</v>
      </c>
      <c r="BO2" s="22" t="s">
        <v>53</v>
      </c>
    </row>
    <row r="3" spans="1:67">
      <c r="A3" s="80" t="s">
        <v>29</v>
      </c>
      <c r="B3" s="80" t="s">
        <v>29</v>
      </c>
      <c r="C3" s="174" t="s">
        <v>212</v>
      </c>
      <c r="D3" s="33" t="s">
        <v>56</v>
      </c>
      <c r="E3" s="33" t="s">
        <v>56</v>
      </c>
      <c r="F3" s="33" t="s">
        <v>213</v>
      </c>
      <c r="G3" s="33" t="s">
        <v>213</v>
      </c>
      <c r="H3" s="33" t="s">
        <v>214</v>
      </c>
      <c r="I3" s="110">
        <v>200</v>
      </c>
      <c r="J3" s="111"/>
      <c r="K3" s="111">
        <v>300000</v>
      </c>
      <c r="L3" s="29" t="e">
        <f t="shared" ref="L3:L66" si="0">K3/J3-1</f>
        <v>#DIV/0!</v>
      </c>
      <c r="M3" s="22">
        <v>300000</v>
      </c>
      <c r="N3" s="22"/>
      <c r="O3" s="29">
        <f t="shared" ref="O3:O66" si="1">N3/M3-1</f>
        <v>-1</v>
      </c>
      <c r="P3" s="22">
        <f t="shared" ref="P3:P66" si="2">M3+J3</f>
        <v>300000</v>
      </c>
      <c r="Q3" s="22">
        <f t="shared" ref="Q3:Q66" si="3">N3+K3</f>
        <v>300000</v>
      </c>
      <c r="R3" s="29">
        <f t="shared" ref="R3:R66" si="4">Q3/P3-1</f>
        <v>0</v>
      </c>
      <c r="S3" s="38"/>
      <c r="T3" s="38">
        <v>600000</v>
      </c>
      <c r="U3" s="29" t="e">
        <f t="shared" ref="U3:U66" si="5">T3/S3-1</f>
        <v>#DIV/0!</v>
      </c>
      <c r="V3" s="38">
        <f t="shared" ref="V3:V66" si="6">S3+P3</f>
        <v>300000</v>
      </c>
      <c r="W3" s="38">
        <f t="shared" ref="W3:W66" si="7">T3+Q3</f>
        <v>900000</v>
      </c>
      <c r="X3" s="29">
        <f t="shared" ref="X3:X66" si="8">W3/V3-1</f>
        <v>2</v>
      </c>
      <c r="Y3" s="22">
        <v>300000</v>
      </c>
      <c r="Z3" s="22"/>
      <c r="AA3" s="29">
        <f t="shared" ref="AA3:AA66" si="9">Z3/Y3-1</f>
        <v>-1</v>
      </c>
      <c r="AB3" s="22">
        <f t="shared" ref="AB3:AB66" si="10">Y3+V3</f>
        <v>600000</v>
      </c>
      <c r="AC3" s="22">
        <f t="shared" ref="AC3:AC66" si="11">Z3+W3</f>
        <v>900000</v>
      </c>
      <c r="AD3" s="29">
        <f t="shared" ref="AD3:AD66" si="12">AC3/AB3-1</f>
        <v>0.5</v>
      </c>
      <c r="AE3" s="22">
        <v>39300</v>
      </c>
      <c r="AF3" s="22">
        <v>39300</v>
      </c>
      <c r="AG3" s="29">
        <f t="shared" ref="AG3:AG66" si="13">AF3/AE3-1</f>
        <v>0</v>
      </c>
      <c r="AH3" s="22">
        <f t="shared" ref="AH3:AH66" si="14">AE3+AB3</f>
        <v>639300</v>
      </c>
      <c r="AI3" s="22">
        <f t="shared" ref="AI3:AI66" si="15">AF3+AC3</f>
        <v>939300</v>
      </c>
      <c r="AJ3" s="29">
        <f t="shared" ref="AJ3:AJ66" si="16">AI3/AH3-1</f>
        <v>0.46926325668700097</v>
      </c>
      <c r="AK3" s="22">
        <v>200000</v>
      </c>
      <c r="AL3" s="22">
        <v>200000</v>
      </c>
      <c r="AM3" s="29">
        <f t="shared" ref="AM3:AM66" si="17">AL3/AK3-1</f>
        <v>0</v>
      </c>
      <c r="AN3" s="22">
        <f t="shared" ref="AN3:AN66" si="18">AK3+AH3</f>
        <v>839300</v>
      </c>
      <c r="AO3" s="22">
        <f t="shared" ref="AO3:AO66" si="19">AL3+AI3</f>
        <v>1139300</v>
      </c>
      <c r="AP3" s="29">
        <f t="shared" ref="AP3:AP66" si="20">AO3/AN3-1</f>
        <v>0.35744072441320102</v>
      </c>
      <c r="AQ3" s="22"/>
      <c r="AR3" s="22"/>
      <c r="AS3" s="29" t="e">
        <f t="shared" ref="AS3:AS66" si="21">AR3/AQ3-1</f>
        <v>#DIV/0!</v>
      </c>
      <c r="AT3" s="22">
        <f t="shared" ref="AT3:AT66" si="22">AQ3+AN3</f>
        <v>839300</v>
      </c>
      <c r="AU3" s="22">
        <f t="shared" ref="AU3:AU66" si="23">AR3+AO3</f>
        <v>1139300</v>
      </c>
      <c r="AV3" s="29">
        <f t="shared" ref="AV3:AV66" si="24">AU3/AT3-1</f>
        <v>0.35744072441320102</v>
      </c>
      <c r="AW3" s="38"/>
      <c r="AX3" s="38"/>
      <c r="AY3" s="29" t="e">
        <f t="shared" ref="AY3:AY66" si="25">AX3/AW3-1</f>
        <v>#DIV/0!</v>
      </c>
      <c r="AZ3" s="38">
        <f t="shared" ref="AZ3:AZ66" si="26">AW3+AT3</f>
        <v>839300</v>
      </c>
      <c r="BA3" s="38">
        <f t="shared" ref="BA3:BA66" si="27">AX3+AU3</f>
        <v>1139300</v>
      </c>
      <c r="BB3" s="29">
        <f t="shared" ref="BB3:BB66" si="28">BA3/AZ3-1</f>
        <v>0.35744072441320102</v>
      </c>
      <c r="BC3" s="38">
        <v>200000</v>
      </c>
      <c r="BD3" s="38"/>
      <c r="BE3" s="29">
        <f t="shared" ref="BE3:BE66" si="29">BD3/BC3-1</f>
        <v>-1</v>
      </c>
      <c r="BF3" s="38">
        <f t="shared" ref="BF3:BF66" si="30">BC3+AZ3</f>
        <v>1039300</v>
      </c>
      <c r="BG3" s="38">
        <f t="shared" ref="BG3:BG66" si="31">BD3+BA3</f>
        <v>1139300</v>
      </c>
      <c r="BH3" s="29">
        <f t="shared" ref="BH3:BH66" si="32">BG3/BF3-1</f>
        <v>9.6218608678918502E-2</v>
      </c>
      <c r="BI3" s="102">
        <v>350000</v>
      </c>
      <c r="BJ3" s="111">
        <v>200000</v>
      </c>
      <c r="BK3" s="22">
        <v>250000</v>
      </c>
      <c r="BL3" s="22">
        <v>1839300</v>
      </c>
      <c r="BM3" s="96">
        <f t="shared" ref="BM3:BM66" si="33">BG3/10000/I3</f>
        <v>0.56964999999999999</v>
      </c>
      <c r="BN3" s="88">
        <v>39300</v>
      </c>
      <c r="BO3" s="22">
        <v>39300</v>
      </c>
    </row>
    <row r="4" spans="1:67">
      <c r="A4" s="80" t="s">
        <v>29</v>
      </c>
      <c r="B4" s="80" t="s">
        <v>29</v>
      </c>
      <c r="C4" s="174" t="s">
        <v>215</v>
      </c>
      <c r="D4" s="33" t="s">
        <v>65</v>
      </c>
      <c r="E4" s="33" t="s">
        <v>65</v>
      </c>
      <c r="F4" s="33" t="s">
        <v>213</v>
      </c>
      <c r="G4" s="33" t="s">
        <v>213</v>
      </c>
      <c r="H4" s="33" t="s">
        <v>214</v>
      </c>
      <c r="I4" s="110">
        <v>200</v>
      </c>
      <c r="J4" s="111">
        <v>7100</v>
      </c>
      <c r="K4" s="111">
        <v>110026.5</v>
      </c>
      <c r="L4" s="29">
        <f t="shared" si="0"/>
        <v>14.4966901408451</v>
      </c>
      <c r="M4" s="22"/>
      <c r="N4" s="22">
        <v>51544.9</v>
      </c>
      <c r="O4" s="29" t="e">
        <f t="shared" si="1"/>
        <v>#DIV/0!</v>
      </c>
      <c r="P4" s="22">
        <f t="shared" si="2"/>
        <v>7100</v>
      </c>
      <c r="Q4" s="22">
        <f t="shared" si="3"/>
        <v>161571.4</v>
      </c>
      <c r="R4" s="29">
        <f t="shared" si="4"/>
        <v>21.7565352112676</v>
      </c>
      <c r="S4" s="38">
        <v>3268</v>
      </c>
      <c r="T4" s="38">
        <v>37269</v>
      </c>
      <c r="U4" s="29">
        <f t="shared" si="5"/>
        <v>10.404222766217901</v>
      </c>
      <c r="V4" s="38">
        <f t="shared" si="6"/>
        <v>10368</v>
      </c>
      <c r="W4" s="38">
        <f t="shared" si="7"/>
        <v>198840.4</v>
      </c>
      <c r="X4" s="29">
        <f t="shared" si="8"/>
        <v>18.178279320987698</v>
      </c>
      <c r="Y4" s="22">
        <v>60000</v>
      </c>
      <c r="Z4" s="22">
        <v>54319</v>
      </c>
      <c r="AA4" s="29">
        <f t="shared" si="9"/>
        <v>-9.46833333333333E-2</v>
      </c>
      <c r="AB4" s="22">
        <f t="shared" si="10"/>
        <v>70368</v>
      </c>
      <c r="AC4" s="22">
        <f t="shared" si="11"/>
        <v>253159.4</v>
      </c>
      <c r="AD4" s="29">
        <f t="shared" si="12"/>
        <v>2.5976494997726198</v>
      </c>
      <c r="AE4" s="22">
        <v>103268</v>
      </c>
      <c r="AF4" s="22">
        <v>50000</v>
      </c>
      <c r="AG4" s="29">
        <f t="shared" si="13"/>
        <v>-0.51582290738660597</v>
      </c>
      <c r="AH4" s="22">
        <f t="shared" si="14"/>
        <v>173636</v>
      </c>
      <c r="AI4" s="22">
        <f t="shared" si="15"/>
        <v>303159.40000000002</v>
      </c>
      <c r="AJ4" s="29">
        <f t="shared" si="16"/>
        <v>0.74594784491695298</v>
      </c>
      <c r="AK4" s="22">
        <v>100000</v>
      </c>
      <c r="AL4" s="22">
        <f>0.0300000000133878+72940</f>
        <v>72940.03</v>
      </c>
      <c r="AM4" s="29">
        <f t="shared" si="17"/>
        <v>-0.2705997</v>
      </c>
      <c r="AN4" s="22">
        <f t="shared" si="18"/>
        <v>273636</v>
      </c>
      <c r="AO4" s="22">
        <f t="shared" si="19"/>
        <v>376099.43</v>
      </c>
      <c r="AP4" s="29">
        <f t="shared" si="20"/>
        <v>0.37445157069976198</v>
      </c>
      <c r="AQ4" s="22">
        <v>12384</v>
      </c>
      <c r="AR4" s="22">
        <v>100000</v>
      </c>
      <c r="AS4" s="29">
        <f t="shared" si="21"/>
        <v>7.0749354005168001</v>
      </c>
      <c r="AT4" s="22">
        <f t="shared" si="22"/>
        <v>286020</v>
      </c>
      <c r="AU4" s="22">
        <f t="shared" si="23"/>
        <v>476099.43</v>
      </c>
      <c r="AV4" s="29">
        <f t="shared" si="24"/>
        <v>0.66456691839731497</v>
      </c>
      <c r="AW4" s="38">
        <v>29898</v>
      </c>
      <c r="AX4" s="38">
        <f>6605+20000</f>
        <v>26605</v>
      </c>
      <c r="AY4" s="29">
        <f t="shared" si="25"/>
        <v>-0.110141146564988</v>
      </c>
      <c r="AZ4" s="38">
        <f t="shared" si="26"/>
        <v>315918</v>
      </c>
      <c r="BA4" s="38">
        <f t="shared" si="27"/>
        <v>502704.43</v>
      </c>
      <c r="BB4" s="29">
        <f t="shared" si="28"/>
        <v>0.59124972302939405</v>
      </c>
      <c r="BC4" s="38">
        <v>289254</v>
      </c>
      <c r="BD4" s="38">
        <f>5200+90834</f>
        <v>96034</v>
      </c>
      <c r="BE4" s="29">
        <f t="shared" si="29"/>
        <v>-0.66799421961321204</v>
      </c>
      <c r="BF4" s="38">
        <f t="shared" si="30"/>
        <v>605172</v>
      </c>
      <c r="BG4" s="38">
        <f t="shared" si="31"/>
        <v>598738.43000000005</v>
      </c>
      <c r="BH4" s="29">
        <f t="shared" si="32"/>
        <v>-1.06309776394148E-2</v>
      </c>
      <c r="BI4" s="102">
        <v>462240.91</v>
      </c>
      <c r="BJ4" s="111">
        <v>272413.90000000002</v>
      </c>
      <c r="BK4" s="22">
        <v>262193</v>
      </c>
      <c r="BL4" s="22">
        <v>1662323.81</v>
      </c>
      <c r="BM4" s="96">
        <f t="shared" si="33"/>
        <v>0.29936921500000002</v>
      </c>
      <c r="BN4" s="22">
        <v>60304</v>
      </c>
      <c r="BO4" s="22"/>
    </row>
    <row r="5" spans="1:67">
      <c r="A5" s="80" t="s">
        <v>29</v>
      </c>
      <c r="B5" s="80" t="s">
        <v>29</v>
      </c>
      <c r="C5" s="174" t="s">
        <v>216</v>
      </c>
      <c r="D5" s="33" t="s">
        <v>61</v>
      </c>
      <c r="E5" s="33" t="s">
        <v>56</v>
      </c>
      <c r="F5" s="33" t="s">
        <v>217</v>
      </c>
      <c r="G5" s="33" t="s">
        <v>218</v>
      </c>
      <c r="H5" s="33" t="s">
        <v>219</v>
      </c>
      <c r="I5" s="110">
        <v>40</v>
      </c>
      <c r="J5" s="111">
        <v>33624</v>
      </c>
      <c r="K5" s="111">
        <v>58693</v>
      </c>
      <c r="L5" s="29">
        <f t="shared" si="0"/>
        <v>0.74556864144658597</v>
      </c>
      <c r="M5" s="22">
        <v>37151</v>
      </c>
      <c r="N5" s="22">
        <v>72815</v>
      </c>
      <c r="O5" s="29">
        <f t="shared" si="1"/>
        <v>0.95997415951118403</v>
      </c>
      <c r="P5" s="22">
        <f t="shared" si="2"/>
        <v>70775</v>
      </c>
      <c r="Q5" s="22">
        <f t="shared" si="3"/>
        <v>131508</v>
      </c>
      <c r="R5" s="29">
        <f t="shared" si="4"/>
        <v>0.858113740727658</v>
      </c>
      <c r="S5" s="38"/>
      <c r="T5" s="38">
        <v>36035</v>
      </c>
      <c r="U5" s="29" t="e">
        <f t="shared" si="5"/>
        <v>#DIV/0!</v>
      </c>
      <c r="V5" s="38">
        <f t="shared" si="6"/>
        <v>70775</v>
      </c>
      <c r="W5" s="38">
        <f t="shared" si="7"/>
        <v>167543</v>
      </c>
      <c r="X5" s="29">
        <f t="shared" si="8"/>
        <v>1.36726245143059</v>
      </c>
      <c r="Y5" s="22">
        <v>19532</v>
      </c>
      <c r="Z5" s="22">
        <v>12208</v>
      </c>
      <c r="AA5" s="29">
        <f t="shared" si="9"/>
        <v>-0.374974400983002</v>
      </c>
      <c r="AB5" s="22">
        <f t="shared" si="10"/>
        <v>90307</v>
      </c>
      <c r="AC5" s="22">
        <f t="shared" si="11"/>
        <v>179751</v>
      </c>
      <c r="AD5" s="29">
        <f t="shared" si="12"/>
        <v>0.99044370868260501</v>
      </c>
      <c r="AE5" s="22">
        <v>67757</v>
      </c>
      <c r="AF5" s="22">
        <v>21637</v>
      </c>
      <c r="AG5" s="29">
        <f t="shared" si="13"/>
        <v>-0.680667680092094</v>
      </c>
      <c r="AH5" s="22">
        <f t="shared" si="14"/>
        <v>158064</v>
      </c>
      <c r="AI5" s="22">
        <f t="shared" si="15"/>
        <v>201388</v>
      </c>
      <c r="AJ5" s="29">
        <f t="shared" si="16"/>
        <v>0.27409150723757503</v>
      </c>
      <c r="AK5" s="22">
        <v>15640</v>
      </c>
      <c r="AL5" s="22">
        <f>44135.91+18700</f>
        <v>62835.91</v>
      </c>
      <c r="AM5" s="29">
        <f t="shared" si="17"/>
        <v>3.0176413043478298</v>
      </c>
      <c r="AN5" s="22">
        <f t="shared" si="18"/>
        <v>173704</v>
      </c>
      <c r="AO5" s="22">
        <f t="shared" si="19"/>
        <v>264223.90999999997</v>
      </c>
      <c r="AP5" s="29">
        <f t="shared" si="20"/>
        <v>0.52111586376825003</v>
      </c>
      <c r="AQ5" s="22">
        <v>63952</v>
      </c>
      <c r="AR5" s="22">
        <v>68402.09</v>
      </c>
      <c r="AS5" s="29">
        <f t="shared" si="21"/>
        <v>6.9584844883662705E-2</v>
      </c>
      <c r="AT5" s="22">
        <f t="shared" si="22"/>
        <v>237656</v>
      </c>
      <c r="AU5" s="22">
        <f t="shared" si="23"/>
        <v>332626</v>
      </c>
      <c r="AV5" s="29">
        <f t="shared" si="24"/>
        <v>0.39961120274682699</v>
      </c>
      <c r="AW5" s="38">
        <v>39854</v>
      </c>
      <c r="AX5" s="38">
        <v>188073</v>
      </c>
      <c r="AY5" s="29">
        <f t="shared" si="25"/>
        <v>3.7190495307873701</v>
      </c>
      <c r="AZ5" s="38">
        <f t="shared" si="26"/>
        <v>277510</v>
      </c>
      <c r="BA5" s="38">
        <f t="shared" si="27"/>
        <v>520699</v>
      </c>
      <c r="BB5" s="29">
        <f t="shared" si="28"/>
        <v>0.87632517747108196</v>
      </c>
      <c r="BC5" s="38">
        <v>15860</v>
      </c>
      <c r="BD5" s="38">
        <v>8158</v>
      </c>
      <c r="BE5" s="29">
        <f t="shared" si="29"/>
        <v>-0.48562421185372001</v>
      </c>
      <c r="BF5" s="38">
        <f t="shared" si="30"/>
        <v>293370</v>
      </c>
      <c r="BG5" s="38">
        <f t="shared" si="31"/>
        <v>528857</v>
      </c>
      <c r="BH5" s="29">
        <f t="shared" si="32"/>
        <v>0.80269625387735599</v>
      </c>
      <c r="BI5" s="102">
        <v>29786</v>
      </c>
      <c r="BJ5" s="111">
        <v>54967</v>
      </c>
      <c r="BK5" s="22">
        <v>5141</v>
      </c>
      <c r="BL5" s="22">
        <v>383264</v>
      </c>
      <c r="BM5" s="96">
        <f t="shared" si="33"/>
        <v>1.3221425</v>
      </c>
      <c r="BN5" s="88">
        <v>22700</v>
      </c>
      <c r="BO5" s="112">
        <v>18700</v>
      </c>
    </row>
    <row r="6" spans="1:67">
      <c r="A6" s="80" t="s">
        <v>29</v>
      </c>
      <c r="B6" s="80" t="s">
        <v>29</v>
      </c>
      <c r="C6" s="81" t="s">
        <v>220</v>
      </c>
      <c r="D6" s="33" t="s">
        <v>61</v>
      </c>
      <c r="E6" s="33" t="s">
        <v>56</v>
      </c>
      <c r="F6" s="33" t="s">
        <v>213</v>
      </c>
      <c r="G6" s="33" t="s">
        <v>213</v>
      </c>
      <c r="H6" s="33" t="s">
        <v>214</v>
      </c>
      <c r="I6" s="110">
        <v>80</v>
      </c>
      <c r="J6" s="111"/>
      <c r="K6" s="111">
        <v>80000</v>
      </c>
      <c r="L6" s="29" t="e">
        <f t="shared" si="0"/>
        <v>#DIV/0!</v>
      </c>
      <c r="M6" s="22"/>
      <c r="N6" s="22">
        <v>110000</v>
      </c>
      <c r="O6" s="29" t="e">
        <f t="shared" si="1"/>
        <v>#DIV/0!</v>
      </c>
      <c r="P6" s="22">
        <f t="shared" si="2"/>
        <v>0</v>
      </c>
      <c r="Q6" s="22">
        <f t="shared" si="3"/>
        <v>190000</v>
      </c>
      <c r="R6" s="29" t="e">
        <f t="shared" si="4"/>
        <v>#DIV/0!</v>
      </c>
      <c r="S6" s="38">
        <v>160000</v>
      </c>
      <c r="T6" s="38">
        <v>20000</v>
      </c>
      <c r="U6" s="29">
        <f t="shared" si="5"/>
        <v>-0.875</v>
      </c>
      <c r="V6" s="38">
        <f t="shared" si="6"/>
        <v>160000</v>
      </c>
      <c r="W6" s="38">
        <f t="shared" si="7"/>
        <v>210000</v>
      </c>
      <c r="X6" s="29">
        <f t="shared" si="8"/>
        <v>0.3125</v>
      </c>
      <c r="Y6" s="22"/>
      <c r="Z6" s="22">
        <v>30000</v>
      </c>
      <c r="AA6" s="29" t="e">
        <f t="shared" si="9"/>
        <v>#DIV/0!</v>
      </c>
      <c r="AB6" s="22">
        <f t="shared" si="10"/>
        <v>160000</v>
      </c>
      <c r="AC6" s="22">
        <f t="shared" si="11"/>
        <v>240000</v>
      </c>
      <c r="AD6" s="29">
        <f t="shared" si="12"/>
        <v>0.5</v>
      </c>
      <c r="AE6" s="22">
        <v>70000</v>
      </c>
      <c r="AF6" s="22">
        <v>80000</v>
      </c>
      <c r="AG6" s="29">
        <f t="shared" si="13"/>
        <v>0.14285714285714299</v>
      </c>
      <c r="AH6" s="22">
        <f t="shared" si="14"/>
        <v>230000</v>
      </c>
      <c r="AI6" s="22">
        <f t="shared" si="15"/>
        <v>320000</v>
      </c>
      <c r="AJ6" s="29">
        <f t="shared" si="16"/>
        <v>0.39130434782608697</v>
      </c>
      <c r="AK6" s="22">
        <v>80000</v>
      </c>
      <c r="AL6" s="22">
        <v>80000</v>
      </c>
      <c r="AM6" s="29">
        <f t="shared" si="17"/>
        <v>0</v>
      </c>
      <c r="AN6" s="22">
        <f t="shared" si="18"/>
        <v>310000</v>
      </c>
      <c r="AO6" s="22">
        <f t="shared" si="19"/>
        <v>400000</v>
      </c>
      <c r="AP6" s="29">
        <f t="shared" si="20"/>
        <v>0.29032258064516098</v>
      </c>
      <c r="AQ6" s="22">
        <v>100000</v>
      </c>
      <c r="AR6" s="22">
        <v>60000</v>
      </c>
      <c r="AS6" s="29">
        <f t="shared" si="21"/>
        <v>-0.4</v>
      </c>
      <c r="AT6" s="22">
        <f t="shared" si="22"/>
        <v>410000</v>
      </c>
      <c r="AU6" s="22">
        <f t="shared" si="23"/>
        <v>460000</v>
      </c>
      <c r="AV6" s="29">
        <f t="shared" si="24"/>
        <v>0.12195121951219499</v>
      </c>
      <c r="AW6" s="38"/>
      <c r="AX6" s="38">
        <v>60000</v>
      </c>
      <c r="AY6" s="29" t="e">
        <f t="shared" si="25"/>
        <v>#DIV/0!</v>
      </c>
      <c r="AZ6" s="38">
        <f t="shared" si="26"/>
        <v>410000</v>
      </c>
      <c r="BA6" s="38">
        <f t="shared" si="27"/>
        <v>520000</v>
      </c>
      <c r="BB6" s="29">
        <f t="shared" si="28"/>
        <v>0.26829268292682901</v>
      </c>
      <c r="BC6" s="38">
        <v>100000</v>
      </c>
      <c r="BD6" s="38"/>
      <c r="BE6" s="29">
        <f t="shared" si="29"/>
        <v>-1</v>
      </c>
      <c r="BF6" s="38">
        <f t="shared" si="30"/>
        <v>510000</v>
      </c>
      <c r="BG6" s="38">
        <f t="shared" si="31"/>
        <v>520000</v>
      </c>
      <c r="BH6" s="29">
        <f t="shared" si="32"/>
        <v>1.9607843137254801E-2</v>
      </c>
      <c r="BI6" s="102">
        <v>110000</v>
      </c>
      <c r="BJ6" s="111">
        <v>100000</v>
      </c>
      <c r="BK6" s="22">
        <v>100000</v>
      </c>
      <c r="BL6" s="22">
        <v>820000</v>
      </c>
      <c r="BM6" s="96">
        <f t="shared" si="33"/>
        <v>0.65</v>
      </c>
      <c r="BN6" s="88">
        <v>20000</v>
      </c>
      <c r="BO6" s="22">
        <v>20000</v>
      </c>
    </row>
    <row r="7" spans="1:67">
      <c r="A7" s="80" t="s">
        <v>29</v>
      </c>
      <c r="B7" s="80" t="s">
        <v>29</v>
      </c>
      <c r="C7" s="81" t="s">
        <v>221</v>
      </c>
      <c r="D7" s="33" t="s">
        <v>65</v>
      </c>
      <c r="E7" s="33" t="s">
        <v>65</v>
      </c>
      <c r="F7" s="33" t="s">
        <v>222</v>
      </c>
      <c r="G7" s="33" t="s">
        <v>222</v>
      </c>
      <c r="H7" s="22" t="s">
        <v>223</v>
      </c>
      <c r="I7" s="110">
        <v>200</v>
      </c>
      <c r="J7" s="111">
        <v>150726</v>
      </c>
      <c r="K7" s="111">
        <v>20575</v>
      </c>
      <c r="L7" s="29">
        <f t="shared" si="0"/>
        <v>-0.86349402226556804</v>
      </c>
      <c r="M7" s="22">
        <v>53331</v>
      </c>
      <c r="N7" s="22">
        <v>-371.06</v>
      </c>
      <c r="O7" s="29">
        <f t="shared" si="1"/>
        <v>-1.00695767939847</v>
      </c>
      <c r="P7" s="22">
        <f t="shared" si="2"/>
        <v>204057</v>
      </c>
      <c r="Q7" s="22">
        <f t="shared" si="3"/>
        <v>20203.939999999999</v>
      </c>
      <c r="R7" s="29">
        <f t="shared" si="4"/>
        <v>-0.90098874334132095</v>
      </c>
      <c r="S7" s="38">
        <v>35010</v>
      </c>
      <c r="T7" s="38">
        <f>8648+20304.6</f>
        <v>28952.6</v>
      </c>
      <c r="U7" s="29">
        <f t="shared" si="5"/>
        <v>-0.17301913738931701</v>
      </c>
      <c r="V7" s="38">
        <f t="shared" si="6"/>
        <v>239067</v>
      </c>
      <c r="W7" s="38">
        <f t="shared" si="7"/>
        <v>49156.54</v>
      </c>
      <c r="X7" s="29">
        <f t="shared" si="8"/>
        <v>-0.79438174235674497</v>
      </c>
      <c r="Y7" s="22">
        <v>60312</v>
      </c>
      <c r="Z7" s="22">
        <v>32656</v>
      </c>
      <c r="AA7" s="29">
        <f t="shared" si="9"/>
        <v>-0.45854887916169301</v>
      </c>
      <c r="AB7" s="22">
        <f t="shared" si="10"/>
        <v>299379</v>
      </c>
      <c r="AC7" s="22">
        <f t="shared" si="11"/>
        <v>81812.539999999994</v>
      </c>
      <c r="AD7" s="29">
        <f t="shared" si="12"/>
        <v>-0.72672585585495297</v>
      </c>
      <c r="AE7" s="22">
        <v>49398</v>
      </c>
      <c r="AF7" s="22">
        <v>105620</v>
      </c>
      <c r="AG7" s="29">
        <f t="shared" si="13"/>
        <v>1.13814324466578</v>
      </c>
      <c r="AH7" s="22">
        <f t="shared" si="14"/>
        <v>348777</v>
      </c>
      <c r="AI7" s="22">
        <f t="shared" si="15"/>
        <v>187432.54</v>
      </c>
      <c r="AJ7" s="29">
        <f t="shared" si="16"/>
        <v>-0.46260063020210601</v>
      </c>
      <c r="AK7" s="22">
        <v>91407</v>
      </c>
      <c r="AL7" s="22">
        <f>17340+11306</f>
        <v>28646</v>
      </c>
      <c r="AM7" s="29">
        <f t="shared" si="17"/>
        <v>-0.68661043464942495</v>
      </c>
      <c r="AN7" s="22">
        <f t="shared" si="18"/>
        <v>440184</v>
      </c>
      <c r="AO7" s="22">
        <f t="shared" si="19"/>
        <v>216078.54</v>
      </c>
      <c r="AP7" s="29">
        <f t="shared" si="20"/>
        <v>-0.50911768714900996</v>
      </c>
      <c r="AQ7" s="22">
        <v>102755</v>
      </c>
      <c r="AR7" s="22">
        <v>103214</v>
      </c>
      <c r="AS7" s="29">
        <f t="shared" si="21"/>
        <v>4.4669359155271602E-3</v>
      </c>
      <c r="AT7" s="22">
        <f t="shared" si="22"/>
        <v>542939</v>
      </c>
      <c r="AU7" s="22">
        <f t="shared" si="23"/>
        <v>319292.53999999998</v>
      </c>
      <c r="AV7" s="29">
        <f t="shared" si="24"/>
        <v>-0.41191820812282798</v>
      </c>
      <c r="AW7" s="38">
        <v>96945</v>
      </c>
      <c r="AX7" s="38">
        <v>78496</v>
      </c>
      <c r="AY7" s="29">
        <f t="shared" si="25"/>
        <v>-0.19030378049409499</v>
      </c>
      <c r="AZ7" s="38">
        <f t="shared" si="26"/>
        <v>639884</v>
      </c>
      <c r="BA7" s="38">
        <f t="shared" si="27"/>
        <v>397788.54</v>
      </c>
      <c r="BB7" s="29">
        <f t="shared" si="28"/>
        <v>-0.37834273086997</v>
      </c>
      <c r="BC7" s="38">
        <v>121278</v>
      </c>
      <c r="BD7" s="38">
        <v>144395</v>
      </c>
      <c r="BE7" s="29">
        <f t="shared" si="29"/>
        <v>0.19061165256682999</v>
      </c>
      <c r="BF7" s="38">
        <f t="shared" si="30"/>
        <v>761162</v>
      </c>
      <c r="BG7" s="38">
        <f t="shared" si="31"/>
        <v>542183.54</v>
      </c>
      <c r="BH7" s="29">
        <f t="shared" si="32"/>
        <v>-0.28768969023676899</v>
      </c>
      <c r="BI7" s="102">
        <v>269643.8</v>
      </c>
      <c r="BJ7" s="111">
        <v>186250.18</v>
      </c>
      <c r="BK7" s="22">
        <v>311638</v>
      </c>
      <c r="BL7" s="22">
        <v>1601249.98</v>
      </c>
      <c r="BM7" s="96">
        <f t="shared" si="33"/>
        <v>0.27109177000000001</v>
      </c>
      <c r="BN7" s="22">
        <v>72556</v>
      </c>
      <c r="BO7" s="22"/>
    </row>
    <row r="8" spans="1:67">
      <c r="A8" s="80" t="s">
        <v>29</v>
      </c>
      <c r="B8" s="80" t="s">
        <v>29</v>
      </c>
      <c r="C8" s="81" t="s">
        <v>224</v>
      </c>
      <c r="D8" s="33" t="s">
        <v>84</v>
      </c>
      <c r="E8" s="33" t="s">
        <v>84</v>
      </c>
      <c r="F8" s="33" t="s">
        <v>217</v>
      </c>
      <c r="G8" s="33" t="s">
        <v>218</v>
      </c>
      <c r="H8" s="33" t="s">
        <v>219</v>
      </c>
      <c r="I8" s="110">
        <v>130</v>
      </c>
      <c r="J8" s="111">
        <v>80554</v>
      </c>
      <c r="K8" s="111">
        <v>54160</v>
      </c>
      <c r="L8" s="29">
        <f t="shared" si="0"/>
        <v>-0.32765598232241699</v>
      </c>
      <c r="M8" s="22">
        <v>42545</v>
      </c>
      <c r="N8" s="22">
        <v>78703.5</v>
      </c>
      <c r="O8" s="29">
        <f t="shared" si="1"/>
        <v>0.84988835350805003</v>
      </c>
      <c r="P8" s="22">
        <f t="shared" si="2"/>
        <v>123099</v>
      </c>
      <c r="Q8" s="22">
        <f t="shared" si="3"/>
        <v>132863.5</v>
      </c>
      <c r="R8" s="29">
        <f t="shared" si="4"/>
        <v>7.93223340563287E-2</v>
      </c>
      <c r="S8" s="38">
        <v>80322</v>
      </c>
      <c r="T8" s="38">
        <v>111622</v>
      </c>
      <c r="U8" s="29">
        <f t="shared" si="5"/>
        <v>0.38968153183436699</v>
      </c>
      <c r="V8" s="38">
        <f t="shared" si="6"/>
        <v>203421</v>
      </c>
      <c r="W8" s="38">
        <f t="shared" si="7"/>
        <v>244485.5</v>
      </c>
      <c r="X8" s="29">
        <f t="shared" si="8"/>
        <v>0.201869521829113</v>
      </c>
      <c r="Y8" s="22">
        <v>82245</v>
      </c>
      <c r="Z8" s="22">
        <v>108126.8</v>
      </c>
      <c r="AA8" s="29">
        <f t="shared" si="9"/>
        <v>0.31469147060611602</v>
      </c>
      <c r="AB8" s="22">
        <f t="shared" si="10"/>
        <v>285666</v>
      </c>
      <c r="AC8" s="22">
        <f t="shared" si="11"/>
        <v>352612.3</v>
      </c>
      <c r="AD8" s="29">
        <f t="shared" si="12"/>
        <v>0.23435165542976799</v>
      </c>
      <c r="AE8" s="22">
        <v>78688</v>
      </c>
      <c r="AF8" s="22">
        <v>62030</v>
      </c>
      <c r="AG8" s="29">
        <f t="shared" si="13"/>
        <v>-0.211696827978853</v>
      </c>
      <c r="AH8" s="22">
        <f t="shared" si="14"/>
        <v>364354</v>
      </c>
      <c r="AI8" s="22">
        <f t="shared" si="15"/>
        <v>414642.3</v>
      </c>
      <c r="AJ8" s="29">
        <f t="shared" si="16"/>
        <v>0.13802044165838701</v>
      </c>
      <c r="AK8" s="22">
        <v>102296</v>
      </c>
      <c r="AL8" s="22">
        <v>136503.79999999999</v>
      </c>
      <c r="AM8" s="29">
        <f t="shared" si="17"/>
        <v>0.33440017204973799</v>
      </c>
      <c r="AN8" s="22">
        <f t="shared" si="18"/>
        <v>466650</v>
      </c>
      <c r="AO8" s="22">
        <f t="shared" si="19"/>
        <v>551146.1</v>
      </c>
      <c r="AP8" s="29">
        <f t="shared" si="20"/>
        <v>0.18106953819779301</v>
      </c>
      <c r="AQ8" s="22">
        <v>92823</v>
      </c>
      <c r="AR8" s="22">
        <v>49728.5</v>
      </c>
      <c r="AS8" s="29">
        <f t="shared" si="21"/>
        <v>-0.46426532217230598</v>
      </c>
      <c r="AT8" s="22">
        <f t="shared" si="22"/>
        <v>559473</v>
      </c>
      <c r="AU8" s="22">
        <f t="shared" si="23"/>
        <v>600874.6</v>
      </c>
      <c r="AV8" s="29">
        <f t="shared" si="24"/>
        <v>7.4001068863019298E-2</v>
      </c>
      <c r="AW8" s="38">
        <v>88958</v>
      </c>
      <c r="AX8" s="38">
        <v>111809</v>
      </c>
      <c r="AY8" s="29">
        <f t="shared" si="25"/>
        <v>0.256874030441332</v>
      </c>
      <c r="AZ8" s="38">
        <f t="shared" si="26"/>
        <v>648431</v>
      </c>
      <c r="BA8" s="38">
        <f t="shared" si="27"/>
        <v>712683.6</v>
      </c>
      <c r="BB8" s="29">
        <f t="shared" si="28"/>
        <v>9.9089340269049406E-2</v>
      </c>
      <c r="BC8" s="38">
        <v>137424</v>
      </c>
      <c r="BD8" s="38">
        <v>82873</v>
      </c>
      <c r="BE8" s="29">
        <f t="shared" si="29"/>
        <v>-0.39695395273023598</v>
      </c>
      <c r="BF8" s="38">
        <f t="shared" si="30"/>
        <v>785855</v>
      </c>
      <c r="BG8" s="38">
        <f t="shared" si="31"/>
        <v>795556.6</v>
      </c>
      <c r="BH8" s="29">
        <f t="shared" si="32"/>
        <v>1.2345279981675899E-2</v>
      </c>
      <c r="BI8" s="102">
        <v>145840</v>
      </c>
      <c r="BJ8" s="111">
        <v>154297</v>
      </c>
      <c r="BK8" s="22">
        <v>217980</v>
      </c>
      <c r="BL8" s="22">
        <v>1303972</v>
      </c>
      <c r="BM8" s="96">
        <f t="shared" si="33"/>
        <v>0.61196661538461505</v>
      </c>
      <c r="BN8" s="22"/>
      <c r="BO8" s="22"/>
    </row>
    <row r="9" spans="1:67">
      <c r="A9" s="80" t="s">
        <v>29</v>
      </c>
      <c r="B9" s="80" t="s">
        <v>29</v>
      </c>
      <c r="C9" s="81" t="s">
        <v>225</v>
      </c>
      <c r="D9" s="33" t="s">
        <v>84</v>
      </c>
      <c r="E9" s="33" t="s">
        <v>84</v>
      </c>
      <c r="F9" s="33" t="s">
        <v>226</v>
      </c>
      <c r="G9" s="33" t="s">
        <v>226</v>
      </c>
      <c r="H9" s="33" t="s">
        <v>214</v>
      </c>
      <c r="I9" s="110">
        <v>65</v>
      </c>
      <c r="J9" s="111">
        <v>41916</v>
      </c>
      <c r="K9" s="111">
        <v>10650</v>
      </c>
      <c r="L9" s="29">
        <f t="shared" si="0"/>
        <v>-0.74592041225307804</v>
      </c>
      <c r="M9" s="22">
        <v>17600</v>
      </c>
      <c r="N9" s="22">
        <v>18535.5</v>
      </c>
      <c r="O9" s="29">
        <f t="shared" si="1"/>
        <v>5.3153409090909202E-2</v>
      </c>
      <c r="P9" s="22">
        <f t="shared" si="2"/>
        <v>59516</v>
      </c>
      <c r="Q9" s="22">
        <f t="shared" si="3"/>
        <v>29185.5</v>
      </c>
      <c r="R9" s="29">
        <f t="shared" si="4"/>
        <v>-0.509619262047181</v>
      </c>
      <c r="S9" s="38">
        <v>56848.08</v>
      </c>
      <c r="T9" s="38">
        <v>58315</v>
      </c>
      <c r="U9" s="29">
        <f t="shared" si="5"/>
        <v>2.5804213616361399E-2</v>
      </c>
      <c r="V9" s="38">
        <f t="shared" si="6"/>
        <v>116364.08</v>
      </c>
      <c r="W9" s="38">
        <f t="shared" si="7"/>
        <v>87500.5</v>
      </c>
      <c r="X9" s="29">
        <f t="shared" si="8"/>
        <v>-0.248045444951741</v>
      </c>
      <c r="Y9" s="22">
        <v>37938</v>
      </c>
      <c r="Z9" s="22">
        <v>31440</v>
      </c>
      <c r="AA9" s="29">
        <f t="shared" si="9"/>
        <v>-0.17127945595445199</v>
      </c>
      <c r="AB9" s="22">
        <f t="shared" si="10"/>
        <v>154302.07999999999</v>
      </c>
      <c r="AC9" s="22">
        <f t="shared" si="11"/>
        <v>118940.5</v>
      </c>
      <c r="AD9" s="29">
        <f t="shared" si="12"/>
        <v>-0.22917111681190599</v>
      </c>
      <c r="AE9" s="22">
        <v>39900</v>
      </c>
      <c r="AF9" s="22">
        <v>10279</v>
      </c>
      <c r="AG9" s="29">
        <f t="shared" si="13"/>
        <v>-0.74238095238095203</v>
      </c>
      <c r="AH9" s="22">
        <f t="shared" si="14"/>
        <v>194202.08</v>
      </c>
      <c r="AI9" s="22">
        <f t="shared" si="15"/>
        <v>129219.5</v>
      </c>
      <c r="AJ9" s="29">
        <f t="shared" si="16"/>
        <v>-0.33461320290699298</v>
      </c>
      <c r="AK9" s="22">
        <v>47460</v>
      </c>
      <c r="AL9" s="22">
        <v>52960</v>
      </c>
      <c r="AM9" s="29">
        <f t="shared" si="17"/>
        <v>0.115887062789718</v>
      </c>
      <c r="AN9" s="22">
        <f t="shared" si="18"/>
        <v>241662.07999999999</v>
      </c>
      <c r="AO9" s="22">
        <f t="shared" si="19"/>
        <v>182179.5</v>
      </c>
      <c r="AP9" s="29">
        <f t="shared" si="20"/>
        <v>-0.246139485350784</v>
      </c>
      <c r="AQ9" s="22">
        <v>30826</v>
      </c>
      <c r="AR9" s="22">
        <v>34290</v>
      </c>
      <c r="AS9" s="29">
        <f t="shared" si="21"/>
        <v>0.112372672419386</v>
      </c>
      <c r="AT9" s="22">
        <f t="shared" si="22"/>
        <v>272488.08</v>
      </c>
      <c r="AU9" s="22">
        <f t="shared" si="23"/>
        <v>216469.5</v>
      </c>
      <c r="AV9" s="29">
        <f t="shared" si="24"/>
        <v>-0.205581763429799</v>
      </c>
      <c r="AW9" s="38">
        <v>36600</v>
      </c>
      <c r="AX9" s="38">
        <v>29003</v>
      </c>
      <c r="AY9" s="29">
        <f t="shared" si="25"/>
        <v>-0.20756830601092899</v>
      </c>
      <c r="AZ9" s="38">
        <f t="shared" si="26"/>
        <v>309088.08</v>
      </c>
      <c r="BA9" s="38">
        <f t="shared" si="27"/>
        <v>245472.5</v>
      </c>
      <c r="BB9" s="29">
        <f t="shared" si="28"/>
        <v>-0.20581699559555999</v>
      </c>
      <c r="BC9" s="38">
        <v>109530</v>
      </c>
      <c r="BD9" s="38">
        <v>14928</v>
      </c>
      <c r="BE9" s="29">
        <f t="shared" si="29"/>
        <v>-0.86370857299369996</v>
      </c>
      <c r="BF9" s="38">
        <f t="shared" si="30"/>
        <v>418618.08</v>
      </c>
      <c r="BG9" s="38">
        <f t="shared" si="31"/>
        <v>260400.5</v>
      </c>
      <c r="BH9" s="29">
        <f t="shared" si="32"/>
        <v>-0.37795209418570702</v>
      </c>
      <c r="BI9" s="102">
        <v>64023</v>
      </c>
      <c r="BJ9" s="111">
        <v>31190</v>
      </c>
      <c r="BK9" s="22">
        <v>89844</v>
      </c>
      <c r="BL9" s="22">
        <v>603675.07999999996</v>
      </c>
      <c r="BM9" s="96">
        <f t="shared" si="33"/>
        <v>0.40061615384615401</v>
      </c>
      <c r="BN9" s="22"/>
      <c r="BO9" s="22"/>
    </row>
    <row r="10" spans="1:67">
      <c r="A10" s="80" t="s">
        <v>29</v>
      </c>
      <c r="B10" s="80" t="s">
        <v>29</v>
      </c>
      <c r="C10" s="81" t="s">
        <v>227</v>
      </c>
      <c r="D10" s="33" t="s">
        <v>84</v>
      </c>
      <c r="E10" s="33" t="s">
        <v>84</v>
      </c>
      <c r="F10" s="33" t="s">
        <v>217</v>
      </c>
      <c r="G10" s="33" t="s">
        <v>218</v>
      </c>
      <c r="H10" s="33" t="s">
        <v>219</v>
      </c>
      <c r="I10" s="110">
        <v>60</v>
      </c>
      <c r="J10" s="111">
        <v>31309</v>
      </c>
      <c r="K10" s="111">
        <v>12344</v>
      </c>
      <c r="L10" s="29">
        <f t="shared" si="0"/>
        <v>-0.60573636973394196</v>
      </c>
      <c r="M10" s="22">
        <v>8041</v>
      </c>
      <c r="N10" s="22">
        <v>39230</v>
      </c>
      <c r="O10" s="29">
        <f t="shared" si="1"/>
        <v>3.8787464245740599</v>
      </c>
      <c r="P10" s="22">
        <f t="shared" si="2"/>
        <v>39350</v>
      </c>
      <c r="Q10" s="22">
        <f t="shared" si="3"/>
        <v>51574</v>
      </c>
      <c r="R10" s="29">
        <f t="shared" si="4"/>
        <v>0.31064803049555301</v>
      </c>
      <c r="S10" s="38">
        <v>51695</v>
      </c>
      <c r="T10" s="38">
        <v>32386</v>
      </c>
      <c r="U10" s="29">
        <f t="shared" si="5"/>
        <v>-0.37351774833155998</v>
      </c>
      <c r="V10" s="38">
        <f t="shared" si="6"/>
        <v>91045</v>
      </c>
      <c r="W10" s="38">
        <f t="shared" si="7"/>
        <v>83960</v>
      </c>
      <c r="X10" s="29">
        <f t="shared" si="8"/>
        <v>-7.7818661101653003E-2</v>
      </c>
      <c r="Y10" s="22">
        <v>4856</v>
      </c>
      <c r="Z10" s="22">
        <v>40483</v>
      </c>
      <c r="AA10" s="29">
        <f t="shared" si="9"/>
        <v>7.3366968698517301</v>
      </c>
      <c r="AB10" s="22">
        <f t="shared" si="10"/>
        <v>95901</v>
      </c>
      <c r="AC10" s="22">
        <f t="shared" si="11"/>
        <v>124443</v>
      </c>
      <c r="AD10" s="29">
        <f t="shared" si="12"/>
        <v>0.297619420026903</v>
      </c>
      <c r="AE10" s="22">
        <v>33328</v>
      </c>
      <c r="AF10" s="22">
        <v>15635</v>
      </c>
      <c r="AG10" s="29">
        <f t="shared" si="13"/>
        <v>-0.53087493999039803</v>
      </c>
      <c r="AH10" s="22">
        <f t="shared" si="14"/>
        <v>129229</v>
      </c>
      <c r="AI10" s="22">
        <f t="shared" si="15"/>
        <v>140078</v>
      </c>
      <c r="AJ10" s="29">
        <f t="shared" si="16"/>
        <v>8.3951744577455606E-2</v>
      </c>
      <c r="AK10" s="22">
        <v>33354</v>
      </c>
      <c r="AL10" s="22">
        <f>48669.1+684.9</f>
        <v>49354</v>
      </c>
      <c r="AM10" s="29">
        <f t="shared" si="17"/>
        <v>0.47970258439767299</v>
      </c>
      <c r="AN10" s="22">
        <f t="shared" si="18"/>
        <v>162583</v>
      </c>
      <c r="AO10" s="22">
        <f t="shared" si="19"/>
        <v>189432</v>
      </c>
      <c r="AP10" s="29">
        <f t="shared" si="20"/>
        <v>0.165140266817564</v>
      </c>
      <c r="AQ10" s="22">
        <v>22540</v>
      </c>
      <c r="AR10" s="22">
        <v>18390</v>
      </c>
      <c r="AS10" s="29">
        <f t="shared" si="21"/>
        <v>-0.18411712511091399</v>
      </c>
      <c r="AT10" s="22">
        <f t="shared" si="22"/>
        <v>185123</v>
      </c>
      <c r="AU10" s="22">
        <f t="shared" si="23"/>
        <v>207822</v>
      </c>
      <c r="AV10" s="29">
        <f t="shared" si="24"/>
        <v>0.122615774377036</v>
      </c>
      <c r="AW10" s="38">
        <v>41491</v>
      </c>
      <c r="AX10" s="38">
        <v>14529</v>
      </c>
      <c r="AY10" s="29">
        <f t="shared" si="25"/>
        <v>-0.64982767347135495</v>
      </c>
      <c r="AZ10" s="38">
        <f t="shared" si="26"/>
        <v>226614</v>
      </c>
      <c r="BA10" s="38">
        <f t="shared" si="27"/>
        <v>222351</v>
      </c>
      <c r="BB10" s="29">
        <f t="shared" si="28"/>
        <v>-1.8811723900553402E-2</v>
      </c>
      <c r="BC10" s="38">
        <v>76840</v>
      </c>
      <c r="BD10" s="38">
        <v>15915</v>
      </c>
      <c r="BE10" s="29">
        <f t="shared" si="29"/>
        <v>-0.79288131181676202</v>
      </c>
      <c r="BF10" s="38">
        <f t="shared" si="30"/>
        <v>303454</v>
      </c>
      <c r="BG10" s="38">
        <f t="shared" si="31"/>
        <v>238266</v>
      </c>
      <c r="BH10" s="29">
        <f t="shared" si="32"/>
        <v>-0.214820038621999</v>
      </c>
      <c r="BI10" s="102">
        <v>26983</v>
      </c>
      <c r="BJ10" s="111">
        <v>44507</v>
      </c>
      <c r="BK10" s="22">
        <v>64200</v>
      </c>
      <c r="BL10" s="22">
        <v>439144</v>
      </c>
      <c r="BM10" s="96">
        <f t="shared" si="33"/>
        <v>0.39711000000000002</v>
      </c>
      <c r="BN10" s="22"/>
      <c r="BO10" s="22"/>
    </row>
    <row r="11" spans="1:67">
      <c r="A11" s="80" t="s">
        <v>29</v>
      </c>
      <c r="B11" s="80" t="s">
        <v>29</v>
      </c>
      <c r="C11" s="81" t="s">
        <v>228</v>
      </c>
      <c r="D11" s="33" t="s">
        <v>84</v>
      </c>
      <c r="E11" s="33" t="s">
        <v>84</v>
      </c>
      <c r="F11" s="33" t="s">
        <v>226</v>
      </c>
      <c r="G11" s="33" t="s">
        <v>226</v>
      </c>
      <c r="H11" s="33" t="s">
        <v>214</v>
      </c>
      <c r="I11" s="110">
        <v>100</v>
      </c>
      <c r="J11" s="111">
        <v>81730</v>
      </c>
      <c r="K11" s="111">
        <v>39988</v>
      </c>
      <c r="L11" s="29">
        <f t="shared" si="0"/>
        <v>-0.51073045393368399</v>
      </c>
      <c r="M11" s="22">
        <v>45126</v>
      </c>
      <c r="N11" s="22">
        <v>13201</v>
      </c>
      <c r="O11" s="29">
        <f t="shared" si="1"/>
        <v>-0.70746354651420496</v>
      </c>
      <c r="P11" s="22">
        <f t="shared" si="2"/>
        <v>126856</v>
      </c>
      <c r="Q11" s="22">
        <f t="shared" si="3"/>
        <v>53189</v>
      </c>
      <c r="R11" s="29">
        <f t="shared" si="4"/>
        <v>-0.58071356498707205</v>
      </c>
      <c r="S11" s="38">
        <v>43497</v>
      </c>
      <c r="T11" s="38">
        <v>21058</v>
      </c>
      <c r="U11" s="29">
        <f t="shared" si="5"/>
        <v>-0.51587465802239196</v>
      </c>
      <c r="V11" s="38">
        <f t="shared" si="6"/>
        <v>170353</v>
      </c>
      <c r="W11" s="38">
        <f t="shared" si="7"/>
        <v>74247</v>
      </c>
      <c r="X11" s="29">
        <f t="shared" si="8"/>
        <v>-0.56415795436534699</v>
      </c>
      <c r="Y11" s="22">
        <v>94183</v>
      </c>
      <c r="Z11" s="22">
        <v>54727</v>
      </c>
      <c r="AA11" s="29">
        <f t="shared" si="9"/>
        <v>-0.41892910610195</v>
      </c>
      <c r="AB11" s="22">
        <f t="shared" si="10"/>
        <v>264536</v>
      </c>
      <c r="AC11" s="22">
        <f t="shared" si="11"/>
        <v>128974</v>
      </c>
      <c r="AD11" s="29">
        <f t="shared" si="12"/>
        <v>-0.51245199141137698</v>
      </c>
      <c r="AE11" s="22">
        <v>76709</v>
      </c>
      <c r="AF11" s="22">
        <v>57103</v>
      </c>
      <c r="AG11" s="29">
        <f t="shared" si="13"/>
        <v>-0.25558930503591498</v>
      </c>
      <c r="AH11" s="22">
        <f t="shared" si="14"/>
        <v>341245</v>
      </c>
      <c r="AI11" s="22">
        <f t="shared" si="15"/>
        <v>186077</v>
      </c>
      <c r="AJ11" s="29">
        <f t="shared" si="16"/>
        <v>-0.45471142434321399</v>
      </c>
      <c r="AK11" s="22">
        <v>40780</v>
      </c>
      <c r="AL11" s="22">
        <v>114665</v>
      </c>
      <c r="AM11" s="29">
        <f t="shared" si="17"/>
        <v>1.81179499754782</v>
      </c>
      <c r="AN11" s="22">
        <f t="shared" si="18"/>
        <v>382025</v>
      </c>
      <c r="AO11" s="22">
        <f t="shared" si="19"/>
        <v>300742</v>
      </c>
      <c r="AP11" s="29">
        <f t="shared" si="20"/>
        <v>-0.21276879785354399</v>
      </c>
      <c r="AQ11" s="22">
        <v>39027</v>
      </c>
      <c r="AR11" s="22">
        <v>67125</v>
      </c>
      <c r="AS11" s="29">
        <f t="shared" si="21"/>
        <v>0.71996310246752204</v>
      </c>
      <c r="AT11" s="22">
        <f t="shared" si="22"/>
        <v>421052</v>
      </c>
      <c r="AU11" s="22">
        <f t="shared" si="23"/>
        <v>367867</v>
      </c>
      <c r="AV11" s="29">
        <f t="shared" si="24"/>
        <v>-0.126314564471847</v>
      </c>
      <c r="AW11" s="38">
        <v>35395</v>
      </c>
      <c r="AX11" s="38">
        <v>12426</v>
      </c>
      <c r="AY11" s="29">
        <f t="shared" si="25"/>
        <v>-0.64893346517869799</v>
      </c>
      <c r="AZ11" s="38">
        <f t="shared" si="26"/>
        <v>456447</v>
      </c>
      <c r="BA11" s="38">
        <f t="shared" si="27"/>
        <v>380293</v>
      </c>
      <c r="BB11" s="29">
        <f t="shared" si="28"/>
        <v>-0.166840838038151</v>
      </c>
      <c r="BC11" s="38">
        <v>99849</v>
      </c>
      <c r="BD11" s="38">
        <v>55820</v>
      </c>
      <c r="BE11" s="29">
        <f t="shared" si="29"/>
        <v>-0.44095584332341797</v>
      </c>
      <c r="BF11" s="38">
        <f t="shared" si="30"/>
        <v>556296</v>
      </c>
      <c r="BG11" s="38">
        <f t="shared" si="31"/>
        <v>436113</v>
      </c>
      <c r="BH11" s="29">
        <f t="shared" si="32"/>
        <v>-0.21604145994218901</v>
      </c>
      <c r="BI11" s="102">
        <v>150005</v>
      </c>
      <c r="BJ11" s="111">
        <v>125373</v>
      </c>
      <c r="BK11" s="22">
        <v>146730</v>
      </c>
      <c r="BL11" s="22">
        <v>978404</v>
      </c>
      <c r="BM11" s="96">
        <f t="shared" si="33"/>
        <v>0.43611299999999997</v>
      </c>
      <c r="BN11" s="22"/>
      <c r="BO11" s="22"/>
    </row>
    <row r="12" spans="1:67">
      <c r="A12" s="80" t="s">
        <v>29</v>
      </c>
      <c r="B12" s="80" t="s">
        <v>29</v>
      </c>
      <c r="C12" s="81" t="s">
        <v>229</v>
      </c>
      <c r="D12" s="33" t="s">
        <v>84</v>
      </c>
      <c r="E12" s="33" t="s">
        <v>84</v>
      </c>
      <c r="F12" s="176" t="s">
        <v>230</v>
      </c>
      <c r="G12" s="176" t="s">
        <v>230</v>
      </c>
      <c r="H12" s="22" t="s">
        <v>223</v>
      </c>
      <c r="I12" s="110">
        <v>60</v>
      </c>
      <c r="J12" s="111">
        <v>40400</v>
      </c>
      <c r="K12" s="111">
        <v>11976</v>
      </c>
      <c r="L12" s="29">
        <f t="shared" si="0"/>
        <v>-0.70356435643564397</v>
      </c>
      <c r="M12" s="22"/>
      <c r="N12" s="22">
        <v>18243</v>
      </c>
      <c r="O12" s="29" t="e">
        <f t="shared" si="1"/>
        <v>#DIV/0!</v>
      </c>
      <c r="P12" s="22">
        <f t="shared" si="2"/>
        <v>40400</v>
      </c>
      <c r="Q12" s="22">
        <f t="shared" si="3"/>
        <v>30219</v>
      </c>
      <c r="R12" s="29">
        <f t="shared" si="4"/>
        <v>-0.25200495049504901</v>
      </c>
      <c r="S12" s="38">
        <v>70354</v>
      </c>
      <c r="T12" s="38">
        <v>20557</v>
      </c>
      <c r="U12" s="29">
        <f t="shared" si="5"/>
        <v>-0.70780623702987699</v>
      </c>
      <c r="V12" s="38">
        <f t="shared" si="6"/>
        <v>110754</v>
      </c>
      <c r="W12" s="38">
        <f t="shared" si="7"/>
        <v>50776</v>
      </c>
      <c r="X12" s="29">
        <f t="shared" si="8"/>
        <v>-0.541542517651733</v>
      </c>
      <c r="Y12" s="22">
        <v>51905</v>
      </c>
      <c r="Z12" s="22">
        <v>28765</v>
      </c>
      <c r="AA12" s="29">
        <f t="shared" si="9"/>
        <v>-0.44581446874096903</v>
      </c>
      <c r="AB12" s="22">
        <f t="shared" si="10"/>
        <v>162659</v>
      </c>
      <c r="AC12" s="22">
        <f t="shared" si="11"/>
        <v>79541</v>
      </c>
      <c r="AD12" s="29">
        <f t="shared" si="12"/>
        <v>-0.510995395274777</v>
      </c>
      <c r="AE12" s="22">
        <v>33354</v>
      </c>
      <c r="AF12" s="22">
        <v>28316</v>
      </c>
      <c r="AG12" s="29">
        <f t="shared" si="13"/>
        <v>-0.15104635126221699</v>
      </c>
      <c r="AH12" s="22">
        <f t="shared" si="14"/>
        <v>196013</v>
      </c>
      <c r="AI12" s="22">
        <f t="shared" si="15"/>
        <v>107857</v>
      </c>
      <c r="AJ12" s="29">
        <f t="shared" si="16"/>
        <v>-0.449745680133461</v>
      </c>
      <c r="AK12" s="22">
        <v>35992</v>
      </c>
      <c r="AL12" s="22">
        <v>46365</v>
      </c>
      <c r="AM12" s="29">
        <f t="shared" si="17"/>
        <v>0.28820293398532998</v>
      </c>
      <c r="AN12" s="22">
        <f t="shared" si="18"/>
        <v>232005</v>
      </c>
      <c r="AO12" s="22">
        <f t="shared" si="19"/>
        <v>154222</v>
      </c>
      <c r="AP12" s="29">
        <f t="shared" si="20"/>
        <v>-0.33526432619986601</v>
      </c>
      <c r="AQ12" s="22">
        <v>61052</v>
      </c>
      <c r="AR12" s="22">
        <v>39090.400000000001</v>
      </c>
      <c r="AS12" s="29">
        <f t="shared" si="21"/>
        <v>-0.35971958330603399</v>
      </c>
      <c r="AT12" s="22">
        <f t="shared" si="22"/>
        <v>293057</v>
      </c>
      <c r="AU12" s="22">
        <f t="shared" si="23"/>
        <v>193312.4</v>
      </c>
      <c r="AV12" s="29">
        <f t="shared" si="24"/>
        <v>-0.34035904278007401</v>
      </c>
      <c r="AW12" s="38">
        <v>46235</v>
      </c>
      <c r="AX12" s="38">
        <v>23559</v>
      </c>
      <c r="AY12" s="29">
        <f t="shared" si="25"/>
        <v>-0.49045095706715702</v>
      </c>
      <c r="AZ12" s="38">
        <f t="shared" si="26"/>
        <v>339292</v>
      </c>
      <c r="BA12" s="38">
        <f t="shared" si="27"/>
        <v>216871.4</v>
      </c>
      <c r="BB12" s="29">
        <f t="shared" si="28"/>
        <v>-0.360811926010634</v>
      </c>
      <c r="BC12" s="38">
        <v>119225.17</v>
      </c>
      <c r="BD12" s="38">
        <v>24940</v>
      </c>
      <c r="BE12" s="29">
        <f t="shared" si="29"/>
        <v>-0.79081598290025501</v>
      </c>
      <c r="BF12" s="38">
        <f t="shared" si="30"/>
        <v>458517.17</v>
      </c>
      <c r="BG12" s="38">
        <f t="shared" si="31"/>
        <v>241811.4</v>
      </c>
      <c r="BH12" s="29">
        <f t="shared" si="32"/>
        <v>-0.472623020856558</v>
      </c>
      <c r="BI12" s="102">
        <v>89725</v>
      </c>
      <c r="BJ12" s="111">
        <v>58495</v>
      </c>
      <c r="BK12" s="22">
        <v>53761</v>
      </c>
      <c r="BL12" s="22">
        <v>708006.17</v>
      </c>
      <c r="BM12" s="96">
        <f t="shared" si="33"/>
        <v>0.40301900000000002</v>
      </c>
      <c r="BN12" s="22">
        <v>47508</v>
      </c>
      <c r="BO12" s="22"/>
    </row>
    <row r="13" spans="1:67">
      <c r="A13" s="80" t="s">
        <v>29</v>
      </c>
      <c r="B13" s="80" t="s">
        <v>29</v>
      </c>
      <c r="C13" s="81" t="s">
        <v>231</v>
      </c>
      <c r="D13" s="33" t="s">
        <v>65</v>
      </c>
      <c r="E13" s="33" t="s">
        <v>65</v>
      </c>
      <c r="F13" s="176" t="s">
        <v>232</v>
      </c>
      <c r="G13" s="176" t="s">
        <v>232</v>
      </c>
      <c r="H13" s="22" t="s">
        <v>223</v>
      </c>
      <c r="I13" s="110">
        <v>100</v>
      </c>
      <c r="J13" s="111"/>
      <c r="K13" s="111">
        <v>3</v>
      </c>
      <c r="L13" s="29" t="e">
        <f t="shared" si="0"/>
        <v>#DIV/0!</v>
      </c>
      <c r="M13" s="22"/>
      <c r="N13" s="22"/>
      <c r="O13" s="29" t="e">
        <f t="shared" si="1"/>
        <v>#DIV/0!</v>
      </c>
      <c r="P13" s="22">
        <f t="shared" si="2"/>
        <v>0</v>
      </c>
      <c r="Q13" s="22">
        <f t="shared" si="3"/>
        <v>3</v>
      </c>
      <c r="R13" s="29" t="e">
        <f t="shared" si="4"/>
        <v>#DIV/0!</v>
      </c>
      <c r="S13" s="38">
        <v>40000</v>
      </c>
      <c r="T13" s="38"/>
      <c r="U13" s="29">
        <f t="shared" si="5"/>
        <v>-1</v>
      </c>
      <c r="V13" s="38">
        <f t="shared" si="6"/>
        <v>40000</v>
      </c>
      <c r="W13" s="38">
        <f t="shared" si="7"/>
        <v>3</v>
      </c>
      <c r="X13" s="29">
        <f t="shared" si="8"/>
        <v>-0.99992499999999995</v>
      </c>
      <c r="Y13" s="22"/>
      <c r="Z13" s="22"/>
      <c r="AA13" s="29" t="e">
        <f t="shared" si="9"/>
        <v>#DIV/0!</v>
      </c>
      <c r="AB13" s="22">
        <f t="shared" si="10"/>
        <v>40000</v>
      </c>
      <c r="AC13" s="22">
        <f t="shared" si="11"/>
        <v>3</v>
      </c>
      <c r="AD13" s="29">
        <f t="shared" si="12"/>
        <v>-0.99992499999999995</v>
      </c>
      <c r="AE13" s="22">
        <v>80000</v>
      </c>
      <c r="AF13" s="22">
        <v>13300</v>
      </c>
      <c r="AG13" s="29">
        <f t="shared" si="13"/>
        <v>-0.83374999999999999</v>
      </c>
      <c r="AH13" s="22">
        <f t="shared" si="14"/>
        <v>120000</v>
      </c>
      <c r="AI13" s="22">
        <f t="shared" si="15"/>
        <v>13303</v>
      </c>
      <c r="AJ13" s="29">
        <f t="shared" si="16"/>
        <v>-0.88914166666666705</v>
      </c>
      <c r="AK13" s="22"/>
      <c r="AL13" s="22">
        <v>63499</v>
      </c>
      <c r="AM13" s="29" t="e">
        <f t="shared" si="17"/>
        <v>#DIV/0!</v>
      </c>
      <c r="AN13" s="22">
        <f t="shared" si="18"/>
        <v>120000</v>
      </c>
      <c r="AO13" s="22">
        <f t="shared" si="19"/>
        <v>76802</v>
      </c>
      <c r="AP13" s="29">
        <f t="shared" si="20"/>
        <v>-0.35998333333333299</v>
      </c>
      <c r="AQ13" s="22">
        <v>35000</v>
      </c>
      <c r="AR13" s="22">
        <v>32380</v>
      </c>
      <c r="AS13" s="29">
        <f t="shared" si="21"/>
        <v>-7.4857142857142803E-2</v>
      </c>
      <c r="AT13" s="22">
        <f t="shared" si="22"/>
        <v>155000</v>
      </c>
      <c r="AU13" s="22">
        <f t="shared" si="23"/>
        <v>109182</v>
      </c>
      <c r="AV13" s="29">
        <f t="shared" si="24"/>
        <v>-0.29559999999999997</v>
      </c>
      <c r="AW13" s="38">
        <v>316</v>
      </c>
      <c r="AX13" s="38">
        <v>10000</v>
      </c>
      <c r="AY13" s="29">
        <f t="shared" si="25"/>
        <v>30.645569620253202</v>
      </c>
      <c r="AZ13" s="38">
        <f t="shared" si="26"/>
        <v>155316</v>
      </c>
      <c r="BA13" s="38">
        <f t="shared" si="27"/>
        <v>119182</v>
      </c>
      <c r="BB13" s="29">
        <f t="shared" si="28"/>
        <v>-0.23264827834865701</v>
      </c>
      <c r="BC13" s="38">
        <v>78510</v>
      </c>
      <c r="BD13" s="38">
        <v>30000</v>
      </c>
      <c r="BE13" s="29">
        <f t="shared" si="29"/>
        <v>-0.61788307222009897</v>
      </c>
      <c r="BF13" s="38">
        <f t="shared" si="30"/>
        <v>233826</v>
      </c>
      <c r="BG13" s="38">
        <f t="shared" si="31"/>
        <v>149182</v>
      </c>
      <c r="BH13" s="29">
        <f t="shared" si="32"/>
        <v>-0.36199567199541499</v>
      </c>
      <c r="BI13" s="102">
        <v>140894</v>
      </c>
      <c r="BJ13" s="111">
        <v>84652</v>
      </c>
      <c r="BK13" s="22">
        <v>183503</v>
      </c>
      <c r="BL13" s="22">
        <v>691204</v>
      </c>
      <c r="BM13" s="96">
        <f t="shared" si="33"/>
        <v>0.14918200000000001</v>
      </c>
      <c r="BN13" s="22">
        <v>48329</v>
      </c>
      <c r="BO13" s="22"/>
    </row>
    <row r="14" spans="1:67">
      <c r="A14" s="80" t="s">
        <v>29</v>
      </c>
      <c r="B14" s="80" t="s">
        <v>29</v>
      </c>
      <c r="C14" s="81" t="s">
        <v>233</v>
      </c>
      <c r="D14" s="33" t="s">
        <v>61</v>
      </c>
      <c r="E14" s="33" t="s">
        <v>61</v>
      </c>
      <c r="F14" s="33" t="s">
        <v>226</v>
      </c>
      <c r="G14" s="33" t="s">
        <v>226</v>
      </c>
      <c r="H14" s="33" t="s">
        <v>214</v>
      </c>
      <c r="I14" s="110">
        <v>6</v>
      </c>
      <c r="J14" s="111"/>
      <c r="K14" s="111"/>
      <c r="L14" s="29" t="e">
        <f t="shared" si="0"/>
        <v>#DIV/0!</v>
      </c>
      <c r="M14" s="22"/>
      <c r="N14" s="22"/>
      <c r="O14" s="29" t="e">
        <f t="shared" si="1"/>
        <v>#DIV/0!</v>
      </c>
      <c r="P14" s="22">
        <f t="shared" si="2"/>
        <v>0</v>
      </c>
      <c r="Q14" s="22">
        <f t="shared" si="3"/>
        <v>0</v>
      </c>
      <c r="R14" s="29" t="e">
        <f t="shared" si="4"/>
        <v>#DIV/0!</v>
      </c>
      <c r="S14" s="38"/>
      <c r="T14" s="38">
        <v>3330</v>
      </c>
      <c r="U14" s="29" t="e">
        <f t="shared" si="5"/>
        <v>#DIV/0!</v>
      </c>
      <c r="V14" s="38">
        <f t="shared" si="6"/>
        <v>0</v>
      </c>
      <c r="W14" s="38">
        <f t="shared" si="7"/>
        <v>3330</v>
      </c>
      <c r="X14" s="29" t="e">
        <f t="shared" si="8"/>
        <v>#DIV/0!</v>
      </c>
      <c r="Y14" s="22"/>
      <c r="Z14" s="22">
        <v>4094</v>
      </c>
      <c r="AA14" s="29" t="e">
        <f t="shared" si="9"/>
        <v>#DIV/0!</v>
      </c>
      <c r="AB14" s="22">
        <f t="shared" si="10"/>
        <v>0</v>
      </c>
      <c r="AC14" s="22">
        <f t="shared" si="11"/>
        <v>7424</v>
      </c>
      <c r="AD14" s="29" t="e">
        <f t="shared" si="12"/>
        <v>#DIV/0!</v>
      </c>
      <c r="AE14" s="22"/>
      <c r="AF14" s="22"/>
      <c r="AG14" s="29" t="e">
        <f t="shared" si="13"/>
        <v>#DIV/0!</v>
      </c>
      <c r="AH14" s="22">
        <f t="shared" si="14"/>
        <v>0</v>
      </c>
      <c r="AI14" s="22">
        <f t="shared" si="15"/>
        <v>7424</v>
      </c>
      <c r="AJ14" s="29" t="e">
        <f t="shared" si="16"/>
        <v>#DIV/0!</v>
      </c>
      <c r="AK14" s="22"/>
      <c r="AL14" s="22">
        <v>17396</v>
      </c>
      <c r="AM14" s="29" t="e">
        <f t="shared" si="17"/>
        <v>#DIV/0!</v>
      </c>
      <c r="AN14" s="22">
        <f t="shared" si="18"/>
        <v>0</v>
      </c>
      <c r="AO14" s="22">
        <f t="shared" si="19"/>
        <v>24820</v>
      </c>
      <c r="AP14" s="29" t="e">
        <f t="shared" si="20"/>
        <v>#DIV/0!</v>
      </c>
      <c r="AQ14" s="22">
        <v>22632</v>
      </c>
      <c r="AR14" s="22"/>
      <c r="AS14" s="29">
        <f t="shared" si="21"/>
        <v>-1</v>
      </c>
      <c r="AT14" s="22">
        <f t="shared" si="22"/>
        <v>22632</v>
      </c>
      <c r="AU14" s="22">
        <f t="shared" si="23"/>
        <v>24820</v>
      </c>
      <c r="AV14" s="29">
        <f t="shared" si="24"/>
        <v>9.6677271120537298E-2</v>
      </c>
      <c r="AW14" s="38"/>
      <c r="AX14" s="38"/>
      <c r="AY14" s="29" t="e">
        <f t="shared" si="25"/>
        <v>#DIV/0!</v>
      </c>
      <c r="AZ14" s="38">
        <f t="shared" si="26"/>
        <v>22632</v>
      </c>
      <c r="BA14" s="38">
        <f t="shared" si="27"/>
        <v>24820</v>
      </c>
      <c r="BB14" s="29">
        <f t="shared" si="28"/>
        <v>9.6677271120537298E-2</v>
      </c>
      <c r="BC14" s="38">
        <v>5350</v>
      </c>
      <c r="BD14" s="38"/>
      <c r="BE14" s="29">
        <f t="shared" si="29"/>
        <v>-1</v>
      </c>
      <c r="BF14" s="38">
        <f t="shared" si="30"/>
        <v>27982</v>
      </c>
      <c r="BG14" s="38">
        <f t="shared" si="31"/>
        <v>24820</v>
      </c>
      <c r="BH14" s="29">
        <f t="shared" si="32"/>
        <v>-0.113001215066829</v>
      </c>
      <c r="BI14" s="102">
        <v>9401</v>
      </c>
      <c r="BJ14" s="111">
        <v>18114</v>
      </c>
      <c r="BK14" s="22">
        <v>2688</v>
      </c>
      <c r="BL14" s="22">
        <v>58185</v>
      </c>
      <c r="BM14" s="96">
        <f t="shared" si="33"/>
        <v>0.41366666666666702</v>
      </c>
      <c r="BN14" s="22"/>
      <c r="BO14" s="22"/>
    </row>
    <row r="15" spans="1:67">
      <c r="A15" s="80" t="s">
        <v>29</v>
      </c>
      <c r="B15" s="80" t="s">
        <v>29</v>
      </c>
      <c r="C15" s="81" t="s">
        <v>234</v>
      </c>
      <c r="D15" s="33" t="s">
        <v>61</v>
      </c>
      <c r="E15" s="33" t="s">
        <v>61</v>
      </c>
      <c r="F15" s="33" t="s">
        <v>217</v>
      </c>
      <c r="G15" s="33" t="s">
        <v>235</v>
      </c>
      <c r="H15" s="33" t="s">
        <v>219</v>
      </c>
      <c r="I15" s="110">
        <v>3.2038000000000002</v>
      </c>
      <c r="J15" s="111"/>
      <c r="K15" s="111">
        <v>3778</v>
      </c>
      <c r="L15" s="29" t="e">
        <f t="shared" si="0"/>
        <v>#DIV/0!</v>
      </c>
      <c r="M15" s="22"/>
      <c r="N15" s="22"/>
      <c r="O15" s="29" t="e">
        <f t="shared" si="1"/>
        <v>#DIV/0!</v>
      </c>
      <c r="P15" s="22">
        <f t="shared" si="2"/>
        <v>0</v>
      </c>
      <c r="Q15" s="22">
        <f t="shared" si="3"/>
        <v>3778</v>
      </c>
      <c r="R15" s="29" t="e">
        <f t="shared" si="4"/>
        <v>#DIV/0!</v>
      </c>
      <c r="S15" s="38"/>
      <c r="T15" s="38"/>
      <c r="U15" s="29" t="e">
        <f t="shared" si="5"/>
        <v>#DIV/0!</v>
      </c>
      <c r="V15" s="38">
        <f t="shared" si="6"/>
        <v>0</v>
      </c>
      <c r="W15" s="38">
        <f t="shared" si="7"/>
        <v>3778</v>
      </c>
      <c r="X15" s="29" t="e">
        <f t="shared" si="8"/>
        <v>#DIV/0!</v>
      </c>
      <c r="Y15" s="22"/>
      <c r="Z15" s="22"/>
      <c r="AA15" s="29" t="e">
        <f t="shared" si="9"/>
        <v>#DIV/0!</v>
      </c>
      <c r="AB15" s="22">
        <f t="shared" si="10"/>
        <v>0</v>
      </c>
      <c r="AC15" s="22">
        <f t="shared" si="11"/>
        <v>3778</v>
      </c>
      <c r="AD15" s="29" t="e">
        <f t="shared" si="12"/>
        <v>#DIV/0!</v>
      </c>
      <c r="AE15" s="22">
        <v>2594</v>
      </c>
      <c r="AF15" s="22"/>
      <c r="AG15" s="29">
        <f t="shared" si="13"/>
        <v>-1</v>
      </c>
      <c r="AH15" s="22">
        <f t="shared" si="14"/>
        <v>2594</v>
      </c>
      <c r="AI15" s="22">
        <f t="shared" si="15"/>
        <v>3778</v>
      </c>
      <c r="AJ15" s="29">
        <f t="shared" si="16"/>
        <v>0.45643793369313801</v>
      </c>
      <c r="AK15" s="22"/>
      <c r="AL15" s="22"/>
      <c r="AM15" s="29" t="e">
        <f t="shared" si="17"/>
        <v>#DIV/0!</v>
      </c>
      <c r="AN15" s="22">
        <f t="shared" si="18"/>
        <v>2594</v>
      </c>
      <c r="AO15" s="22">
        <f t="shared" si="19"/>
        <v>3778</v>
      </c>
      <c r="AP15" s="29">
        <f t="shared" si="20"/>
        <v>0.45643793369313801</v>
      </c>
      <c r="AQ15" s="22"/>
      <c r="AR15" s="22"/>
      <c r="AS15" s="29" t="e">
        <f t="shared" si="21"/>
        <v>#DIV/0!</v>
      </c>
      <c r="AT15" s="22">
        <f t="shared" si="22"/>
        <v>2594</v>
      </c>
      <c r="AU15" s="22">
        <f t="shared" si="23"/>
        <v>3778</v>
      </c>
      <c r="AV15" s="29">
        <f t="shared" si="24"/>
        <v>0.45643793369313801</v>
      </c>
      <c r="AW15" s="38"/>
      <c r="AX15" s="38"/>
      <c r="AY15" s="29" t="e">
        <f t="shared" si="25"/>
        <v>#DIV/0!</v>
      </c>
      <c r="AZ15" s="38">
        <f t="shared" si="26"/>
        <v>2594</v>
      </c>
      <c r="BA15" s="38">
        <f t="shared" si="27"/>
        <v>3778</v>
      </c>
      <c r="BB15" s="29">
        <f t="shared" si="28"/>
        <v>0.45643793369313801</v>
      </c>
      <c r="BC15" s="38"/>
      <c r="BD15" s="38"/>
      <c r="BE15" s="29" t="e">
        <f t="shared" si="29"/>
        <v>#DIV/0!</v>
      </c>
      <c r="BF15" s="38">
        <f t="shared" si="30"/>
        <v>2594</v>
      </c>
      <c r="BG15" s="38">
        <f t="shared" si="31"/>
        <v>3778</v>
      </c>
      <c r="BH15" s="29">
        <f t="shared" si="32"/>
        <v>0.45643793369313801</v>
      </c>
      <c r="BI15" s="102"/>
      <c r="BJ15" s="111">
        <v>10875</v>
      </c>
      <c r="BK15" s="22">
        <v>17745</v>
      </c>
      <c r="BL15" s="22">
        <v>31214</v>
      </c>
      <c r="BM15" s="96">
        <f t="shared" si="33"/>
        <v>0.117922467070354</v>
      </c>
      <c r="BN15" s="22"/>
      <c r="BO15" s="22"/>
    </row>
    <row r="16" spans="1:67">
      <c r="A16" s="80" t="s">
        <v>29</v>
      </c>
      <c r="B16" s="80" t="s">
        <v>29</v>
      </c>
      <c r="C16" s="81" t="s">
        <v>236</v>
      </c>
      <c r="D16" s="33" t="s">
        <v>61</v>
      </c>
      <c r="E16" s="33" t="s">
        <v>61</v>
      </c>
      <c r="F16" s="33" t="s">
        <v>217</v>
      </c>
      <c r="G16" s="33" t="s">
        <v>235</v>
      </c>
      <c r="H16" s="33" t="s">
        <v>219</v>
      </c>
      <c r="I16" s="110"/>
      <c r="J16" s="111">
        <v>6012</v>
      </c>
      <c r="K16" s="111"/>
      <c r="L16" s="29">
        <f t="shared" si="0"/>
        <v>-1</v>
      </c>
      <c r="M16" s="22"/>
      <c r="N16" s="22"/>
      <c r="O16" s="29" t="e">
        <f t="shared" si="1"/>
        <v>#DIV/0!</v>
      </c>
      <c r="P16" s="22">
        <f t="shared" si="2"/>
        <v>6012</v>
      </c>
      <c r="Q16" s="22">
        <f t="shared" si="3"/>
        <v>0</v>
      </c>
      <c r="R16" s="29">
        <f t="shared" si="4"/>
        <v>-1</v>
      </c>
      <c r="S16" s="38"/>
      <c r="T16" s="38">
        <v>4898</v>
      </c>
      <c r="U16" s="29" t="e">
        <f t="shared" si="5"/>
        <v>#DIV/0!</v>
      </c>
      <c r="V16" s="38">
        <f t="shared" si="6"/>
        <v>6012</v>
      </c>
      <c r="W16" s="38">
        <f t="shared" si="7"/>
        <v>4898</v>
      </c>
      <c r="X16" s="29">
        <f t="shared" si="8"/>
        <v>-0.185296074517631</v>
      </c>
      <c r="Y16" s="22"/>
      <c r="Z16" s="22"/>
      <c r="AA16" s="29" t="e">
        <f t="shared" si="9"/>
        <v>#DIV/0!</v>
      </c>
      <c r="AB16" s="22">
        <f t="shared" si="10"/>
        <v>6012</v>
      </c>
      <c r="AC16" s="22">
        <f t="shared" si="11"/>
        <v>4898</v>
      </c>
      <c r="AD16" s="29">
        <f t="shared" si="12"/>
        <v>-0.185296074517631</v>
      </c>
      <c r="AE16" s="22">
        <v>3076</v>
      </c>
      <c r="AF16" s="22"/>
      <c r="AG16" s="29">
        <f t="shared" si="13"/>
        <v>-1</v>
      </c>
      <c r="AH16" s="22">
        <f t="shared" si="14"/>
        <v>9088</v>
      </c>
      <c r="AI16" s="22">
        <f t="shared" si="15"/>
        <v>4898</v>
      </c>
      <c r="AJ16" s="29">
        <f t="shared" si="16"/>
        <v>-0.46104753521126801</v>
      </c>
      <c r="AK16" s="22">
        <v>3076</v>
      </c>
      <c r="AL16" s="22"/>
      <c r="AM16" s="29">
        <f t="shared" si="17"/>
        <v>-1</v>
      </c>
      <c r="AN16" s="22">
        <f t="shared" si="18"/>
        <v>12164</v>
      </c>
      <c r="AO16" s="22">
        <f t="shared" si="19"/>
        <v>4898</v>
      </c>
      <c r="AP16" s="29">
        <f t="shared" si="20"/>
        <v>-0.59733640249917797</v>
      </c>
      <c r="AQ16" s="22"/>
      <c r="AR16" s="22"/>
      <c r="AS16" s="29" t="e">
        <f t="shared" si="21"/>
        <v>#DIV/0!</v>
      </c>
      <c r="AT16" s="22">
        <f t="shared" si="22"/>
        <v>12164</v>
      </c>
      <c r="AU16" s="22">
        <f t="shared" si="23"/>
        <v>4898</v>
      </c>
      <c r="AV16" s="29">
        <f t="shared" si="24"/>
        <v>-0.59733640249917797</v>
      </c>
      <c r="AW16" s="38"/>
      <c r="AX16" s="38"/>
      <c r="AY16" s="29" t="e">
        <f t="shared" si="25"/>
        <v>#DIV/0!</v>
      </c>
      <c r="AZ16" s="38">
        <f t="shared" si="26"/>
        <v>12164</v>
      </c>
      <c r="BA16" s="38">
        <f t="shared" si="27"/>
        <v>4898</v>
      </c>
      <c r="BB16" s="29">
        <f t="shared" si="28"/>
        <v>-0.59733640249917797</v>
      </c>
      <c r="BC16" s="38"/>
      <c r="BD16" s="38"/>
      <c r="BE16" s="29" t="e">
        <f t="shared" si="29"/>
        <v>#DIV/0!</v>
      </c>
      <c r="BF16" s="38">
        <f t="shared" si="30"/>
        <v>12164</v>
      </c>
      <c r="BG16" s="38">
        <f t="shared" si="31"/>
        <v>4898</v>
      </c>
      <c r="BH16" s="29">
        <f t="shared" si="32"/>
        <v>-0.59733640249917797</v>
      </c>
      <c r="BI16" s="102"/>
      <c r="BJ16" s="111"/>
      <c r="BK16" s="22"/>
      <c r="BL16" s="22">
        <v>12164</v>
      </c>
      <c r="BM16" s="96" t="e">
        <f t="shared" si="33"/>
        <v>#DIV/0!</v>
      </c>
      <c r="BN16" s="22"/>
      <c r="BO16" s="22"/>
    </row>
    <row r="17" spans="1:67">
      <c r="A17" s="80" t="s">
        <v>29</v>
      </c>
      <c r="B17" s="80" t="s">
        <v>29</v>
      </c>
      <c r="C17" s="81" t="s">
        <v>237</v>
      </c>
      <c r="D17" s="33" t="s">
        <v>88</v>
      </c>
      <c r="E17" s="33" t="s">
        <v>88</v>
      </c>
      <c r="F17" s="33" t="s">
        <v>217</v>
      </c>
      <c r="G17" s="176" t="s">
        <v>80</v>
      </c>
      <c r="H17" s="33" t="s">
        <v>88</v>
      </c>
      <c r="I17" s="110"/>
      <c r="J17" s="111">
        <v>63679.7</v>
      </c>
      <c r="K17" s="111">
        <v>24583</v>
      </c>
      <c r="L17" s="29">
        <f t="shared" si="0"/>
        <v>-0.61395860847334405</v>
      </c>
      <c r="M17" s="22">
        <v>31724</v>
      </c>
      <c r="N17" s="22">
        <f>51707.42</f>
        <v>51707.42</v>
      </c>
      <c r="O17" s="29">
        <f t="shared" si="1"/>
        <v>0.62991489093430797</v>
      </c>
      <c r="P17" s="22">
        <f t="shared" si="2"/>
        <v>95403.7</v>
      </c>
      <c r="Q17" s="22">
        <f t="shared" si="3"/>
        <v>76290.42</v>
      </c>
      <c r="R17" s="29">
        <f t="shared" si="4"/>
        <v>-0.2003410769184</v>
      </c>
      <c r="S17" s="38">
        <v>16191</v>
      </c>
      <c r="T17" s="38">
        <v>15078</v>
      </c>
      <c r="U17" s="29">
        <f t="shared" si="5"/>
        <v>-6.8741893644617399E-2</v>
      </c>
      <c r="V17" s="38">
        <f t="shared" si="6"/>
        <v>111594.7</v>
      </c>
      <c r="W17" s="38">
        <f t="shared" si="7"/>
        <v>91368.42</v>
      </c>
      <c r="X17" s="29">
        <f t="shared" si="8"/>
        <v>-0.181247675740873</v>
      </c>
      <c r="Y17" s="22">
        <v>75898.399999999994</v>
      </c>
      <c r="Z17" s="22">
        <v>18492.96</v>
      </c>
      <c r="AA17" s="29">
        <f t="shared" si="9"/>
        <v>-0.75634585182296299</v>
      </c>
      <c r="AB17" s="22">
        <f t="shared" si="10"/>
        <v>187493.1</v>
      </c>
      <c r="AC17" s="22">
        <f t="shared" si="11"/>
        <v>109861.38</v>
      </c>
      <c r="AD17" s="29">
        <f t="shared" si="12"/>
        <v>-0.41405107707963601</v>
      </c>
      <c r="AE17" s="22">
        <v>15950</v>
      </c>
      <c r="AF17" s="22">
        <v>98516.3</v>
      </c>
      <c r="AG17" s="29">
        <f t="shared" si="13"/>
        <v>5.1765705329153597</v>
      </c>
      <c r="AH17" s="22">
        <f t="shared" si="14"/>
        <v>203443.1</v>
      </c>
      <c r="AI17" s="22">
        <f t="shared" si="15"/>
        <v>208377.68</v>
      </c>
      <c r="AJ17" s="29">
        <f t="shared" si="16"/>
        <v>2.4255332326336101E-2</v>
      </c>
      <c r="AK17" s="22">
        <v>24245.1</v>
      </c>
      <c r="AL17" s="22">
        <v>82673.2</v>
      </c>
      <c r="AM17" s="29">
        <f t="shared" si="17"/>
        <v>2.4098931330454398</v>
      </c>
      <c r="AN17" s="22">
        <f t="shared" si="18"/>
        <v>227688.2</v>
      </c>
      <c r="AO17" s="22">
        <f t="shared" si="19"/>
        <v>291050.88</v>
      </c>
      <c r="AP17" s="29">
        <f t="shared" si="20"/>
        <v>0.27828706098954598</v>
      </c>
      <c r="AQ17" s="22">
        <v>67901</v>
      </c>
      <c r="AR17" s="22">
        <v>89412</v>
      </c>
      <c r="AS17" s="29">
        <f t="shared" si="21"/>
        <v>0.316799458034491</v>
      </c>
      <c r="AT17" s="22">
        <f t="shared" si="22"/>
        <v>295589.2</v>
      </c>
      <c r="AU17" s="22">
        <f t="shared" si="23"/>
        <v>380462.88</v>
      </c>
      <c r="AV17" s="29">
        <f t="shared" si="24"/>
        <v>0.28713390069731898</v>
      </c>
      <c r="AW17" s="38">
        <v>61701</v>
      </c>
      <c r="AX17" s="38">
        <v>67262.720000000001</v>
      </c>
      <c r="AY17" s="29">
        <f t="shared" si="25"/>
        <v>9.0139868073451104E-2</v>
      </c>
      <c r="AZ17" s="38">
        <f t="shared" si="26"/>
        <v>357290.2</v>
      </c>
      <c r="BA17" s="38">
        <f t="shared" si="27"/>
        <v>447725.6</v>
      </c>
      <c r="BB17" s="29">
        <f t="shared" si="28"/>
        <v>0.25311469500143002</v>
      </c>
      <c r="BC17" s="38">
        <v>8251.56</v>
      </c>
      <c r="BD17" s="38">
        <v>76510.600000000006</v>
      </c>
      <c r="BE17" s="29">
        <f t="shared" si="29"/>
        <v>8.2722588213622608</v>
      </c>
      <c r="BF17" s="38">
        <f t="shared" si="30"/>
        <v>365541.76</v>
      </c>
      <c r="BG17" s="38">
        <f t="shared" si="31"/>
        <v>524236.2</v>
      </c>
      <c r="BH17" s="29">
        <f t="shared" si="32"/>
        <v>0.43413491251998099</v>
      </c>
      <c r="BI17" s="102">
        <v>119844</v>
      </c>
      <c r="BJ17" s="111">
        <v>114637.78</v>
      </c>
      <c r="BK17" s="22">
        <v>130779.56</v>
      </c>
      <c r="BL17" s="22">
        <v>730803.1</v>
      </c>
      <c r="BM17" s="96" t="e">
        <f t="shared" si="33"/>
        <v>#DIV/0!</v>
      </c>
      <c r="BN17" s="22"/>
      <c r="BO17" s="22"/>
    </row>
    <row r="18" spans="1:67">
      <c r="A18" s="80" t="s">
        <v>29</v>
      </c>
      <c r="B18" s="80" t="s">
        <v>29</v>
      </c>
      <c r="C18" s="81" t="s">
        <v>238</v>
      </c>
      <c r="D18" s="33" t="s">
        <v>61</v>
      </c>
      <c r="E18" s="33" t="s">
        <v>61</v>
      </c>
      <c r="F18" s="176" t="s">
        <v>230</v>
      </c>
      <c r="G18" s="176" t="s">
        <v>230</v>
      </c>
      <c r="H18" s="22" t="s">
        <v>223</v>
      </c>
      <c r="I18" s="110">
        <v>3</v>
      </c>
      <c r="J18" s="111"/>
      <c r="K18" s="111"/>
      <c r="L18" s="29" t="e">
        <f t="shared" si="0"/>
        <v>#DIV/0!</v>
      </c>
      <c r="M18" s="22"/>
      <c r="N18" s="22"/>
      <c r="O18" s="29" t="e">
        <f t="shared" si="1"/>
        <v>#DIV/0!</v>
      </c>
      <c r="P18" s="22">
        <f t="shared" si="2"/>
        <v>0</v>
      </c>
      <c r="Q18" s="22">
        <f t="shared" si="3"/>
        <v>0</v>
      </c>
      <c r="R18" s="29" t="e">
        <f t="shared" si="4"/>
        <v>#DIV/0!</v>
      </c>
      <c r="S18" s="38"/>
      <c r="T18" s="38"/>
      <c r="U18" s="29" t="e">
        <f t="shared" si="5"/>
        <v>#DIV/0!</v>
      </c>
      <c r="V18" s="38">
        <f t="shared" si="6"/>
        <v>0</v>
      </c>
      <c r="W18" s="38">
        <f t="shared" si="7"/>
        <v>0</v>
      </c>
      <c r="X18" s="29" t="e">
        <f t="shared" si="8"/>
        <v>#DIV/0!</v>
      </c>
      <c r="Y18" s="22"/>
      <c r="Z18" s="22"/>
      <c r="AA18" s="29" t="e">
        <f t="shared" si="9"/>
        <v>#DIV/0!</v>
      </c>
      <c r="AB18" s="22">
        <f t="shared" si="10"/>
        <v>0</v>
      </c>
      <c r="AC18" s="22">
        <f t="shared" si="11"/>
        <v>0</v>
      </c>
      <c r="AD18" s="29" t="e">
        <f t="shared" si="12"/>
        <v>#DIV/0!</v>
      </c>
      <c r="AE18" s="22">
        <v>12524</v>
      </c>
      <c r="AF18" s="22"/>
      <c r="AG18" s="29">
        <f t="shared" si="13"/>
        <v>-1</v>
      </c>
      <c r="AH18" s="22">
        <f t="shared" si="14"/>
        <v>12524</v>
      </c>
      <c r="AI18" s="22">
        <f t="shared" si="15"/>
        <v>0</v>
      </c>
      <c r="AJ18" s="29">
        <f t="shared" si="16"/>
        <v>-1</v>
      </c>
      <c r="AK18" s="22"/>
      <c r="AL18" s="22"/>
      <c r="AM18" s="29" t="e">
        <f t="shared" si="17"/>
        <v>#DIV/0!</v>
      </c>
      <c r="AN18" s="22">
        <f t="shared" si="18"/>
        <v>12524</v>
      </c>
      <c r="AO18" s="22">
        <f t="shared" si="19"/>
        <v>0</v>
      </c>
      <c r="AP18" s="29">
        <f t="shared" si="20"/>
        <v>-1</v>
      </c>
      <c r="AQ18" s="22"/>
      <c r="AR18" s="22"/>
      <c r="AS18" s="29" t="e">
        <f t="shared" si="21"/>
        <v>#DIV/0!</v>
      </c>
      <c r="AT18" s="22">
        <f t="shared" si="22"/>
        <v>12524</v>
      </c>
      <c r="AU18" s="22">
        <f t="shared" si="23"/>
        <v>0</v>
      </c>
      <c r="AV18" s="29">
        <f t="shared" si="24"/>
        <v>-1</v>
      </c>
      <c r="AW18" s="38"/>
      <c r="AX18" s="38"/>
      <c r="AY18" s="29" t="e">
        <f t="shared" si="25"/>
        <v>#DIV/0!</v>
      </c>
      <c r="AZ18" s="38">
        <f t="shared" si="26"/>
        <v>12524</v>
      </c>
      <c r="BA18" s="38">
        <f t="shared" si="27"/>
        <v>0</v>
      </c>
      <c r="BB18" s="29">
        <f t="shared" si="28"/>
        <v>-1</v>
      </c>
      <c r="BC18" s="38"/>
      <c r="BD18" s="38">
        <v>7391</v>
      </c>
      <c r="BE18" s="29" t="e">
        <f t="shared" si="29"/>
        <v>#DIV/0!</v>
      </c>
      <c r="BF18" s="38">
        <f t="shared" si="30"/>
        <v>12524</v>
      </c>
      <c r="BG18" s="38">
        <f t="shared" si="31"/>
        <v>7391</v>
      </c>
      <c r="BH18" s="29">
        <f t="shared" si="32"/>
        <v>-0.40985308208240201</v>
      </c>
      <c r="BI18" s="102"/>
      <c r="BJ18" s="111"/>
      <c r="BK18" s="22"/>
      <c r="BL18" s="22">
        <v>12524</v>
      </c>
      <c r="BM18" s="96">
        <f t="shared" si="33"/>
        <v>0.24636666666666701</v>
      </c>
      <c r="BN18" s="22"/>
      <c r="BO18" s="22"/>
    </row>
    <row r="19" spans="1:67">
      <c r="A19" s="80" t="s">
        <v>29</v>
      </c>
      <c r="B19" s="80" t="s">
        <v>29</v>
      </c>
      <c r="C19" s="81" t="s">
        <v>239</v>
      </c>
      <c r="D19" s="33" t="s">
        <v>61</v>
      </c>
      <c r="E19" s="33" t="s">
        <v>61</v>
      </c>
      <c r="F19" s="33" t="s">
        <v>226</v>
      </c>
      <c r="G19" s="33" t="s">
        <v>226</v>
      </c>
      <c r="H19" s="33" t="s">
        <v>214</v>
      </c>
      <c r="I19" s="110">
        <v>1</v>
      </c>
      <c r="J19" s="111"/>
      <c r="K19" s="111"/>
      <c r="L19" s="29" t="e">
        <f t="shared" si="0"/>
        <v>#DIV/0!</v>
      </c>
      <c r="M19" s="22"/>
      <c r="N19" s="22"/>
      <c r="O19" s="29" t="e">
        <f t="shared" si="1"/>
        <v>#DIV/0!</v>
      </c>
      <c r="P19" s="22">
        <f t="shared" si="2"/>
        <v>0</v>
      </c>
      <c r="Q19" s="22">
        <f t="shared" si="3"/>
        <v>0</v>
      </c>
      <c r="R19" s="29" t="e">
        <f t="shared" si="4"/>
        <v>#DIV/0!</v>
      </c>
      <c r="S19" s="38"/>
      <c r="T19" s="38">
        <v>16948</v>
      </c>
      <c r="U19" s="29" t="e">
        <f t="shared" si="5"/>
        <v>#DIV/0!</v>
      </c>
      <c r="V19" s="38">
        <f t="shared" si="6"/>
        <v>0</v>
      </c>
      <c r="W19" s="38">
        <f t="shared" si="7"/>
        <v>16948</v>
      </c>
      <c r="X19" s="29" t="e">
        <f t="shared" si="8"/>
        <v>#DIV/0!</v>
      </c>
      <c r="Y19" s="22"/>
      <c r="Z19" s="22"/>
      <c r="AA19" s="29" t="e">
        <f t="shared" si="9"/>
        <v>#DIV/0!</v>
      </c>
      <c r="AB19" s="22">
        <f t="shared" si="10"/>
        <v>0</v>
      </c>
      <c r="AC19" s="22">
        <f t="shared" si="11"/>
        <v>16948</v>
      </c>
      <c r="AD19" s="29" t="e">
        <f t="shared" si="12"/>
        <v>#DIV/0!</v>
      </c>
      <c r="AE19" s="22"/>
      <c r="AF19" s="22"/>
      <c r="AG19" s="29" t="e">
        <f t="shared" si="13"/>
        <v>#DIV/0!</v>
      </c>
      <c r="AH19" s="22">
        <f t="shared" si="14"/>
        <v>0</v>
      </c>
      <c r="AI19" s="22">
        <f t="shared" si="15"/>
        <v>16948</v>
      </c>
      <c r="AJ19" s="29" t="e">
        <f t="shared" si="16"/>
        <v>#DIV/0!</v>
      </c>
      <c r="AK19" s="22"/>
      <c r="AL19" s="22"/>
      <c r="AM19" s="29" t="e">
        <f t="shared" si="17"/>
        <v>#DIV/0!</v>
      </c>
      <c r="AN19" s="22">
        <f t="shared" si="18"/>
        <v>0</v>
      </c>
      <c r="AO19" s="22">
        <f t="shared" si="19"/>
        <v>16948</v>
      </c>
      <c r="AP19" s="29" t="e">
        <f t="shared" si="20"/>
        <v>#DIV/0!</v>
      </c>
      <c r="AQ19" s="22"/>
      <c r="AR19" s="22"/>
      <c r="AS19" s="29" t="e">
        <f t="shared" si="21"/>
        <v>#DIV/0!</v>
      </c>
      <c r="AT19" s="22">
        <f t="shared" si="22"/>
        <v>0</v>
      </c>
      <c r="AU19" s="22">
        <f t="shared" si="23"/>
        <v>16948</v>
      </c>
      <c r="AV19" s="29" t="e">
        <f t="shared" si="24"/>
        <v>#DIV/0!</v>
      </c>
      <c r="AW19" s="38"/>
      <c r="AX19" s="38"/>
      <c r="AY19" s="29" t="e">
        <f t="shared" si="25"/>
        <v>#DIV/0!</v>
      </c>
      <c r="AZ19" s="38">
        <f t="shared" si="26"/>
        <v>0</v>
      </c>
      <c r="BA19" s="38">
        <f t="shared" si="27"/>
        <v>16948</v>
      </c>
      <c r="BB19" s="29" t="e">
        <f t="shared" si="28"/>
        <v>#DIV/0!</v>
      </c>
      <c r="BC19" s="38">
        <v>5468</v>
      </c>
      <c r="BD19" s="38">
        <v>3081</v>
      </c>
      <c r="BE19" s="29">
        <f t="shared" si="29"/>
        <v>-0.43653986832479902</v>
      </c>
      <c r="BF19" s="38">
        <f t="shared" si="30"/>
        <v>5468</v>
      </c>
      <c r="BG19" s="38">
        <f t="shared" si="31"/>
        <v>20029</v>
      </c>
      <c r="BH19" s="29">
        <f t="shared" si="32"/>
        <v>2.66294806144843</v>
      </c>
      <c r="BI19" s="102"/>
      <c r="BJ19" s="111"/>
      <c r="BK19" s="22"/>
      <c r="BL19" s="22">
        <v>5468</v>
      </c>
      <c r="BM19" s="96">
        <f t="shared" si="33"/>
        <v>2.0028999999999999</v>
      </c>
      <c r="BN19" s="22"/>
      <c r="BO19" s="22"/>
    </row>
    <row r="20" spans="1:67">
      <c r="A20" s="80" t="s">
        <v>29</v>
      </c>
      <c r="B20" s="80" t="s">
        <v>29</v>
      </c>
      <c r="C20" s="81" t="s">
        <v>240</v>
      </c>
      <c r="D20" s="33" t="s">
        <v>102</v>
      </c>
      <c r="E20" s="33" t="s">
        <v>102</v>
      </c>
      <c r="F20" s="33" t="s">
        <v>217</v>
      </c>
      <c r="G20" s="33" t="s">
        <v>218</v>
      </c>
      <c r="H20" s="33" t="s">
        <v>219</v>
      </c>
      <c r="I20" s="110"/>
      <c r="J20" s="111">
        <v>18329</v>
      </c>
      <c r="K20" s="111"/>
      <c r="L20" s="29">
        <f t="shared" si="0"/>
        <v>-1</v>
      </c>
      <c r="M20" s="22"/>
      <c r="N20" s="22"/>
      <c r="O20" s="29" t="e">
        <f t="shared" si="1"/>
        <v>#DIV/0!</v>
      </c>
      <c r="P20" s="22">
        <f t="shared" si="2"/>
        <v>18329</v>
      </c>
      <c r="Q20" s="22">
        <f t="shared" si="3"/>
        <v>0</v>
      </c>
      <c r="R20" s="29">
        <f t="shared" si="4"/>
        <v>-1</v>
      </c>
      <c r="S20" s="38"/>
      <c r="T20" s="38"/>
      <c r="U20" s="29" t="e">
        <f t="shared" si="5"/>
        <v>#DIV/0!</v>
      </c>
      <c r="V20" s="38">
        <f t="shared" si="6"/>
        <v>18329</v>
      </c>
      <c r="W20" s="38">
        <f t="shared" si="7"/>
        <v>0</v>
      </c>
      <c r="X20" s="29">
        <f t="shared" si="8"/>
        <v>-1</v>
      </c>
      <c r="Y20" s="22"/>
      <c r="Z20" s="22"/>
      <c r="AA20" s="29" t="e">
        <f t="shared" si="9"/>
        <v>#DIV/0!</v>
      </c>
      <c r="AB20" s="22">
        <f t="shared" si="10"/>
        <v>18329</v>
      </c>
      <c r="AC20" s="22">
        <f t="shared" si="11"/>
        <v>0</v>
      </c>
      <c r="AD20" s="29">
        <f t="shared" si="12"/>
        <v>-1</v>
      </c>
      <c r="AE20" s="22"/>
      <c r="AF20" s="22">
        <v>7953</v>
      </c>
      <c r="AG20" s="29" t="e">
        <f t="shared" si="13"/>
        <v>#DIV/0!</v>
      </c>
      <c r="AH20" s="22">
        <f t="shared" si="14"/>
        <v>18329</v>
      </c>
      <c r="AI20" s="22">
        <f t="shared" si="15"/>
        <v>7953</v>
      </c>
      <c r="AJ20" s="29">
        <f t="shared" si="16"/>
        <v>-0.56609744121337802</v>
      </c>
      <c r="AK20" s="22"/>
      <c r="AL20" s="22"/>
      <c r="AM20" s="29" t="e">
        <f t="shared" si="17"/>
        <v>#DIV/0!</v>
      </c>
      <c r="AN20" s="22">
        <f t="shared" si="18"/>
        <v>18329</v>
      </c>
      <c r="AO20" s="22">
        <f t="shared" si="19"/>
        <v>7953</v>
      </c>
      <c r="AP20" s="29">
        <f t="shared" si="20"/>
        <v>-0.56609744121337802</v>
      </c>
      <c r="AQ20" s="22"/>
      <c r="AR20" s="22"/>
      <c r="AS20" s="29" t="e">
        <f t="shared" si="21"/>
        <v>#DIV/0!</v>
      </c>
      <c r="AT20" s="22">
        <f t="shared" si="22"/>
        <v>18329</v>
      </c>
      <c r="AU20" s="22">
        <f t="shared" si="23"/>
        <v>7953</v>
      </c>
      <c r="AV20" s="29">
        <f t="shared" si="24"/>
        <v>-0.56609744121337802</v>
      </c>
      <c r="AW20" s="38"/>
      <c r="AX20" s="38"/>
      <c r="AY20" s="29" t="e">
        <f t="shared" si="25"/>
        <v>#DIV/0!</v>
      </c>
      <c r="AZ20" s="38">
        <f t="shared" si="26"/>
        <v>18329</v>
      </c>
      <c r="BA20" s="38">
        <f t="shared" si="27"/>
        <v>7953</v>
      </c>
      <c r="BB20" s="29">
        <f t="shared" si="28"/>
        <v>-0.56609744121337802</v>
      </c>
      <c r="BC20" s="38"/>
      <c r="BD20" s="38"/>
      <c r="BE20" s="29" t="e">
        <f t="shared" si="29"/>
        <v>#DIV/0!</v>
      </c>
      <c r="BF20" s="38">
        <f t="shared" si="30"/>
        <v>18329</v>
      </c>
      <c r="BG20" s="38">
        <f t="shared" si="31"/>
        <v>7953</v>
      </c>
      <c r="BH20" s="29">
        <f t="shared" si="32"/>
        <v>-0.56609744121337802</v>
      </c>
      <c r="BI20" s="102"/>
      <c r="BJ20" s="111"/>
      <c r="BK20" s="22">
        <v>7600</v>
      </c>
      <c r="BL20" s="22">
        <v>25929</v>
      </c>
      <c r="BM20" s="96" t="e">
        <f t="shared" si="33"/>
        <v>#DIV/0!</v>
      </c>
      <c r="BN20" s="22"/>
      <c r="BO20" s="22"/>
    </row>
    <row r="21" spans="1:67">
      <c r="A21" s="80" t="s">
        <v>29</v>
      </c>
      <c r="B21" s="80" t="s">
        <v>29</v>
      </c>
      <c r="C21" s="81" t="s">
        <v>241</v>
      </c>
      <c r="D21" s="33" t="s">
        <v>102</v>
      </c>
      <c r="E21" s="33" t="s">
        <v>102</v>
      </c>
      <c r="F21" s="33" t="s">
        <v>217</v>
      </c>
      <c r="G21" s="33" t="s">
        <v>235</v>
      </c>
      <c r="H21" s="33" t="s">
        <v>219</v>
      </c>
      <c r="I21" s="110">
        <v>20</v>
      </c>
      <c r="J21" s="111"/>
      <c r="K21" s="111">
        <v>17233</v>
      </c>
      <c r="L21" s="29" t="e">
        <f t="shared" si="0"/>
        <v>#DIV/0!</v>
      </c>
      <c r="M21" s="22"/>
      <c r="N21" s="22">
        <v>12981</v>
      </c>
      <c r="O21" s="29" t="e">
        <f t="shared" si="1"/>
        <v>#DIV/0!</v>
      </c>
      <c r="P21" s="22">
        <f t="shared" si="2"/>
        <v>0</v>
      </c>
      <c r="Q21" s="22">
        <f t="shared" si="3"/>
        <v>30214</v>
      </c>
      <c r="R21" s="29" t="e">
        <f t="shared" si="4"/>
        <v>#DIV/0!</v>
      </c>
      <c r="S21" s="38">
        <v>124460</v>
      </c>
      <c r="T21" s="38">
        <v>7918.9</v>
      </c>
      <c r="U21" s="29">
        <f t="shared" si="5"/>
        <v>-0.93637393540093194</v>
      </c>
      <c r="V21" s="38">
        <f t="shared" si="6"/>
        <v>124460</v>
      </c>
      <c r="W21" s="38">
        <f t="shared" si="7"/>
        <v>38132.9</v>
      </c>
      <c r="X21" s="29">
        <f t="shared" si="8"/>
        <v>-0.69361320906315305</v>
      </c>
      <c r="Y21" s="22">
        <v>29545</v>
      </c>
      <c r="Z21" s="22">
        <v>12020</v>
      </c>
      <c r="AA21" s="29">
        <f t="shared" si="9"/>
        <v>-0.59316297173802701</v>
      </c>
      <c r="AB21" s="22">
        <f t="shared" si="10"/>
        <v>154005</v>
      </c>
      <c r="AC21" s="22">
        <f t="shared" si="11"/>
        <v>50152.9</v>
      </c>
      <c r="AD21" s="29">
        <f t="shared" si="12"/>
        <v>-0.674342391480796</v>
      </c>
      <c r="AE21" s="22">
        <v>24819.5</v>
      </c>
      <c r="AF21" s="22">
        <v>50830.5</v>
      </c>
      <c r="AG21" s="29">
        <f t="shared" si="13"/>
        <v>1.04800660770765</v>
      </c>
      <c r="AH21" s="22">
        <f t="shared" si="14"/>
        <v>178824.5</v>
      </c>
      <c r="AI21" s="22">
        <f t="shared" si="15"/>
        <v>100983.4</v>
      </c>
      <c r="AJ21" s="29">
        <f t="shared" si="16"/>
        <v>-0.43529326238854299</v>
      </c>
      <c r="AK21" s="22">
        <v>96470.5</v>
      </c>
      <c r="AL21" s="22">
        <v>38001.300000000003</v>
      </c>
      <c r="AM21" s="29">
        <f t="shared" si="17"/>
        <v>-0.60608372507657804</v>
      </c>
      <c r="AN21" s="22">
        <f t="shared" si="18"/>
        <v>275295</v>
      </c>
      <c r="AO21" s="22">
        <f t="shared" si="19"/>
        <v>138984.70000000001</v>
      </c>
      <c r="AP21" s="29">
        <f t="shared" si="20"/>
        <v>-0.49514266514103</v>
      </c>
      <c r="AQ21" s="22">
        <v>8402</v>
      </c>
      <c r="AR21" s="22">
        <v>20727</v>
      </c>
      <c r="AS21" s="29">
        <f t="shared" si="21"/>
        <v>1.46691263984766</v>
      </c>
      <c r="AT21" s="22">
        <f t="shared" si="22"/>
        <v>283697</v>
      </c>
      <c r="AU21" s="22">
        <f t="shared" si="23"/>
        <v>159711.70000000001</v>
      </c>
      <c r="AV21" s="29">
        <f t="shared" si="24"/>
        <v>-0.437034230182201</v>
      </c>
      <c r="AW21" s="38">
        <v>19946.5</v>
      </c>
      <c r="AX21" s="38">
        <v>11805</v>
      </c>
      <c r="AY21" s="29">
        <f t="shared" si="25"/>
        <v>-0.40816684631389</v>
      </c>
      <c r="AZ21" s="38">
        <f t="shared" si="26"/>
        <v>303643.5</v>
      </c>
      <c r="BA21" s="38">
        <f t="shared" si="27"/>
        <v>171516.7</v>
      </c>
      <c r="BB21" s="29">
        <f t="shared" si="28"/>
        <v>-0.43513791666872498</v>
      </c>
      <c r="BC21" s="38">
        <v>8356</v>
      </c>
      <c r="BD21" s="38">
        <v>14139</v>
      </c>
      <c r="BE21" s="29">
        <f t="shared" si="29"/>
        <v>0.69207754906653896</v>
      </c>
      <c r="BF21" s="38">
        <f t="shared" si="30"/>
        <v>311999.5</v>
      </c>
      <c r="BG21" s="38">
        <f t="shared" si="31"/>
        <v>185655.7</v>
      </c>
      <c r="BH21" s="29">
        <f t="shared" si="32"/>
        <v>-0.40494872587936798</v>
      </c>
      <c r="BI21" s="102">
        <v>6307</v>
      </c>
      <c r="BJ21" s="111">
        <v>7246</v>
      </c>
      <c r="BK21" s="22">
        <v>67344.7</v>
      </c>
      <c r="BL21" s="22">
        <v>392897.2</v>
      </c>
      <c r="BM21" s="96">
        <f t="shared" si="33"/>
        <v>0.92827850000000001</v>
      </c>
      <c r="BN21" s="22"/>
      <c r="BO21" s="22"/>
    </row>
    <row r="22" spans="1:67">
      <c r="A22" s="80" t="s">
        <v>29</v>
      </c>
      <c r="B22" s="80" t="s">
        <v>29</v>
      </c>
      <c r="C22" s="81" t="s">
        <v>242</v>
      </c>
      <c r="D22" s="33" t="s">
        <v>102</v>
      </c>
      <c r="E22" s="33" t="s">
        <v>102</v>
      </c>
      <c r="F22" s="176" t="s">
        <v>232</v>
      </c>
      <c r="G22" s="176" t="s">
        <v>232</v>
      </c>
      <c r="H22" s="22" t="s">
        <v>223</v>
      </c>
      <c r="I22" s="110">
        <v>10</v>
      </c>
      <c r="J22" s="111"/>
      <c r="K22" s="111"/>
      <c r="L22" s="29" t="e">
        <f t="shared" si="0"/>
        <v>#DIV/0!</v>
      </c>
      <c r="M22" s="22"/>
      <c r="N22" s="22"/>
      <c r="O22" s="29" t="e">
        <f t="shared" si="1"/>
        <v>#DIV/0!</v>
      </c>
      <c r="P22" s="22">
        <f t="shared" si="2"/>
        <v>0</v>
      </c>
      <c r="Q22" s="22">
        <f t="shared" si="3"/>
        <v>0</v>
      </c>
      <c r="R22" s="29" t="e">
        <f t="shared" si="4"/>
        <v>#DIV/0!</v>
      </c>
      <c r="S22" s="38">
        <v>21714</v>
      </c>
      <c r="T22" s="38"/>
      <c r="U22" s="29">
        <f t="shared" si="5"/>
        <v>-1</v>
      </c>
      <c r="V22" s="38">
        <f t="shared" si="6"/>
        <v>21714</v>
      </c>
      <c r="W22" s="38">
        <f t="shared" si="7"/>
        <v>0</v>
      </c>
      <c r="X22" s="29">
        <f t="shared" si="8"/>
        <v>-1</v>
      </c>
      <c r="Y22" s="22"/>
      <c r="Z22" s="22"/>
      <c r="AA22" s="29" t="e">
        <f t="shared" si="9"/>
        <v>#DIV/0!</v>
      </c>
      <c r="AB22" s="22">
        <f t="shared" si="10"/>
        <v>21714</v>
      </c>
      <c r="AC22" s="22">
        <f t="shared" si="11"/>
        <v>0</v>
      </c>
      <c r="AD22" s="29">
        <f t="shared" si="12"/>
        <v>-1</v>
      </c>
      <c r="AE22" s="22"/>
      <c r="AF22" s="22"/>
      <c r="AG22" s="29" t="e">
        <f t="shared" si="13"/>
        <v>#DIV/0!</v>
      </c>
      <c r="AH22" s="22">
        <f t="shared" si="14"/>
        <v>21714</v>
      </c>
      <c r="AI22" s="22">
        <f t="shared" si="15"/>
        <v>0</v>
      </c>
      <c r="AJ22" s="29">
        <f t="shared" si="16"/>
        <v>-1</v>
      </c>
      <c r="AK22" s="22"/>
      <c r="AL22" s="22"/>
      <c r="AM22" s="29" t="e">
        <f t="shared" si="17"/>
        <v>#DIV/0!</v>
      </c>
      <c r="AN22" s="22">
        <f t="shared" si="18"/>
        <v>21714</v>
      </c>
      <c r="AO22" s="22">
        <f t="shared" si="19"/>
        <v>0</v>
      </c>
      <c r="AP22" s="29">
        <f t="shared" si="20"/>
        <v>-1</v>
      </c>
      <c r="AQ22" s="22"/>
      <c r="AR22" s="22"/>
      <c r="AS22" s="29" t="e">
        <f t="shared" si="21"/>
        <v>#DIV/0!</v>
      </c>
      <c r="AT22" s="22">
        <f t="shared" si="22"/>
        <v>21714</v>
      </c>
      <c r="AU22" s="22">
        <f t="shared" si="23"/>
        <v>0</v>
      </c>
      <c r="AV22" s="29">
        <f t="shared" si="24"/>
        <v>-1</v>
      </c>
      <c r="AW22" s="38"/>
      <c r="AX22" s="38"/>
      <c r="AY22" s="29" t="e">
        <f t="shared" si="25"/>
        <v>#DIV/0!</v>
      </c>
      <c r="AZ22" s="38">
        <f t="shared" si="26"/>
        <v>21714</v>
      </c>
      <c r="BA22" s="38">
        <f t="shared" si="27"/>
        <v>0</v>
      </c>
      <c r="BB22" s="29">
        <f t="shared" si="28"/>
        <v>-1</v>
      </c>
      <c r="BC22" s="38">
        <v>8915</v>
      </c>
      <c r="BD22" s="38"/>
      <c r="BE22" s="29">
        <f t="shared" si="29"/>
        <v>-1</v>
      </c>
      <c r="BF22" s="38">
        <f t="shared" si="30"/>
        <v>30629</v>
      </c>
      <c r="BG22" s="38">
        <f t="shared" si="31"/>
        <v>0</v>
      </c>
      <c r="BH22" s="29">
        <f t="shared" si="32"/>
        <v>-1</v>
      </c>
      <c r="BI22" s="102">
        <v>17830</v>
      </c>
      <c r="BJ22" s="111"/>
      <c r="BK22" s="22"/>
      <c r="BL22" s="22">
        <v>48459</v>
      </c>
      <c r="BM22" s="96">
        <f t="shared" si="33"/>
        <v>0</v>
      </c>
      <c r="BN22" s="22"/>
      <c r="BO22" s="22"/>
    </row>
    <row r="23" spans="1:67">
      <c r="A23" s="80" t="s">
        <v>29</v>
      </c>
      <c r="B23" s="80" t="s">
        <v>29</v>
      </c>
      <c r="C23" s="81" t="s">
        <v>243</v>
      </c>
      <c r="D23" s="33" t="s">
        <v>61</v>
      </c>
      <c r="E23" s="33" t="s">
        <v>61</v>
      </c>
      <c r="F23" s="33" t="s">
        <v>213</v>
      </c>
      <c r="G23" s="33" t="s">
        <v>213</v>
      </c>
      <c r="H23" s="33" t="s">
        <v>214</v>
      </c>
      <c r="I23" s="110"/>
      <c r="J23" s="111"/>
      <c r="K23" s="111"/>
      <c r="L23" s="29" t="e">
        <f t="shared" si="0"/>
        <v>#DIV/0!</v>
      </c>
      <c r="M23" s="22"/>
      <c r="N23" s="22"/>
      <c r="O23" s="29" t="e">
        <f t="shared" si="1"/>
        <v>#DIV/0!</v>
      </c>
      <c r="P23" s="22">
        <f t="shared" si="2"/>
        <v>0</v>
      </c>
      <c r="Q23" s="22">
        <f t="shared" si="3"/>
        <v>0</v>
      </c>
      <c r="R23" s="29" t="e">
        <f t="shared" si="4"/>
        <v>#DIV/0!</v>
      </c>
      <c r="S23" s="38"/>
      <c r="T23" s="38"/>
      <c r="U23" s="29" t="e">
        <f t="shared" si="5"/>
        <v>#DIV/0!</v>
      </c>
      <c r="V23" s="38">
        <f t="shared" si="6"/>
        <v>0</v>
      </c>
      <c r="W23" s="38">
        <f t="shared" si="7"/>
        <v>0</v>
      </c>
      <c r="X23" s="29" t="e">
        <f t="shared" si="8"/>
        <v>#DIV/0!</v>
      </c>
      <c r="Y23" s="22"/>
      <c r="Z23" s="22"/>
      <c r="AA23" s="29" t="e">
        <f t="shared" si="9"/>
        <v>#DIV/0!</v>
      </c>
      <c r="AB23" s="22">
        <f t="shared" si="10"/>
        <v>0</v>
      </c>
      <c r="AC23" s="22">
        <f t="shared" si="11"/>
        <v>0</v>
      </c>
      <c r="AD23" s="29" t="e">
        <f t="shared" si="12"/>
        <v>#DIV/0!</v>
      </c>
      <c r="AE23" s="22"/>
      <c r="AF23" s="22"/>
      <c r="AG23" s="29" t="e">
        <f t="shared" si="13"/>
        <v>#DIV/0!</v>
      </c>
      <c r="AH23" s="22">
        <f t="shared" si="14"/>
        <v>0</v>
      </c>
      <c r="AI23" s="22">
        <f t="shared" si="15"/>
        <v>0</v>
      </c>
      <c r="AJ23" s="29" t="e">
        <f t="shared" si="16"/>
        <v>#DIV/0!</v>
      </c>
      <c r="AK23" s="22"/>
      <c r="AL23" s="22"/>
      <c r="AM23" s="29" t="e">
        <f t="shared" si="17"/>
        <v>#DIV/0!</v>
      </c>
      <c r="AN23" s="22">
        <f t="shared" si="18"/>
        <v>0</v>
      </c>
      <c r="AO23" s="22">
        <f t="shared" si="19"/>
        <v>0</v>
      </c>
      <c r="AP23" s="29" t="e">
        <f t="shared" si="20"/>
        <v>#DIV/0!</v>
      </c>
      <c r="AQ23" s="22"/>
      <c r="AR23" s="22"/>
      <c r="AS23" s="29" t="e">
        <f t="shared" si="21"/>
        <v>#DIV/0!</v>
      </c>
      <c r="AT23" s="22">
        <f t="shared" si="22"/>
        <v>0</v>
      </c>
      <c r="AU23" s="22">
        <f t="shared" si="23"/>
        <v>0</v>
      </c>
      <c r="AV23" s="29" t="e">
        <f t="shared" si="24"/>
        <v>#DIV/0!</v>
      </c>
      <c r="AW23" s="38"/>
      <c r="AX23" s="38">
        <v>3899</v>
      </c>
      <c r="AY23" s="29" t="e">
        <f t="shared" si="25"/>
        <v>#DIV/0!</v>
      </c>
      <c r="AZ23" s="38">
        <f t="shared" si="26"/>
        <v>0</v>
      </c>
      <c r="BA23" s="38">
        <f t="shared" si="27"/>
        <v>3899</v>
      </c>
      <c r="BB23" s="29" t="e">
        <f t="shared" si="28"/>
        <v>#DIV/0!</v>
      </c>
      <c r="BC23" s="38"/>
      <c r="BD23" s="38"/>
      <c r="BE23" s="29" t="e">
        <f t="shared" si="29"/>
        <v>#DIV/0!</v>
      </c>
      <c r="BF23" s="38">
        <f t="shared" si="30"/>
        <v>0</v>
      </c>
      <c r="BG23" s="38">
        <f t="shared" si="31"/>
        <v>3899</v>
      </c>
      <c r="BH23" s="29" t="e">
        <f t="shared" si="32"/>
        <v>#DIV/0!</v>
      </c>
      <c r="BI23" s="102"/>
      <c r="BJ23" s="111">
        <v>3869</v>
      </c>
      <c r="BK23" s="22">
        <v>2691</v>
      </c>
      <c r="BL23" s="22">
        <v>6560</v>
      </c>
      <c r="BM23" s="96" t="e">
        <f t="shared" si="33"/>
        <v>#DIV/0!</v>
      </c>
      <c r="BN23" s="22"/>
      <c r="BO23" s="22"/>
    </row>
    <row r="24" spans="1:67">
      <c r="A24" s="80" t="s">
        <v>29</v>
      </c>
      <c r="B24" s="80" t="s">
        <v>29</v>
      </c>
      <c r="C24" s="81" t="s">
        <v>244</v>
      </c>
      <c r="D24" s="33" t="s">
        <v>61</v>
      </c>
      <c r="E24" s="33" t="s">
        <v>61</v>
      </c>
      <c r="F24" s="33" t="s">
        <v>226</v>
      </c>
      <c r="G24" s="33" t="s">
        <v>226</v>
      </c>
      <c r="H24" s="33" t="s">
        <v>214</v>
      </c>
      <c r="I24" s="110">
        <v>10</v>
      </c>
      <c r="J24" s="111">
        <v>12044</v>
      </c>
      <c r="K24" s="111">
        <v>6050</v>
      </c>
      <c r="L24" s="29">
        <f t="shared" si="0"/>
        <v>-0.49767519096645602</v>
      </c>
      <c r="M24" s="22">
        <v>10316</v>
      </c>
      <c r="N24" s="22">
        <v>3090</v>
      </c>
      <c r="O24" s="29">
        <f t="shared" si="1"/>
        <v>-0.70046529662659895</v>
      </c>
      <c r="P24" s="22">
        <f t="shared" si="2"/>
        <v>22360</v>
      </c>
      <c r="Q24" s="22">
        <f t="shared" si="3"/>
        <v>9140</v>
      </c>
      <c r="R24" s="29">
        <f t="shared" si="4"/>
        <v>-0.59123434704830102</v>
      </c>
      <c r="S24" s="38">
        <v>7072</v>
      </c>
      <c r="T24" s="38">
        <v>4140</v>
      </c>
      <c r="U24" s="29">
        <f t="shared" si="5"/>
        <v>-0.414592760180995</v>
      </c>
      <c r="V24" s="38">
        <f t="shared" si="6"/>
        <v>29432</v>
      </c>
      <c r="W24" s="38">
        <f t="shared" si="7"/>
        <v>13280</v>
      </c>
      <c r="X24" s="29">
        <f t="shared" si="8"/>
        <v>-0.54879043218265799</v>
      </c>
      <c r="Y24" s="22">
        <v>31886</v>
      </c>
      <c r="Z24" s="22">
        <v>6935</v>
      </c>
      <c r="AA24" s="29">
        <f t="shared" si="9"/>
        <v>-0.78250642915386104</v>
      </c>
      <c r="AB24" s="22">
        <f t="shared" si="10"/>
        <v>61318</v>
      </c>
      <c r="AC24" s="22">
        <f t="shared" si="11"/>
        <v>20215</v>
      </c>
      <c r="AD24" s="29">
        <f t="shared" si="12"/>
        <v>-0.67032518999315005</v>
      </c>
      <c r="AE24" s="22">
        <v>1760</v>
      </c>
      <c r="AF24" s="22">
        <v>2212</v>
      </c>
      <c r="AG24" s="29">
        <f t="shared" si="13"/>
        <v>0.256818181818182</v>
      </c>
      <c r="AH24" s="22">
        <f t="shared" si="14"/>
        <v>63078</v>
      </c>
      <c r="AI24" s="22">
        <f t="shared" si="15"/>
        <v>22427</v>
      </c>
      <c r="AJ24" s="29">
        <f t="shared" si="16"/>
        <v>-0.64445607026221496</v>
      </c>
      <c r="AK24" s="22">
        <v>2992</v>
      </c>
      <c r="AL24" s="22"/>
      <c r="AM24" s="29">
        <f t="shared" si="17"/>
        <v>-1</v>
      </c>
      <c r="AN24" s="22">
        <f t="shared" si="18"/>
        <v>66070</v>
      </c>
      <c r="AO24" s="22">
        <f t="shared" si="19"/>
        <v>22427</v>
      </c>
      <c r="AP24" s="29">
        <f t="shared" si="20"/>
        <v>-0.660556985015892</v>
      </c>
      <c r="AQ24" s="22"/>
      <c r="AR24" s="22"/>
      <c r="AS24" s="29" t="e">
        <f t="shared" si="21"/>
        <v>#DIV/0!</v>
      </c>
      <c r="AT24" s="22">
        <f t="shared" si="22"/>
        <v>66070</v>
      </c>
      <c r="AU24" s="22">
        <f t="shared" si="23"/>
        <v>22427</v>
      </c>
      <c r="AV24" s="29">
        <f t="shared" si="24"/>
        <v>-0.660556985015892</v>
      </c>
      <c r="AW24" s="38"/>
      <c r="AX24" s="38">
        <v>4139</v>
      </c>
      <c r="AY24" s="29" t="e">
        <f t="shared" si="25"/>
        <v>#DIV/0!</v>
      </c>
      <c r="AZ24" s="38">
        <f t="shared" si="26"/>
        <v>66070</v>
      </c>
      <c r="BA24" s="38">
        <f t="shared" si="27"/>
        <v>26566</v>
      </c>
      <c r="BB24" s="29">
        <f t="shared" si="28"/>
        <v>-0.597911306190404</v>
      </c>
      <c r="BC24" s="38"/>
      <c r="BD24" s="38"/>
      <c r="BE24" s="29" t="e">
        <f t="shared" si="29"/>
        <v>#DIV/0!</v>
      </c>
      <c r="BF24" s="38">
        <f t="shared" si="30"/>
        <v>66070</v>
      </c>
      <c r="BG24" s="38">
        <f t="shared" si="31"/>
        <v>26566</v>
      </c>
      <c r="BH24" s="29">
        <f t="shared" si="32"/>
        <v>-0.597911306190404</v>
      </c>
      <c r="BI24" s="102"/>
      <c r="BJ24" s="111">
        <v>11104</v>
      </c>
      <c r="BK24" s="22">
        <v>15855</v>
      </c>
      <c r="BL24" s="22">
        <v>93029</v>
      </c>
      <c r="BM24" s="96">
        <f t="shared" si="33"/>
        <v>0.26566000000000001</v>
      </c>
      <c r="BN24" s="22"/>
      <c r="BO24" s="22"/>
    </row>
    <row r="25" spans="1:67">
      <c r="A25" s="80" t="s">
        <v>29</v>
      </c>
      <c r="B25" s="80" t="s">
        <v>29</v>
      </c>
      <c r="C25" s="81" t="s">
        <v>245</v>
      </c>
      <c r="D25" s="33" t="s">
        <v>61</v>
      </c>
      <c r="E25" s="33" t="s">
        <v>56</v>
      </c>
      <c r="F25" s="33" t="s">
        <v>226</v>
      </c>
      <c r="G25" s="33" t="s">
        <v>226</v>
      </c>
      <c r="H25" s="33" t="s">
        <v>214</v>
      </c>
      <c r="I25" s="110"/>
      <c r="J25" s="111">
        <v>60000</v>
      </c>
      <c r="K25" s="111">
        <f>151700+20000</f>
        <v>171700</v>
      </c>
      <c r="L25" s="29">
        <f t="shared" si="0"/>
        <v>1.8616666666666699</v>
      </c>
      <c r="M25" s="22">
        <v>50000</v>
      </c>
      <c r="N25" s="22">
        <v>101000</v>
      </c>
      <c r="O25" s="29">
        <f t="shared" si="1"/>
        <v>1.02</v>
      </c>
      <c r="P25" s="22">
        <f t="shared" si="2"/>
        <v>110000</v>
      </c>
      <c r="Q25" s="22">
        <f t="shared" si="3"/>
        <v>272700</v>
      </c>
      <c r="R25" s="29">
        <f t="shared" si="4"/>
        <v>1.4790909090909099</v>
      </c>
      <c r="S25" s="38">
        <v>30000</v>
      </c>
      <c r="T25" s="38">
        <v>97000</v>
      </c>
      <c r="U25" s="29">
        <f t="shared" si="5"/>
        <v>2.2333333333333298</v>
      </c>
      <c r="V25" s="38">
        <f t="shared" si="6"/>
        <v>140000</v>
      </c>
      <c r="W25" s="38">
        <f t="shared" si="7"/>
        <v>369700</v>
      </c>
      <c r="X25" s="29">
        <f t="shared" si="8"/>
        <v>1.64071428571429</v>
      </c>
      <c r="Y25" s="22">
        <v>170000</v>
      </c>
      <c r="Z25" s="22">
        <v>80000</v>
      </c>
      <c r="AA25" s="29">
        <f t="shared" si="9"/>
        <v>-0.52941176470588203</v>
      </c>
      <c r="AB25" s="22">
        <f t="shared" si="10"/>
        <v>310000</v>
      </c>
      <c r="AC25" s="22">
        <f t="shared" si="11"/>
        <v>449700</v>
      </c>
      <c r="AD25" s="29">
        <f t="shared" si="12"/>
        <v>0.450645161290323</v>
      </c>
      <c r="AE25" s="22">
        <v>60000</v>
      </c>
      <c r="AF25" s="22">
        <v>60000</v>
      </c>
      <c r="AG25" s="29">
        <f t="shared" si="13"/>
        <v>0</v>
      </c>
      <c r="AH25" s="22">
        <f t="shared" si="14"/>
        <v>370000</v>
      </c>
      <c r="AI25" s="22">
        <f t="shared" si="15"/>
        <v>509700</v>
      </c>
      <c r="AJ25" s="29">
        <f t="shared" si="16"/>
        <v>0.37756756756756799</v>
      </c>
      <c r="AK25" s="22">
        <v>140000</v>
      </c>
      <c r="AL25" s="22">
        <v>110000</v>
      </c>
      <c r="AM25" s="29">
        <f t="shared" si="17"/>
        <v>-0.214285714285714</v>
      </c>
      <c r="AN25" s="22">
        <f t="shared" si="18"/>
        <v>510000</v>
      </c>
      <c r="AO25" s="22">
        <f t="shared" si="19"/>
        <v>619700</v>
      </c>
      <c r="AP25" s="29">
        <f t="shared" si="20"/>
        <v>0.21509803921568599</v>
      </c>
      <c r="AQ25" s="22">
        <v>60000</v>
      </c>
      <c r="AR25" s="22">
        <v>90000</v>
      </c>
      <c r="AS25" s="29">
        <f t="shared" si="21"/>
        <v>0.5</v>
      </c>
      <c r="AT25" s="22">
        <f t="shared" si="22"/>
        <v>570000</v>
      </c>
      <c r="AU25" s="22">
        <f t="shared" si="23"/>
        <v>709700</v>
      </c>
      <c r="AV25" s="29">
        <f t="shared" si="24"/>
        <v>0.24508771929824599</v>
      </c>
      <c r="AW25" s="38">
        <v>85000</v>
      </c>
      <c r="AX25" s="38">
        <v>195000</v>
      </c>
      <c r="AY25" s="29">
        <f t="shared" si="25"/>
        <v>1.29411764705882</v>
      </c>
      <c r="AZ25" s="38">
        <f t="shared" si="26"/>
        <v>655000</v>
      </c>
      <c r="BA25" s="38">
        <f t="shared" si="27"/>
        <v>904700</v>
      </c>
      <c r="BB25" s="29">
        <f t="shared" si="28"/>
        <v>0.38122137404580098</v>
      </c>
      <c r="BC25" s="38">
        <v>24000</v>
      </c>
      <c r="BD25" s="38">
        <v>70000</v>
      </c>
      <c r="BE25" s="29">
        <f t="shared" si="29"/>
        <v>1.9166666666666701</v>
      </c>
      <c r="BF25" s="38">
        <f t="shared" si="30"/>
        <v>679000</v>
      </c>
      <c r="BG25" s="38">
        <f t="shared" si="31"/>
        <v>974700</v>
      </c>
      <c r="BH25" s="29">
        <f t="shared" si="32"/>
        <v>0.43549337260677501</v>
      </c>
      <c r="BI25" s="102">
        <v>50000</v>
      </c>
      <c r="BJ25" s="111">
        <v>300000</v>
      </c>
      <c r="BK25" s="22">
        <v>220000</v>
      </c>
      <c r="BL25" s="22">
        <v>1249000</v>
      </c>
      <c r="BM25" s="96" t="e">
        <f t="shared" si="33"/>
        <v>#DIV/0!</v>
      </c>
      <c r="BN25" s="22"/>
      <c r="BO25" s="22">
        <v>20000</v>
      </c>
    </row>
    <row r="26" spans="1:67">
      <c r="A26" s="80" t="s">
        <v>29</v>
      </c>
      <c r="B26" s="80" t="s">
        <v>29</v>
      </c>
      <c r="C26" s="81" t="s">
        <v>246</v>
      </c>
      <c r="D26" s="33" t="s">
        <v>61</v>
      </c>
      <c r="E26" s="33" t="s">
        <v>61</v>
      </c>
      <c r="F26" s="33" t="s">
        <v>226</v>
      </c>
      <c r="G26" s="33" t="s">
        <v>226</v>
      </c>
      <c r="H26" s="33" t="s">
        <v>214</v>
      </c>
      <c r="I26" s="110">
        <v>0</v>
      </c>
      <c r="J26" s="111">
        <v>3332</v>
      </c>
      <c r="K26" s="111"/>
      <c r="L26" s="29">
        <f t="shared" si="0"/>
        <v>-1</v>
      </c>
      <c r="M26" s="22">
        <v>11794</v>
      </c>
      <c r="N26" s="22"/>
      <c r="O26" s="29">
        <f t="shared" si="1"/>
        <v>-1</v>
      </c>
      <c r="P26" s="22">
        <f t="shared" si="2"/>
        <v>15126</v>
      </c>
      <c r="Q26" s="22">
        <f t="shared" si="3"/>
        <v>0</v>
      </c>
      <c r="R26" s="29">
        <f t="shared" si="4"/>
        <v>-1</v>
      </c>
      <c r="S26" s="38">
        <v>4371</v>
      </c>
      <c r="T26" s="38"/>
      <c r="U26" s="29">
        <f t="shared" si="5"/>
        <v>-1</v>
      </c>
      <c r="V26" s="38">
        <f t="shared" si="6"/>
        <v>19497</v>
      </c>
      <c r="W26" s="38">
        <f t="shared" si="7"/>
        <v>0</v>
      </c>
      <c r="X26" s="29">
        <f t="shared" si="8"/>
        <v>-1</v>
      </c>
      <c r="Y26" s="22">
        <v>3765</v>
      </c>
      <c r="Z26" s="22"/>
      <c r="AA26" s="29">
        <f t="shared" si="9"/>
        <v>-1</v>
      </c>
      <c r="AB26" s="22">
        <f t="shared" si="10"/>
        <v>23262</v>
      </c>
      <c r="AC26" s="22">
        <f t="shared" si="11"/>
        <v>0</v>
      </c>
      <c r="AD26" s="29">
        <f t="shared" si="12"/>
        <v>-1</v>
      </c>
      <c r="AE26" s="22">
        <v>1887</v>
      </c>
      <c r="AF26" s="22"/>
      <c r="AG26" s="29">
        <f t="shared" si="13"/>
        <v>-1</v>
      </c>
      <c r="AH26" s="22">
        <f t="shared" si="14"/>
        <v>25149</v>
      </c>
      <c r="AI26" s="22">
        <f t="shared" si="15"/>
        <v>0</v>
      </c>
      <c r="AJ26" s="29">
        <f t="shared" si="16"/>
        <v>-1</v>
      </c>
      <c r="AK26" s="22"/>
      <c r="AL26" s="22"/>
      <c r="AM26" s="29" t="e">
        <f t="shared" si="17"/>
        <v>#DIV/0!</v>
      </c>
      <c r="AN26" s="22">
        <f t="shared" si="18"/>
        <v>25149</v>
      </c>
      <c r="AO26" s="22">
        <f t="shared" si="19"/>
        <v>0</v>
      </c>
      <c r="AP26" s="29">
        <f t="shared" si="20"/>
        <v>-1</v>
      </c>
      <c r="AQ26" s="22"/>
      <c r="AR26" s="22"/>
      <c r="AS26" s="29" t="e">
        <f t="shared" si="21"/>
        <v>#DIV/0!</v>
      </c>
      <c r="AT26" s="22">
        <f t="shared" si="22"/>
        <v>25149</v>
      </c>
      <c r="AU26" s="22">
        <f t="shared" si="23"/>
        <v>0</v>
      </c>
      <c r="AV26" s="29">
        <f t="shared" si="24"/>
        <v>-1</v>
      </c>
      <c r="AW26" s="38"/>
      <c r="AX26" s="38"/>
      <c r="AY26" s="29" t="e">
        <f t="shared" si="25"/>
        <v>#DIV/0!</v>
      </c>
      <c r="AZ26" s="38">
        <f t="shared" si="26"/>
        <v>25149</v>
      </c>
      <c r="BA26" s="38">
        <f t="shared" si="27"/>
        <v>0</v>
      </c>
      <c r="BB26" s="29">
        <f t="shared" si="28"/>
        <v>-1</v>
      </c>
      <c r="BC26" s="38"/>
      <c r="BD26" s="38"/>
      <c r="BE26" s="29" t="e">
        <f t="shared" si="29"/>
        <v>#DIV/0!</v>
      </c>
      <c r="BF26" s="38">
        <f t="shared" si="30"/>
        <v>25149</v>
      </c>
      <c r="BG26" s="38">
        <f t="shared" si="31"/>
        <v>0</v>
      </c>
      <c r="BH26" s="29">
        <f t="shared" si="32"/>
        <v>-1</v>
      </c>
      <c r="BI26" s="102"/>
      <c r="BJ26" s="111"/>
      <c r="BK26" s="22"/>
      <c r="BL26" s="22">
        <v>25149</v>
      </c>
      <c r="BM26" s="96" t="e">
        <f t="shared" si="33"/>
        <v>#DIV/0!</v>
      </c>
      <c r="BN26" s="22"/>
      <c r="BO26" s="22"/>
    </row>
    <row r="27" spans="1:67">
      <c r="A27" s="80" t="s">
        <v>29</v>
      </c>
      <c r="B27" s="80" t="s">
        <v>29</v>
      </c>
      <c r="C27" s="81" t="s">
        <v>247</v>
      </c>
      <c r="D27" s="33" t="s">
        <v>102</v>
      </c>
      <c r="E27" s="33" t="s">
        <v>102</v>
      </c>
      <c r="F27" s="33" t="s">
        <v>213</v>
      </c>
      <c r="G27" s="33" t="s">
        <v>213</v>
      </c>
      <c r="H27" s="33" t="s">
        <v>214</v>
      </c>
      <c r="I27" s="110">
        <v>4.8747999999999996</v>
      </c>
      <c r="J27" s="111">
        <v>10328</v>
      </c>
      <c r="K27" s="111"/>
      <c r="L27" s="29">
        <f t="shared" si="0"/>
        <v>-1</v>
      </c>
      <c r="M27" s="22"/>
      <c r="N27" s="22"/>
      <c r="O27" s="29" t="e">
        <f t="shared" si="1"/>
        <v>#DIV/0!</v>
      </c>
      <c r="P27" s="22">
        <f t="shared" si="2"/>
        <v>10328</v>
      </c>
      <c r="Q27" s="22">
        <f t="shared" si="3"/>
        <v>0</v>
      </c>
      <c r="R27" s="29">
        <f t="shared" si="4"/>
        <v>-1</v>
      </c>
      <c r="S27" s="38"/>
      <c r="T27" s="38"/>
      <c r="U27" s="29" t="e">
        <f t="shared" si="5"/>
        <v>#DIV/0!</v>
      </c>
      <c r="V27" s="38">
        <f t="shared" si="6"/>
        <v>10328</v>
      </c>
      <c r="W27" s="38">
        <f t="shared" si="7"/>
        <v>0</v>
      </c>
      <c r="X27" s="29">
        <f t="shared" si="8"/>
        <v>-1</v>
      </c>
      <c r="Y27" s="22">
        <v>9494</v>
      </c>
      <c r="Z27" s="22"/>
      <c r="AA27" s="29">
        <f t="shared" si="9"/>
        <v>-1</v>
      </c>
      <c r="AB27" s="22">
        <f t="shared" si="10"/>
        <v>19822</v>
      </c>
      <c r="AC27" s="22">
        <f t="shared" si="11"/>
        <v>0</v>
      </c>
      <c r="AD27" s="29">
        <f t="shared" si="12"/>
        <v>-1</v>
      </c>
      <c r="AE27" s="22">
        <v>10328</v>
      </c>
      <c r="AF27" s="22"/>
      <c r="AG27" s="29">
        <f t="shared" si="13"/>
        <v>-1</v>
      </c>
      <c r="AH27" s="22">
        <f t="shared" si="14"/>
        <v>30150</v>
      </c>
      <c r="AI27" s="22">
        <f t="shared" si="15"/>
        <v>0</v>
      </c>
      <c r="AJ27" s="29">
        <f t="shared" si="16"/>
        <v>-1</v>
      </c>
      <c r="AK27" s="22"/>
      <c r="AL27" s="22"/>
      <c r="AM27" s="29" t="e">
        <f t="shared" si="17"/>
        <v>#DIV/0!</v>
      </c>
      <c r="AN27" s="22">
        <f t="shared" si="18"/>
        <v>30150</v>
      </c>
      <c r="AO27" s="22">
        <f t="shared" si="19"/>
        <v>0</v>
      </c>
      <c r="AP27" s="29">
        <f t="shared" si="20"/>
        <v>-1</v>
      </c>
      <c r="AQ27" s="22"/>
      <c r="AR27" s="22"/>
      <c r="AS27" s="29" t="e">
        <f t="shared" si="21"/>
        <v>#DIV/0!</v>
      </c>
      <c r="AT27" s="22">
        <f t="shared" si="22"/>
        <v>30150</v>
      </c>
      <c r="AU27" s="22">
        <f t="shared" si="23"/>
        <v>0</v>
      </c>
      <c r="AV27" s="29">
        <f t="shared" si="24"/>
        <v>-1</v>
      </c>
      <c r="AW27" s="38"/>
      <c r="AX27" s="38">
        <v>10328</v>
      </c>
      <c r="AY27" s="29" t="e">
        <f t="shared" si="25"/>
        <v>#DIV/0!</v>
      </c>
      <c r="AZ27" s="38">
        <f t="shared" si="26"/>
        <v>30150</v>
      </c>
      <c r="BA27" s="38">
        <f t="shared" si="27"/>
        <v>10328</v>
      </c>
      <c r="BB27" s="29">
        <f t="shared" si="28"/>
        <v>-0.65744610281923699</v>
      </c>
      <c r="BC27" s="38"/>
      <c r="BD27" s="38"/>
      <c r="BE27" s="29" t="e">
        <f t="shared" si="29"/>
        <v>#DIV/0!</v>
      </c>
      <c r="BF27" s="38">
        <f t="shared" si="30"/>
        <v>30150</v>
      </c>
      <c r="BG27" s="38">
        <f t="shared" si="31"/>
        <v>10328</v>
      </c>
      <c r="BH27" s="29">
        <f t="shared" si="32"/>
        <v>-0.65744610281923699</v>
      </c>
      <c r="BI27" s="102"/>
      <c r="BJ27" s="111"/>
      <c r="BK27" s="22">
        <v>20656</v>
      </c>
      <c r="BL27" s="22">
        <v>50806</v>
      </c>
      <c r="BM27" s="96">
        <f t="shared" si="33"/>
        <v>0.211865102158037</v>
      </c>
      <c r="BN27" s="22"/>
      <c r="BO27" s="22"/>
    </row>
    <row r="28" spans="1:67">
      <c r="A28" s="80" t="s">
        <v>29</v>
      </c>
      <c r="B28" s="80" t="s">
        <v>29</v>
      </c>
      <c r="C28" s="81" t="s">
        <v>248</v>
      </c>
      <c r="D28" s="33" t="s">
        <v>61</v>
      </c>
      <c r="E28" s="33" t="s">
        <v>61</v>
      </c>
      <c r="F28" s="33" t="s">
        <v>213</v>
      </c>
      <c r="G28" s="33" t="s">
        <v>213</v>
      </c>
      <c r="H28" s="33" t="s">
        <v>214</v>
      </c>
      <c r="I28" s="110">
        <v>3</v>
      </c>
      <c r="J28" s="111"/>
      <c r="K28" s="111"/>
      <c r="L28" s="29" t="e">
        <f t="shared" si="0"/>
        <v>#DIV/0!</v>
      </c>
      <c r="M28" s="22"/>
      <c r="N28" s="22"/>
      <c r="O28" s="29" t="e">
        <f t="shared" si="1"/>
        <v>#DIV/0!</v>
      </c>
      <c r="P28" s="22">
        <f t="shared" si="2"/>
        <v>0</v>
      </c>
      <c r="Q28" s="22">
        <f t="shared" si="3"/>
        <v>0</v>
      </c>
      <c r="R28" s="29" t="e">
        <f t="shared" si="4"/>
        <v>#DIV/0!</v>
      </c>
      <c r="S28" s="38">
        <v>8707</v>
      </c>
      <c r="T28" s="38"/>
      <c r="U28" s="29">
        <f t="shared" si="5"/>
        <v>-1</v>
      </c>
      <c r="V28" s="38">
        <f t="shared" si="6"/>
        <v>8707</v>
      </c>
      <c r="W28" s="38">
        <f t="shared" si="7"/>
        <v>0</v>
      </c>
      <c r="X28" s="29">
        <f t="shared" si="8"/>
        <v>-1</v>
      </c>
      <c r="Y28" s="22">
        <v>2224</v>
      </c>
      <c r="Z28" s="22"/>
      <c r="AA28" s="29">
        <f t="shared" si="9"/>
        <v>-1</v>
      </c>
      <c r="AB28" s="22">
        <f t="shared" si="10"/>
        <v>10931</v>
      </c>
      <c r="AC28" s="22">
        <f t="shared" si="11"/>
        <v>0</v>
      </c>
      <c r="AD28" s="29">
        <f t="shared" si="12"/>
        <v>-1</v>
      </c>
      <c r="AE28" s="22">
        <v>3539</v>
      </c>
      <c r="AF28" s="22"/>
      <c r="AG28" s="29">
        <f t="shared" si="13"/>
        <v>-1</v>
      </c>
      <c r="AH28" s="22">
        <f t="shared" si="14"/>
        <v>14470</v>
      </c>
      <c r="AI28" s="22">
        <f t="shared" si="15"/>
        <v>0</v>
      </c>
      <c r="AJ28" s="29">
        <f t="shared" si="16"/>
        <v>-1</v>
      </c>
      <c r="AK28" s="22"/>
      <c r="AL28" s="22"/>
      <c r="AM28" s="29" t="e">
        <f t="shared" si="17"/>
        <v>#DIV/0!</v>
      </c>
      <c r="AN28" s="22">
        <f t="shared" si="18"/>
        <v>14470</v>
      </c>
      <c r="AO28" s="22">
        <f t="shared" si="19"/>
        <v>0</v>
      </c>
      <c r="AP28" s="29">
        <f t="shared" si="20"/>
        <v>-1</v>
      </c>
      <c r="AQ28" s="22"/>
      <c r="AR28" s="22"/>
      <c r="AS28" s="29" t="e">
        <f t="shared" si="21"/>
        <v>#DIV/0!</v>
      </c>
      <c r="AT28" s="22">
        <f t="shared" si="22"/>
        <v>14470</v>
      </c>
      <c r="AU28" s="22">
        <f t="shared" si="23"/>
        <v>0</v>
      </c>
      <c r="AV28" s="29">
        <f t="shared" si="24"/>
        <v>-1</v>
      </c>
      <c r="AW28" s="38"/>
      <c r="AX28" s="38"/>
      <c r="AY28" s="29" t="e">
        <f t="shared" si="25"/>
        <v>#DIV/0!</v>
      </c>
      <c r="AZ28" s="38">
        <f t="shared" si="26"/>
        <v>14470</v>
      </c>
      <c r="BA28" s="38">
        <f t="shared" si="27"/>
        <v>0</v>
      </c>
      <c r="BB28" s="29">
        <f t="shared" si="28"/>
        <v>-1</v>
      </c>
      <c r="BC28" s="38"/>
      <c r="BD28" s="38">
        <v>6445</v>
      </c>
      <c r="BE28" s="29" t="e">
        <f t="shared" si="29"/>
        <v>#DIV/0!</v>
      </c>
      <c r="BF28" s="38">
        <f t="shared" si="30"/>
        <v>14470</v>
      </c>
      <c r="BG28" s="38">
        <f t="shared" si="31"/>
        <v>6445</v>
      </c>
      <c r="BH28" s="29">
        <f t="shared" si="32"/>
        <v>-0.55459571527297902</v>
      </c>
      <c r="BI28" s="102"/>
      <c r="BJ28" s="111">
        <v>5716</v>
      </c>
      <c r="BK28" s="22"/>
      <c r="BL28" s="22">
        <v>20186</v>
      </c>
      <c r="BM28" s="96">
        <f t="shared" si="33"/>
        <v>0.21483333333333299</v>
      </c>
      <c r="BN28" s="22"/>
      <c r="BO28" s="22"/>
    </row>
    <row r="29" spans="1:67">
      <c r="A29" s="80" t="s">
        <v>29</v>
      </c>
      <c r="B29" s="80" t="s">
        <v>29</v>
      </c>
      <c r="C29" s="81" t="s">
        <v>249</v>
      </c>
      <c r="D29" s="33" t="s">
        <v>102</v>
      </c>
      <c r="E29" s="33" t="s">
        <v>102</v>
      </c>
      <c r="F29" s="33" t="s">
        <v>222</v>
      </c>
      <c r="G29" s="33" t="s">
        <v>222</v>
      </c>
      <c r="H29" s="22" t="s">
        <v>223</v>
      </c>
      <c r="I29" s="110">
        <v>10</v>
      </c>
      <c r="J29" s="111">
        <v>35619</v>
      </c>
      <c r="K29" s="111"/>
      <c r="L29" s="29">
        <f t="shared" si="0"/>
        <v>-1</v>
      </c>
      <c r="M29" s="22"/>
      <c r="N29" s="22"/>
      <c r="O29" s="29" t="e">
        <f t="shared" si="1"/>
        <v>#DIV/0!</v>
      </c>
      <c r="P29" s="22">
        <f t="shared" si="2"/>
        <v>35619</v>
      </c>
      <c r="Q29" s="22">
        <f t="shared" si="3"/>
        <v>0</v>
      </c>
      <c r="R29" s="29">
        <f t="shared" si="4"/>
        <v>-1</v>
      </c>
      <c r="S29" s="38"/>
      <c r="T29" s="38"/>
      <c r="U29" s="29" t="e">
        <f t="shared" si="5"/>
        <v>#DIV/0!</v>
      </c>
      <c r="V29" s="38">
        <f t="shared" si="6"/>
        <v>35619</v>
      </c>
      <c r="W29" s="38">
        <f t="shared" si="7"/>
        <v>0</v>
      </c>
      <c r="X29" s="29">
        <f t="shared" si="8"/>
        <v>-1</v>
      </c>
      <c r="Y29" s="22"/>
      <c r="Z29" s="22"/>
      <c r="AA29" s="29" t="e">
        <f t="shared" si="9"/>
        <v>#DIV/0!</v>
      </c>
      <c r="AB29" s="22">
        <f t="shared" si="10"/>
        <v>35619</v>
      </c>
      <c r="AC29" s="22">
        <f t="shared" si="11"/>
        <v>0</v>
      </c>
      <c r="AD29" s="29">
        <f t="shared" si="12"/>
        <v>-1</v>
      </c>
      <c r="AE29" s="22"/>
      <c r="AF29" s="22"/>
      <c r="AG29" s="29" t="e">
        <f t="shared" si="13"/>
        <v>#DIV/0!</v>
      </c>
      <c r="AH29" s="22">
        <f t="shared" si="14"/>
        <v>35619</v>
      </c>
      <c r="AI29" s="22">
        <f t="shared" si="15"/>
        <v>0</v>
      </c>
      <c r="AJ29" s="29">
        <f t="shared" si="16"/>
        <v>-1</v>
      </c>
      <c r="AK29" s="22"/>
      <c r="AL29" s="22"/>
      <c r="AM29" s="29" t="e">
        <f t="shared" si="17"/>
        <v>#DIV/0!</v>
      </c>
      <c r="AN29" s="22">
        <f t="shared" si="18"/>
        <v>35619</v>
      </c>
      <c r="AO29" s="22">
        <f t="shared" si="19"/>
        <v>0</v>
      </c>
      <c r="AP29" s="29">
        <f t="shared" si="20"/>
        <v>-1</v>
      </c>
      <c r="AQ29" s="22"/>
      <c r="AR29" s="22"/>
      <c r="AS29" s="29" t="e">
        <f t="shared" si="21"/>
        <v>#DIV/0!</v>
      </c>
      <c r="AT29" s="22">
        <f t="shared" si="22"/>
        <v>35619</v>
      </c>
      <c r="AU29" s="22">
        <f t="shared" si="23"/>
        <v>0</v>
      </c>
      <c r="AV29" s="29">
        <f t="shared" si="24"/>
        <v>-1</v>
      </c>
      <c r="AW29" s="38"/>
      <c r="AX29" s="38"/>
      <c r="AY29" s="29" t="e">
        <f t="shared" si="25"/>
        <v>#DIV/0!</v>
      </c>
      <c r="AZ29" s="38">
        <f t="shared" si="26"/>
        <v>35619</v>
      </c>
      <c r="BA29" s="38">
        <f t="shared" si="27"/>
        <v>0</v>
      </c>
      <c r="BB29" s="29">
        <f t="shared" si="28"/>
        <v>-1</v>
      </c>
      <c r="BC29" s="38"/>
      <c r="BD29" s="38"/>
      <c r="BE29" s="29" t="e">
        <f t="shared" si="29"/>
        <v>#DIV/0!</v>
      </c>
      <c r="BF29" s="38">
        <f t="shared" si="30"/>
        <v>35619</v>
      </c>
      <c r="BG29" s="38">
        <f t="shared" si="31"/>
        <v>0</v>
      </c>
      <c r="BH29" s="29">
        <f t="shared" si="32"/>
        <v>-1</v>
      </c>
      <c r="BI29" s="102"/>
      <c r="BJ29" s="111"/>
      <c r="BK29" s="22"/>
      <c r="BL29" s="22">
        <v>35619</v>
      </c>
      <c r="BM29" s="96">
        <f t="shared" si="33"/>
        <v>0</v>
      </c>
      <c r="BN29" s="22"/>
      <c r="BO29" s="22"/>
    </row>
    <row r="30" spans="1:67">
      <c r="A30" s="80" t="s">
        <v>29</v>
      </c>
      <c r="B30" s="80" t="s">
        <v>29</v>
      </c>
      <c r="C30" s="108" t="s">
        <v>250</v>
      </c>
      <c r="D30" s="33" t="s">
        <v>102</v>
      </c>
      <c r="E30" s="33" t="s">
        <v>102</v>
      </c>
      <c r="F30" s="33" t="s">
        <v>230</v>
      </c>
      <c r="G30" s="33" t="s">
        <v>230</v>
      </c>
      <c r="H30" s="33" t="s">
        <v>219</v>
      </c>
      <c r="I30" s="110">
        <v>30</v>
      </c>
      <c r="J30" s="111">
        <v>32882</v>
      </c>
      <c r="K30" s="111">
        <v>36829</v>
      </c>
      <c r="L30" s="29">
        <f t="shared" si="0"/>
        <v>0.12003527765951</v>
      </c>
      <c r="M30" s="22"/>
      <c r="N30" s="22"/>
      <c r="O30" s="29" t="e">
        <f t="shared" si="1"/>
        <v>#DIV/0!</v>
      </c>
      <c r="P30" s="22">
        <f t="shared" si="2"/>
        <v>32882</v>
      </c>
      <c r="Q30" s="22">
        <f t="shared" si="3"/>
        <v>36829</v>
      </c>
      <c r="R30" s="29">
        <f t="shared" si="4"/>
        <v>0.12003527765951</v>
      </c>
      <c r="S30" s="38">
        <v>4598</v>
      </c>
      <c r="T30" s="38"/>
      <c r="U30" s="29">
        <f t="shared" si="5"/>
        <v>-1</v>
      </c>
      <c r="V30" s="38">
        <f t="shared" si="6"/>
        <v>37480</v>
      </c>
      <c r="W30" s="38">
        <f t="shared" si="7"/>
        <v>36829</v>
      </c>
      <c r="X30" s="29">
        <f t="shared" si="8"/>
        <v>-1.7369263607257199E-2</v>
      </c>
      <c r="Y30" s="22">
        <v>63078</v>
      </c>
      <c r="Z30" s="22">
        <v>10328</v>
      </c>
      <c r="AA30" s="29">
        <f t="shared" si="9"/>
        <v>-0.83626621008909596</v>
      </c>
      <c r="AB30" s="22">
        <f t="shared" si="10"/>
        <v>100558</v>
      </c>
      <c r="AC30" s="22">
        <f t="shared" si="11"/>
        <v>47157</v>
      </c>
      <c r="AD30" s="29">
        <f t="shared" si="12"/>
        <v>-0.53104675908430998</v>
      </c>
      <c r="AE30" s="22">
        <v>9859</v>
      </c>
      <c r="AF30" s="22">
        <v>4068</v>
      </c>
      <c r="AG30" s="29">
        <f t="shared" si="13"/>
        <v>-0.58738208743280296</v>
      </c>
      <c r="AH30" s="22">
        <f t="shared" si="14"/>
        <v>110417</v>
      </c>
      <c r="AI30" s="22">
        <f t="shared" si="15"/>
        <v>51225</v>
      </c>
      <c r="AJ30" s="29">
        <f t="shared" si="16"/>
        <v>-0.53607687222076295</v>
      </c>
      <c r="AK30" s="22">
        <v>3868</v>
      </c>
      <c r="AL30" s="22"/>
      <c r="AM30" s="29">
        <f t="shared" si="17"/>
        <v>-1</v>
      </c>
      <c r="AN30" s="22">
        <f t="shared" si="18"/>
        <v>114285</v>
      </c>
      <c r="AO30" s="22">
        <f t="shared" si="19"/>
        <v>51225</v>
      </c>
      <c r="AP30" s="29">
        <f t="shared" si="20"/>
        <v>-0.55177844861530401</v>
      </c>
      <c r="AQ30" s="22"/>
      <c r="AR30" s="22"/>
      <c r="AS30" s="29" t="e">
        <f t="shared" si="21"/>
        <v>#DIV/0!</v>
      </c>
      <c r="AT30" s="22">
        <f t="shared" si="22"/>
        <v>114285</v>
      </c>
      <c r="AU30" s="22">
        <f t="shared" si="23"/>
        <v>51225</v>
      </c>
      <c r="AV30" s="29">
        <f t="shared" si="24"/>
        <v>-0.55177844861530401</v>
      </c>
      <c r="AW30" s="38"/>
      <c r="AX30" s="38"/>
      <c r="AY30" s="29" t="e">
        <f t="shared" si="25"/>
        <v>#DIV/0!</v>
      </c>
      <c r="AZ30" s="38">
        <f t="shared" si="26"/>
        <v>114285</v>
      </c>
      <c r="BA30" s="38">
        <f t="shared" si="27"/>
        <v>51225</v>
      </c>
      <c r="BB30" s="29">
        <f t="shared" si="28"/>
        <v>-0.55177844861530401</v>
      </c>
      <c r="BC30" s="38"/>
      <c r="BD30" s="38"/>
      <c r="BE30" s="29" t="e">
        <f t="shared" si="29"/>
        <v>#DIV/0!</v>
      </c>
      <c r="BF30" s="38">
        <f t="shared" si="30"/>
        <v>114285</v>
      </c>
      <c r="BG30" s="38">
        <f t="shared" si="31"/>
        <v>51225</v>
      </c>
      <c r="BH30" s="29">
        <f t="shared" si="32"/>
        <v>-0.55177844861530401</v>
      </c>
      <c r="BI30" s="102">
        <v>10000</v>
      </c>
      <c r="BJ30" s="111">
        <v>4742</v>
      </c>
      <c r="BK30" s="22"/>
      <c r="BL30" s="22">
        <v>129027</v>
      </c>
      <c r="BM30" s="96">
        <f t="shared" si="33"/>
        <v>0.17075000000000001</v>
      </c>
      <c r="BN30" s="22"/>
      <c r="BO30" s="22"/>
    </row>
    <row r="31" spans="1:67">
      <c r="A31" s="80" t="s">
        <v>29</v>
      </c>
      <c r="B31" s="80" t="s">
        <v>29</v>
      </c>
      <c r="C31" s="108" t="s">
        <v>251</v>
      </c>
      <c r="D31" s="33" t="s">
        <v>102</v>
      </c>
      <c r="E31" s="33" t="s">
        <v>102</v>
      </c>
      <c r="F31" s="33" t="s">
        <v>217</v>
      </c>
      <c r="G31" s="33" t="s">
        <v>218</v>
      </c>
      <c r="H31" s="33" t="s">
        <v>219</v>
      </c>
      <c r="I31" s="110">
        <v>0</v>
      </c>
      <c r="J31" s="111"/>
      <c r="K31" s="111"/>
      <c r="L31" s="29" t="e">
        <f t="shared" si="0"/>
        <v>#DIV/0!</v>
      </c>
      <c r="M31" s="22"/>
      <c r="N31" s="22"/>
      <c r="O31" s="29" t="e">
        <f t="shared" si="1"/>
        <v>#DIV/0!</v>
      </c>
      <c r="P31" s="22">
        <f t="shared" si="2"/>
        <v>0</v>
      </c>
      <c r="Q31" s="22">
        <f t="shared" si="3"/>
        <v>0</v>
      </c>
      <c r="R31" s="29" t="e">
        <f t="shared" si="4"/>
        <v>#DIV/0!</v>
      </c>
      <c r="S31" s="38"/>
      <c r="T31" s="38"/>
      <c r="U31" s="29" t="e">
        <f t="shared" si="5"/>
        <v>#DIV/0!</v>
      </c>
      <c r="V31" s="38">
        <f t="shared" si="6"/>
        <v>0</v>
      </c>
      <c r="W31" s="38">
        <f t="shared" si="7"/>
        <v>0</v>
      </c>
      <c r="X31" s="29" t="e">
        <f t="shared" si="8"/>
        <v>#DIV/0!</v>
      </c>
      <c r="Y31" s="22"/>
      <c r="Z31" s="22"/>
      <c r="AA31" s="29" t="e">
        <f t="shared" si="9"/>
        <v>#DIV/0!</v>
      </c>
      <c r="AB31" s="22">
        <f t="shared" si="10"/>
        <v>0</v>
      </c>
      <c r="AC31" s="22">
        <f t="shared" si="11"/>
        <v>0</v>
      </c>
      <c r="AD31" s="29" t="e">
        <f t="shared" si="12"/>
        <v>#DIV/0!</v>
      </c>
      <c r="AE31" s="22"/>
      <c r="AF31" s="22"/>
      <c r="AG31" s="29" t="e">
        <f t="shared" si="13"/>
        <v>#DIV/0!</v>
      </c>
      <c r="AH31" s="22">
        <f t="shared" si="14"/>
        <v>0</v>
      </c>
      <c r="AI31" s="22">
        <f t="shared" si="15"/>
        <v>0</v>
      </c>
      <c r="AJ31" s="29" t="e">
        <f t="shared" si="16"/>
        <v>#DIV/0!</v>
      </c>
      <c r="AK31" s="22"/>
      <c r="AL31" s="22"/>
      <c r="AM31" s="29" t="e">
        <f t="shared" si="17"/>
        <v>#DIV/0!</v>
      </c>
      <c r="AN31" s="22">
        <f t="shared" si="18"/>
        <v>0</v>
      </c>
      <c r="AO31" s="22">
        <f t="shared" si="19"/>
        <v>0</v>
      </c>
      <c r="AP31" s="29" t="e">
        <f t="shared" si="20"/>
        <v>#DIV/0!</v>
      </c>
      <c r="AQ31" s="22"/>
      <c r="AR31" s="22"/>
      <c r="AS31" s="29" t="e">
        <f t="shared" si="21"/>
        <v>#DIV/0!</v>
      </c>
      <c r="AT31" s="22">
        <f t="shared" si="22"/>
        <v>0</v>
      </c>
      <c r="AU31" s="22">
        <f t="shared" si="23"/>
        <v>0</v>
      </c>
      <c r="AV31" s="29" t="e">
        <f t="shared" si="24"/>
        <v>#DIV/0!</v>
      </c>
      <c r="AW31" s="38"/>
      <c r="AX31" s="38"/>
      <c r="AY31" s="29" t="e">
        <f t="shared" si="25"/>
        <v>#DIV/0!</v>
      </c>
      <c r="AZ31" s="38">
        <f t="shared" si="26"/>
        <v>0</v>
      </c>
      <c r="BA31" s="38">
        <f t="shared" si="27"/>
        <v>0</v>
      </c>
      <c r="BB31" s="29" t="e">
        <f t="shared" si="28"/>
        <v>#DIV/0!</v>
      </c>
      <c r="BC31" s="38"/>
      <c r="BD31" s="38"/>
      <c r="BE31" s="29" t="e">
        <f t="shared" si="29"/>
        <v>#DIV/0!</v>
      </c>
      <c r="BF31" s="38">
        <f t="shared" si="30"/>
        <v>0</v>
      </c>
      <c r="BG31" s="38">
        <f t="shared" si="31"/>
        <v>0</v>
      </c>
      <c r="BH31" s="29" t="e">
        <f t="shared" si="32"/>
        <v>#DIV/0!</v>
      </c>
      <c r="BI31" s="102"/>
      <c r="BJ31" s="111">
        <v>18239</v>
      </c>
      <c r="BK31" s="22">
        <v>18239</v>
      </c>
      <c r="BL31" s="22">
        <v>36478</v>
      </c>
      <c r="BM31" s="96" t="e">
        <f t="shared" si="33"/>
        <v>#DIV/0!</v>
      </c>
      <c r="BN31" s="22"/>
      <c r="BO31" s="22"/>
    </row>
    <row r="32" spans="1:67">
      <c r="A32" s="80" t="s">
        <v>29</v>
      </c>
      <c r="B32" s="80" t="s">
        <v>29</v>
      </c>
      <c r="C32" s="108" t="s">
        <v>252</v>
      </c>
      <c r="D32" s="33" t="s">
        <v>114</v>
      </c>
      <c r="E32" s="33" t="s">
        <v>114</v>
      </c>
      <c r="F32" s="33" t="s">
        <v>217</v>
      </c>
      <c r="G32" s="33" t="s">
        <v>218</v>
      </c>
      <c r="H32" s="33" t="s">
        <v>219</v>
      </c>
      <c r="I32" s="110">
        <v>0</v>
      </c>
      <c r="J32" s="111">
        <v>2780</v>
      </c>
      <c r="K32" s="111"/>
      <c r="L32" s="29">
        <f t="shared" si="0"/>
        <v>-1</v>
      </c>
      <c r="M32" s="22"/>
      <c r="N32" s="22"/>
      <c r="O32" s="29" t="e">
        <f t="shared" si="1"/>
        <v>#DIV/0!</v>
      </c>
      <c r="P32" s="22">
        <f t="shared" si="2"/>
        <v>2780</v>
      </c>
      <c r="Q32" s="22">
        <f t="shared" si="3"/>
        <v>0</v>
      </c>
      <c r="R32" s="29">
        <f t="shared" si="4"/>
        <v>-1</v>
      </c>
      <c r="S32" s="38"/>
      <c r="T32" s="38"/>
      <c r="U32" s="29" t="e">
        <f t="shared" si="5"/>
        <v>#DIV/0!</v>
      </c>
      <c r="V32" s="38">
        <f t="shared" si="6"/>
        <v>2780</v>
      </c>
      <c r="W32" s="38">
        <f t="shared" si="7"/>
        <v>0</v>
      </c>
      <c r="X32" s="29">
        <f t="shared" si="8"/>
        <v>-1</v>
      </c>
      <c r="Y32" s="22"/>
      <c r="Z32" s="22"/>
      <c r="AA32" s="29" t="e">
        <f t="shared" si="9"/>
        <v>#DIV/0!</v>
      </c>
      <c r="AB32" s="22">
        <f t="shared" si="10"/>
        <v>2780</v>
      </c>
      <c r="AC32" s="22">
        <f t="shared" si="11"/>
        <v>0</v>
      </c>
      <c r="AD32" s="29">
        <f t="shared" si="12"/>
        <v>-1</v>
      </c>
      <c r="AE32" s="22"/>
      <c r="AF32" s="22"/>
      <c r="AG32" s="29" t="e">
        <f t="shared" si="13"/>
        <v>#DIV/0!</v>
      </c>
      <c r="AH32" s="22">
        <f t="shared" si="14"/>
        <v>2780</v>
      </c>
      <c r="AI32" s="22">
        <f t="shared" si="15"/>
        <v>0</v>
      </c>
      <c r="AJ32" s="29">
        <f t="shared" si="16"/>
        <v>-1</v>
      </c>
      <c r="AK32" s="22">
        <v>2594</v>
      </c>
      <c r="AL32" s="22"/>
      <c r="AM32" s="29">
        <f t="shared" si="17"/>
        <v>-1</v>
      </c>
      <c r="AN32" s="22">
        <f t="shared" si="18"/>
        <v>5374</v>
      </c>
      <c r="AO32" s="22">
        <f t="shared" si="19"/>
        <v>0</v>
      </c>
      <c r="AP32" s="29">
        <f t="shared" si="20"/>
        <v>-1</v>
      </c>
      <c r="AQ32" s="22"/>
      <c r="AR32" s="22"/>
      <c r="AS32" s="29" t="e">
        <f t="shared" si="21"/>
        <v>#DIV/0!</v>
      </c>
      <c r="AT32" s="22">
        <f t="shared" si="22"/>
        <v>5374</v>
      </c>
      <c r="AU32" s="22">
        <f t="shared" si="23"/>
        <v>0</v>
      </c>
      <c r="AV32" s="29">
        <f t="shared" si="24"/>
        <v>-1</v>
      </c>
      <c r="AW32" s="38"/>
      <c r="AX32" s="38"/>
      <c r="AY32" s="29" t="e">
        <f t="shared" si="25"/>
        <v>#DIV/0!</v>
      </c>
      <c r="AZ32" s="38">
        <f t="shared" si="26"/>
        <v>5374</v>
      </c>
      <c r="BA32" s="38">
        <f t="shared" si="27"/>
        <v>0</v>
      </c>
      <c r="BB32" s="29">
        <f t="shared" si="28"/>
        <v>-1</v>
      </c>
      <c r="BC32" s="38"/>
      <c r="BD32" s="38"/>
      <c r="BE32" s="29" t="e">
        <f t="shared" si="29"/>
        <v>#DIV/0!</v>
      </c>
      <c r="BF32" s="38">
        <f t="shared" si="30"/>
        <v>5374</v>
      </c>
      <c r="BG32" s="38">
        <f t="shared" si="31"/>
        <v>0</v>
      </c>
      <c r="BH32" s="29">
        <f t="shared" si="32"/>
        <v>-1</v>
      </c>
      <c r="BI32" s="102"/>
      <c r="BJ32" s="111"/>
      <c r="BK32" s="22">
        <v>2594</v>
      </c>
      <c r="BL32" s="22">
        <v>7968</v>
      </c>
      <c r="BM32" s="96" t="e">
        <f t="shared" si="33"/>
        <v>#DIV/0!</v>
      </c>
      <c r="BN32" s="22"/>
      <c r="BO32" s="22"/>
    </row>
    <row r="33" spans="1:67">
      <c r="A33" s="80" t="s">
        <v>29</v>
      </c>
      <c r="B33" s="80" t="s">
        <v>29</v>
      </c>
      <c r="C33" s="108" t="s">
        <v>253</v>
      </c>
      <c r="D33" s="33" t="s">
        <v>102</v>
      </c>
      <c r="E33" s="33" t="s">
        <v>102</v>
      </c>
      <c r="F33" s="176" t="s">
        <v>230</v>
      </c>
      <c r="G33" s="176" t="s">
        <v>230</v>
      </c>
      <c r="H33" s="22" t="s">
        <v>223</v>
      </c>
      <c r="I33" s="110">
        <v>10</v>
      </c>
      <c r="J33" s="111"/>
      <c r="K33" s="111"/>
      <c r="L33" s="29" t="e">
        <f t="shared" si="0"/>
        <v>#DIV/0!</v>
      </c>
      <c r="M33" s="22">
        <v>16642</v>
      </c>
      <c r="N33" s="22"/>
      <c r="O33" s="29">
        <f t="shared" si="1"/>
        <v>-1</v>
      </c>
      <c r="P33" s="22">
        <f t="shared" si="2"/>
        <v>16642</v>
      </c>
      <c r="Q33" s="22">
        <f t="shared" si="3"/>
        <v>0</v>
      </c>
      <c r="R33" s="29">
        <f t="shared" si="4"/>
        <v>-1</v>
      </c>
      <c r="S33" s="38"/>
      <c r="T33" s="38">
        <v>1857</v>
      </c>
      <c r="U33" s="29" t="e">
        <f t="shared" si="5"/>
        <v>#DIV/0!</v>
      </c>
      <c r="V33" s="38">
        <f t="shared" si="6"/>
        <v>16642</v>
      </c>
      <c r="W33" s="38">
        <f t="shared" si="7"/>
        <v>1857</v>
      </c>
      <c r="X33" s="29">
        <f t="shared" si="8"/>
        <v>-0.88841485398389597</v>
      </c>
      <c r="Y33" s="22">
        <v>10388</v>
      </c>
      <c r="Z33" s="22"/>
      <c r="AA33" s="29">
        <f t="shared" si="9"/>
        <v>-1</v>
      </c>
      <c r="AB33" s="22">
        <f t="shared" si="10"/>
        <v>27030</v>
      </c>
      <c r="AC33" s="22">
        <f t="shared" si="11"/>
        <v>1857</v>
      </c>
      <c r="AD33" s="29">
        <f t="shared" si="12"/>
        <v>-0.93129855715871301</v>
      </c>
      <c r="AE33" s="22">
        <v>2624</v>
      </c>
      <c r="AF33" s="22"/>
      <c r="AG33" s="29">
        <f t="shared" si="13"/>
        <v>-1</v>
      </c>
      <c r="AH33" s="22">
        <f t="shared" si="14"/>
        <v>29654</v>
      </c>
      <c r="AI33" s="22">
        <f t="shared" si="15"/>
        <v>1857</v>
      </c>
      <c r="AJ33" s="29">
        <f t="shared" si="16"/>
        <v>-0.93737775679503599</v>
      </c>
      <c r="AK33" s="22"/>
      <c r="AL33" s="22"/>
      <c r="AM33" s="29" t="e">
        <f t="shared" si="17"/>
        <v>#DIV/0!</v>
      </c>
      <c r="AN33" s="22">
        <f t="shared" si="18"/>
        <v>29654</v>
      </c>
      <c r="AO33" s="22">
        <f t="shared" si="19"/>
        <v>1857</v>
      </c>
      <c r="AP33" s="29">
        <f t="shared" si="20"/>
        <v>-0.93737775679503599</v>
      </c>
      <c r="AQ33" s="22"/>
      <c r="AR33" s="22"/>
      <c r="AS33" s="29" t="e">
        <f t="shared" si="21"/>
        <v>#DIV/0!</v>
      </c>
      <c r="AT33" s="22">
        <f t="shared" si="22"/>
        <v>29654</v>
      </c>
      <c r="AU33" s="22">
        <f t="shared" si="23"/>
        <v>1857</v>
      </c>
      <c r="AV33" s="29">
        <f t="shared" si="24"/>
        <v>-0.93737775679503599</v>
      </c>
      <c r="AW33" s="38"/>
      <c r="AX33" s="38"/>
      <c r="AY33" s="29" t="e">
        <f t="shared" si="25"/>
        <v>#DIV/0!</v>
      </c>
      <c r="AZ33" s="38">
        <f t="shared" si="26"/>
        <v>29654</v>
      </c>
      <c r="BA33" s="38">
        <f t="shared" si="27"/>
        <v>1857</v>
      </c>
      <c r="BB33" s="29">
        <f t="shared" si="28"/>
        <v>-0.93737775679503599</v>
      </c>
      <c r="BC33" s="38"/>
      <c r="BD33" s="38"/>
      <c r="BE33" s="29" t="e">
        <f t="shared" si="29"/>
        <v>#DIV/0!</v>
      </c>
      <c r="BF33" s="38">
        <f t="shared" si="30"/>
        <v>29654</v>
      </c>
      <c r="BG33" s="38">
        <f t="shared" si="31"/>
        <v>1857</v>
      </c>
      <c r="BH33" s="29">
        <f t="shared" si="32"/>
        <v>-0.93737775679503599</v>
      </c>
      <c r="BI33" s="102">
        <v>11543</v>
      </c>
      <c r="BJ33" s="111"/>
      <c r="BK33" s="22"/>
      <c r="BL33" s="22">
        <v>41197</v>
      </c>
      <c r="BM33" s="96">
        <f t="shared" si="33"/>
        <v>1.857E-2</v>
      </c>
      <c r="BN33" s="22"/>
      <c r="BO33" s="22"/>
    </row>
    <row r="34" spans="1:67">
      <c r="A34" s="80" t="s">
        <v>29</v>
      </c>
      <c r="B34" s="80" t="s">
        <v>29</v>
      </c>
      <c r="C34" s="108" t="s">
        <v>254</v>
      </c>
      <c r="D34" s="33" t="s">
        <v>61</v>
      </c>
      <c r="E34" s="33" t="s">
        <v>61</v>
      </c>
      <c r="F34" s="33" t="s">
        <v>217</v>
      </c>
      <c r="G34" s="33" t="s">
        <v>235</v>
      </c>
      <c r="H34" s="33" t="s">
        <v>219</v>
      </c>
      <c r="I34" s="110">
        <v>0</v>
      </c>
      <c r="J34" s="111"/>
      <c r="K34" s="111"/>
      <c r="L34" s="29" t="e">
        <f t="shared" si="0"/>
        <v>#DIV/0!</v>
      </c>
      <c r="M34" s="22"/>
      <c r="N34" s="22"/>
      <c r="O34" s="29" t="e">
        <f t="shared" si="1"/>
        <v>#DIV/0!</v>
      </c>
      <c r="P34" s="22">
        <f t="shared" si="2"/>
        <v>0</v>
      </c>
      <c r="Q34" s="22">
        <f t="shared" si="3"/>
        <v>0</v>
      </c>
      <c r="R34" s="29" t="e">
        <f t="shared" si="4"/>
        <v>#DIV/0!</v>
      </c>
      <c r="S34" s="38"/>
      <c r="T34" s="38"/>
      <c r="U34" s="29" t="e">
        <f t="shared" si="5"/>
        <v>#DIV/0!</v>
      </c>
      <c r="V34" s="38">
        <f t="shared" si="6"/>
        <v>0</v>
      </c>
      <c r="W34" s="38">
        <f t="shared" si="7"/>
        <v>0</v>
      </c>
      <c r="X34" s="29" t="e">
        <f t="shared" si="8"/>
        <v>#DIV/0!</v>
      </c>
      <c r="Y34" s="22"/>
      <c r="Z34" s="22"/>
      <c r="AA34" s="29" t="e">
        <f t="shared" si="9"/>
        <v>#DIV/0!</v>
      </c>
      <c r="AB34" s="22">
        <f t="shared" si="10"/>
        <v>0</v>
      </c>
      <c r="AC34" s="22">
        <f t="shared" si="11"/>
        <v>0</v>
      </c>
      <c r="AD34" s="29" t="e">
        <f t="shared" si="12"/>
        <v>#DIV/0!</v>
      </c>
      <c r="AE34" s="22"/>
      <c r="AF34" s="22"/>
      <c r="AG34" s="29" t="e">
        <f t="shared" si="13"/>
        <v>#DIV/0!</v>
      </c>
      <c r="AH34" s="22">
        <f t="shared" si="14"/>
        <v>0</v>
      </c>
      <c r="AI34" s="22">
        <f t="shared" si="15"/>
        <v>0</v>
      </c>
      <c r="AJ34" s="29" t="e">
        <f t="shared" si="16"/>
        <v>#DIV/0!</v>
      </c>
      <c r="AK34" s="22"/>
      <c r="AL34" s="22"/>
      <c r="AM34" s="29" t="e">
        <f t="shared" si="17"/>
        <v>#DIV/0!</v>
      </c>
      <c r="AN34" s="22">
        <f t="shared" si="18"/>
        <v>0</v>
      </c>
      <c r="AO34" s="22">
        <f t="shared" si="19"/>
        <v>0</v>
      </c>
      <c r="AP34" s="29" t="e">
        <f t="shared" si="20"/>
        <v>#DIV/0!</v>
      </c>
      <c r="AQ34" s="22"/>
      <c r="AR34" s="22"/>
      <c r="AS34" s="29" t="e">
        <f t="shared" si="21"/>
        <v>#DIV/0!</v>
      </c>
      <c r="AT34" s="22">
        <f t="shared" si="22"/>
        <v>0</v>
      </c>
      <c r="AU34" s="22">
        <f t="shared" si="23"/>
        <v>0</v>
      </c>
      <c r="AV34" s="29" t="e">
        <f t="shared" si="24"/>
        <v>#DIV/0!</v>
      </c>
      <c r="AW34" s="38"/>
      <c r="AX34" s="38"/>
      <c r="AY34" s="29" t="e">
        <f t="shared" si="25"/>
        <v>#DIV/0!</v>
      </c>
      <c r="AZ34" s="38">
        <f t="shared" si="26"/>
        <v>0</v>
      </c>
      <c r="BA34" s="38">
        <f t="shared" si="27"/>
        <v>0</v>
      </c>
      <c r="BB34" s="29" t="e">
        <f t="shared" si="28"/>
        <v>#DIV/0!</v>
      </c>
      <c r="BC34" s="38"/>
      <c r="BD34" s="38"/>
      <c r="BE34" s="29" t="e">
        <f t="shared" si="29"/>
        <v>#DIV/0!</v>
      </c>
      <c r="BF34" s="38">
        <f t="shared" si="30"/>
        <v>0</v>
      </c>
      <c r="BG34" s="38">
        <f t="shared" si="31"/>
        <v>0</v>
      </c>
      <c r="BH34" s="29" t="e">
        <f t="shared" si="32"/>
        <v>#DIV/0!</v>
      </c>
      <c r="BI34" s="102">
        <v>30000</v>
      </c>
      <c r="BJ34" s="111"/>
      <c r="BK34" s="22"/>
      <c r="BL34" s="22">
        <v>30000</v>
      </c>
      <c r="BM34" s="96" t="e">
        <f t="shared" si="33"/>
        <v>#DIV/0!</v>
      </c>
      <c r="BN34" s="22"/>
      <c r="BO34" s="22"/>
    </row>
    <row r="35" spans="1:67">
      <c r="A35" s="80" t="s">
        <v>29</v>
      </c>
      <c r="B35" s="80" t="s">
        <v>29</v>
      </c>
      <c r="C35" s="108" t="s">
        <v>255</v>
      </c>
      <c r="D35" s="33" t="s">
        <v>114</v>
      </c>
      <c r="E35" s="33" t="s">
        <v>114</v>
      </c>
      <c r="F35" s="33" t="s">
        <v>213</v>
      </c>
      <c r="G35" s="33" t="s">
        <v>213</v>
      </c>
      <c r="H35" s="33" t="s">
        <v>214</v>
      </c>
      <c r="I35" s="110">
        <v>10</v>
      </c>
      <c r="J35" s="111"/>
      <c r="K35" s="111"/>
      <c r="L35" s="29" t="e">
        <f t="shared" si="0"/>
        <v>#DIV/0!</v>
      </c>
      <c r="M35" s="22"/>
      <c r="N35" s="22"/>
      <c r="O35" s="29" t="e">
        <f t="shared" si="1"/>
        <v>#DIV/0!</v>
      </c>
      <c r="P35" s="22">
        <f t="shared" si="2"/>
        <v>0</v>
      </c>
      <c r="Q35" s="22">
        <f t="shared" si="3"/>
        <v>0</v>
      </c>
      <c r="R35" s="29" t="e">
        <f t="shared" si="4"/>
        <v>#DIV/0!</v>
      </c>
      <c r="S35" s="38"/>
      <c r="T35" s="38">
        <v>-4080</v>
      </c>
      <c r="U35" s="29" t="e">
        <f t="shared" si="5"/>
        <v>#DIV/0!</v>
      </c>
      <c r="V35" s="38">
        <f t="shared" si="6"/>
        <v>0</v>
      </c>
      <c r="W35" s="38">
        <f t="shared" si="7"/>
        <v>-4080</v>
      </c>
      <c r="X35" s="29" t="e">
        <f t="shared" si="8"/>
        <v>#DIV/0!</v>
      </c>
      <c r="Y35" s="22"/>
      <c r="Z35" s="22"/>
      <c r="AA35" s="29" t="e">
        <f t="shared" si="9"/>
        <v>#DIV/0!</v>
      </c>
      <c r="AB35" s="22">
        <f t="shared" si="10"/>
        <v>0</v>
      </c>
      <c r="AC35" s="22">
        <f t="shared" si="11"/>
        <v>-4080</v>
      </c>
      <c r="AD35" s="29" t="e">
        <f t="shared" si="12"/>
        <v>#DIV/0!</v>
      </c>
      <c r="AE35" s="22"/>
      <c r="AF35" s="22">
        <v>-720</v>
      </c>
      <c r="AG35" s="29" t="e">
        <f t="shared" si="13"/>
        <v>#DIV/0!</v>
      </c>
      <c r="AH35" s="22">
        <f t="shared" si="14"/>
        <v>0</v>
      </c>
      <c r="AI35" s="22">
        <f t="shared" si="15"/>
        <v>-4800</v>
      </c>
      <c r="AJ35" s="29" t="e">
        <f t="shared" si="16"/>
        <v>#DIV/0!</v>
      </c>
      <c r="AK35" s="22">
        <v>8991</v>
      </c>
      <c r="AL35" s="22"/>
      <c r="AM35" s="29">
        <f t="shared" si="17"/>
        <v>-1</v>
      </c>
      <c r="AN35" s="22">
        <f t="shared" si="18"/>
        <v>8991</v>
      </c>
      <c r="AO35" s="22">
        <f t="shared" si="19"/>
        <v>-4800</v>
      </c>
      <c r="AP35" s="29">
        <f t="shared" si="20"/>
        <v>-1.53386720053387</v>
      </c>
      <c r="AQ35" s="22"/>
      <c r="AR35" s="22"/>
      <c r="AS35" s="29" t="e">
        <f t="shared" si="21"/>
        <v>#DIV/0!</v>
      </c>
      <c r="AT35" s="22">
        <f t="shared" si="22"/>
        <v>8991</v>
      </c>
      <c r="AU35" s="22">
        <f t="shared" si="23"/>
        <v>-4800</v>
      </c>
      <c r="AV35" s="29">
        <f t="shared" si="24"/>
        <v>-1.53386720053387</v>
      </c>
      <c r="AW35" s="38"/>
      <c r="AX35" s="38"/>
      <c r="AY35" s="29" t="e">
        <f t="shared" si="25"/>
        <v>#DIV/0!</v>
      </c>
      <c r="AZ35" s="38">
        <f t="shared" si="26"/>
        <v>8991</v>
      </c>
      <c r="BA35" s="38">
        <f t="shared" si="27"/>
        <v>-4800</v>
      </c>
      <c r="BB35" s="29">
        <f t="shared" si="28"/>
        <v>-1.53386720053387</v>
      </c>
      <c r="BC35" s="38">
        <v>4800</v>
      </c>
      <c r="BD35" s="38">
        <v>4597</v>
      </c>
      <c r="BE35" s="29">
        <f t="shared" si="29"/>
        <v>-4.2291666666666602E-2</v>
      </c>
      <c r="BF35" s="38">
        <f t="shared" si="30"/>
        <v>13791</v>
      </c>
      <c r="BG35" s="38">
        <f t="shared" si="31"/>
        <v>-203</v>
      </c>
      <c r="BH35" s="29">
        <f t="shared" si="32"/>
        <v>-1.0147197447610801</v>
      </c>
      <c r="BI35" s="102"/>
      <c r="BJ35" s="111"/>
      <c r="BK35" s="22">
        <v>10235</v>
      </c>
      <c r="BL35" s="22">
        <v>24026</v>
      </c>
      <c r="BM35" s="96">
        <f t="shared" si="33"/>
        <v>-2.0300000000000001E-3</v>
      </c>
      <c r="BN35" s="22"/>
      <c r="BO35" s="22"/>
    </row>
    <row r="36" spans="1:67">
      <c r="A36" s="80" t="s">
        <v>29</v>
      </c>
      <c r="B36" s="80" t="s">
        <v>29</v>
      </c>
      <c r="C36" s="108" t="s">
        <v>256</v>
      </c>
      <c r="D36" s="33" t="s">
        <v>61</v>
      </c>
      <c r="E36" s="33" t="s">
        <v>61</v>
      </c>
      <c r="F36" s="33" t="s">
        <v>226</v>
      </c>
      <c r="G36" s="33" t="s">
        <v>226</v>
      </c>
      <c r="H36" s="33" t="s">
        <v>214</v>
      </c>
      <c r="I36" s="110">
        <v>0</v>
      </c>
      <c r="J36" s="111">
        <v>31502</v>
      </c>
      <c r="K36" s="111"/>
      <c r="L36" s="29">
        <f t="shared" si="0"/>
        <v>-1</v>
      </c>
      <c r="M36" s="22"/>
      <c r="N36" s="22"/>
      <c r="O36" s="29" t="e">
        <f t="shared" si="1"/>
        <v>#DIV/0!</v>
      </c>
      <c r="P36" s="22">
        <f t="shared" si="2"/>
        <v>31502</v>
      </c>
      <c r="Q36" s="22">
        <f t="shared" si="3"/>
        <v>0</v>
      </c>
      <c r="R36" s="29">
        <f t="shared" si="4"/>
        <v>-1</v>
      </c>
      <c r="S36" s="38">
        <v>72790</v>
      </c>
      <c r="T36" s="38"/>
      <c r="U36" s="29">
        <f t="shared" si="5"/>
        <v>-1</v>
      </c>
      <c r="V36" s="38">
        <f t="shared" si="6"/>
        <v>104292</v>
      </c>
      <c r="W36" s="38">
        <f t="shared" si="7"/>
        <v>0</v>
      </c>
      <c r="X36" s="29">
        <f t="shared" si="8"/>
        <v>-1</v>
      </c>
      <c r="Y36" s="22">
        <v>5831</v>
      </c>
      <c r="Z36" s="22"/>
      <c r="AA36" s="29">
        <f t="shared" si="9"/>
        <v>-1</v>
      </c>
      <c r="AB36" s="22">
        <f t="shared" si="10"/>
        <v>110123</v>
      </c>
      <c r="AC36" s="22">
        <f t="shared" si="11"/>
        <v>0</v>
      </c>
      <c r="AD36" s="29">
        <f t="shared" si="12"/>
        <v>-1</v>
      </c>
      <c r="AE36" s="22"/>
      <c r="AF36" s="22"/>
      <c r="AG36" s="29" t="e">
        <f t="shared" si="13"/>
        <v>#DIV/0!</v>
      </c>
      <c r="AH36" s="22">
        <f t="shared" si="14"/>
        <v>110123</v>
      </c>
      <c r="AI36" s="22">
        <f t="shared" si="15"/>
        <v>0</v>
      </c>
      <c r="AJ36" s="29">
        <f t="shared" si="16"/>
        <v>-1</v>
      </c>
      <c r="AK36" s="22">
        <v>605</v>
      </c>
      <c r="AL36" s="22"/>
      <c r="AM36" s="29">
        <f t="shared" si="17"/>
        <v>-1</v>
      </c>
      <c r="AN36" s="22">
        <f t="shared" si="18"/>
        <v>110728</v>
      </c>
      <c r="AO36" s="22">
        <f t="shared" si="19"/>
        <v>0</v>
      </c>
      <c r="AP36" s="29">
        <f t="shared" si="20"/>
        <v>-1</v>
      </c>
      <c r="AQ36" s="22">
        <v>1655</v>
      </c>
      <c r="AR36" s="22"/>
      <c r="AS36" s="29">
        <f t="shared" si="21"/>
        <v>-1</v>
      </c>
      <c r="AT36" s="22">
        <f t="shared" si="22"/>
        <v>112383</v>
      </c>
      <c r="AU36" s="22">
        <f t="shared" si="23"/>
        <v>0</v>
      </c>
      <c r="AV36" s="29">
        <f t="shared" si="24"/>
        <v>-1</v>
      </c>
      <c r="AW36" s="38">
        <v>8510</v>
      </c>
      <c r="AX36" s="38"/>
      <c r="AY36" s="29">
        <f t="shared" si="25"/>
        <v>-1</v>
      </c>
      <c r="AZ36" s="38">
        <f t="shared" si="26"/>
        <v>120893</v>
      </c>
      <c r="BA36" s="38">
        <f t="shared" si="27"/>
        <v>0</v>
      </c>
      <c r="BB36" s="29">
        <f t="shared" si="28"/>
        <v>-1</v>
      </c>
      <c r="BC36" s="38">
        <v>4861</v>
      </c>
      <c r="BD36" s="38"/>
      <c r="BE36" s="29">
        <f t="shared" si="29"/>
        <v>-1</v>
      </c>
      <c r="BF36" s="38">
        <f t="shared" si="30"/>
        <v>125754</v>
      </c>
      <c r="BG36" s="38">
        <f t="shared" si="31"/>
        <v>0</v>
      </c>
      <c r="BH36" s="29">
        <f t="shared" si="32"/>
        <v>-1</v>
      </c>
      <c r="BI36" s="102"/>
      <c r="BJ36" s="111">
        <v>-72790</v>
      </c>
      <c r="BK36" s="22">
        <v>9560</v>
      </c>
      <c r="BL36" s="22">
        <v>62524</v>
      </c>
      <c r="BM36" s="96" t="e">
        <f t="shared" si="33"/>
        <v>#DIV/0!</v>
      </c>
      <c r="BN36" s="22"/>
      <c r="BO36" s="22"/>
    </row>
    <row r="37" spans="1:67">
      <c r="A37" s="80" t="s">
        <v>29</v>
      </c>
      <c r="B37" s="80" t="s">
        <v>29</v>
      </c>
      <c r="C37" s="108" t="s">
        <v>257</v>
      </c>
      <c r="D37" s="33" t="s">
        <v>102</v>
      </c>
      <c r="E37" s="33" t="s">
        <v>102</v>
      </c>
      <c r="F37" s="33" t="s">
        <v>217</v>
      </c>
      <c r="G37" s="33" t="s">
        <v>218</v>
      </c>
      <c r="H37" s="33" t="s">
        <v>219</v>
      </c>
      <c r="I37" s="110">
        <v>0</v>
      </c>
      <c r="J37" s="111"/>
      <c r="K37" s="111"/>
      <c r="L37" s="29" t="e">
        <f t="shared" si="0"/>
        <v>#DIV/0!</v>
      </c>
      <c r="M37" s="22"/>
      <c r="N37" s="22"/>
      <c r="O37" s="29" t="e">
        <f t="shared" si="1"/>
        <v>#DIV/0!</v>
      </c>
      <c r="P37" s="22">
        <f t="shared" si="2"/>
        <v>0</v>
      </c>
      <c r="Q37" s="22">
        <f t="shared" si="3"/>
        <v>0</v>
      </c>
      <c r="R37" s="29" t="e">
        <f t="shared" si="4"/>
        <v>#DIV/0!</v>
      </c>
      <c r="S37" s="38"/>
      <c r="T37" s="38"/>
      <c r="U37" s="29" t="e">
        <f t="shared" si="5"/>
        <v>#DIV/0!</v>
      </c>
      <c r="V37" s="38">
        <f t="shared" si="6"/>
        <v>0</v>
      </c>
      <c r="W37" s="38">
        <f t="shared" si="7"/>
        <v>0</v>
      </c>
      <c r="X37" s="29" t="e">
        <f t="shared" si="8"/>
        <v>#DIV/0!</v>
      </c>
      <c r="Y37" s="22">
        <v>9523</v>
      </c>
      <c r="Z37" s="22"/>
      <c r="AA37" s="29">
        <f t="shared" si="9"/>
        <v>-1</v>
      </c>
      <c r="AB37" s="22">
        <f t="shared" si="10"/>
        <v>9523</v>
      </c>
      <c r="AC37" s="22">
        <f t="shared" si="11"/>
        <v>0</v>
      </c>
      <c r="AD37" s="29">
        <f t="shared" si="12"/>
        <v>-1</v>
      </c>
      <c r="AE37" s="22"/>
      <c r="AF37" s="22"/>
      <c r="AG37" s="29" t="e">
        <f t="shared" si="13"/>
        <v>#DIV/0!</v>
      </c>
      <c r="AH37" s="22">
        <f t="shared" si="14"/>
        <v>9523</v>
      </c>
      <c r="AI37" s="22">
        <f t="shared" si="15"/>
        <v>0</v>
      </c>
      <c r="AJ37" s="29">
        <f t="shared" si="16"/>
        <v>-1</v>
      </c>
      <c r="AK37" s="22">
        <v>15368</v>
      </c>
      <c r="AL37" s="22"/>
      <c r="AM37" s="29">
        <f t="shared" si="17"/>
        <v>-1</v>
      </c>
      <c r="AN37" s="22">
        <f t="shared" si="18"/>
        <v>24891</v>
      </c>
      <c r="AO37" s="22">
        <f t="shared" si="19"/>
        <v>0</v>
      </c>
      <c r="AP37" s="29">
        <f t="shared" si="20"/>
        <v>-1</v>
      </c>
      <c r="AQ37" s="22"/>
      <c r="AR37" s="22"/>
      <c r="AS37" s="29" t="e">
        <f t="shared" si="21"/>
        <v>#DIV/0!</v>
      </c>
      <c r="AT37" s="22">
        <f t="shared" si="22"/>
        <v>24891</v>
      </c>
      <c r="AU37" s="22">
        <f t="shared" si="23"/>
        <v>0</v>
      </c>
      <c r="AV37" s="29">
        <f t="shared" si="24"/>
        <v>-1</v>
      </c>
      <c r="AW37" s="38"/>
      <c r="AX37" s="38"/>
      <c r="AY37" s="29" t="e">
        <f t="shared" si="25"/>
        <v>#DIV/0!</v>
      </c>
      <c r="AZ37" s="38">
        <f t="shared" si="26"/>
        <v>24891</v>
      </c>
      <c r="BA37" s="38">
        <f t="shared" si="27"/>
        <v>0</v>
      </c>
      <c r="BB37" s="29">
        <f t="shared" si="28"/>
        <v>-1</v>
      </c>
      <c r="BC37" s="38"/>
      <c r="BD37" s="38">
        <v>5519</v>
      </c>
      <c r="BE37" s="29" t="e">
        <f t="shared" si="29"/>
        <v>#DIV/0!</v>
      </c>
      <c r="BF37" s="38">
        <f t="shared" si="30"/>
        <v>24891</v>
      </c>
      <c r="BG37" s="38">
        <f t="shared" si="31"/>
        <v>5519</v>
      </c>
      <c r="BH37" s="29">
        <f t="shared" si="32"/>
        <v>-0.77827327146358105</v>
      </c>
      <c r="BI37" s="102"/>
      <c r="BJ37" s="111"/>
      <c r="BK37" s="22"/>
      <c r="BL37" s="22">
        <v>24891</v>
      </c>
      <c r="BM37" s="96" t="e">
        <f t="shared" si="33"/>
        <v>#DIV/0!</v>
      </c>
      <c r="BN37" s="22"/>
      <c r="BO37" s="22"/>
    </row>
    <row r="38" spans="1:67">
      <c r="A38" s="80" t="s">
        <v>29</v>
      </c>
      <c r="B38" s="80" t="s">
        <v>29</v>
      </c>
      <c r="C38" s="108" t="s">
        <v>258</v>
      </c>
      <c r="D38" s="33" t="s">
        <v>61</v>
      </c>
      <c r="E38" s="33" t="s">
        <v>61</v>
      </c>
      <c r="F38" s="33" t="s">
        <v>226</v>
      </c>
      <c r="G38" s="33" t="s">
        <v>226</v>
      </c>
      <c r="H38" s="33" t="s">
        <v>214</v>
      </c>
      <c r="I38" s="110">
        <v>1</v>
      </c>
      <c r="J38" s="111"/>
      <c r="K38" s="111"/>
      <c r="L38" s="29" t="e">
        <f t="shared" si="0"/>
        <v>#DIV/0!</v>
      </c>
      <c r="M38" s="22"/>
      <c r="N38" s="22"/>
      <c r="O38" s="29" t="e">
        <f t="shared" si="1"/>
        <v>#DIV/0!</v>
      </c>
      <c r="P38" s="22">
        <f t="shared" si="2"/>
        <v>0</v>
      </c>
      <c r="Q38" s="22">
        <f t="shared" si="3"/>
        <v>0</v>
      </c>
      <c r="R38" s="29" t="e">
        <f t="shared" si="4"/>
        <v>#DIV/0!</v>
      </c>
      <c r="S38" s="38">
        <v>3210</v>
      </c>
      <c r="T38" s="38"/>
      <c r="U38" s="29">
        <f t="shared" si="5"/>
        <v>-1</v>
      </c>
      <c r="V38" s="38">
        <f t="shared" si="6"/>
        <v>3210</v>
      </c>
      <c r="W38" s="38">
        <f t="shared" si="7"/>
        <v>0</v>
      </c>
      <c r="X38" s="29">
        <f t="shared" si="8"/>
        <v>-1</v>
      </c>
      <c r="Y38" s="22"/>
      <c r="Z38" s="22"/>
      <c r="AA38" s="29" t="e">
        <f t="shared" si="9"/>
        <v>#DIV/0!</v>
      </c>
      <c r="AB38" s="22">
        <f t="shared" si="10"/>
        <v>3210</v>
      </c>
      <c r="AC38" s="22">
        <f t="shared" si="11"/>
        <v>0</v>
      </c>
      <c r="AD38" s="29">
        <f t="shared" si="12"/>
        <v>-1</v>
      </c>
      <c r="AE38" s="22"/>
      <c r="AF38" s="22"/>
      <c r="AG38" s="29" t="e">
        <f t="shared" si="13"/>
        <v>#DIV/0!</v>
      </c>
      <c r="AH38" s="22">
        <f t="shared" si="14"/>
        <v>3210</v>
      </c>
      <c r="AI38" s="22">
        <f t="shared" si="15"/>
        <v>0</v>
      </c>
      <c r="AJ38" s="29">
        <f t="shared" si="16"/>
        <v>-1</v>
      </c>
      <c r="AK38" s="22"/>
      <c r="AL38" s="22"/>
      <c r="AM38" s="29" t="e">
        <f t="shared" si="17"/>
        <v>#DIV/0!</v>
      </c>
      <c r="AN38" s="22">
        <f t="shared" si="18"/>
        <v>3210</v>
      </c>
      <c r="AO38" s="22">
        <f t="shared" si="19"/>
        <v>0</v>
      </c>
      <c r="AP38" s="29">
        <f t="shared" si="20"/>
        <v>-1</v>
      </c>
      <c r="AQ38" s="22"/>
      <c r="AR38" s="22"/>
      <c r="AS38" s="29" t="e">
        <f t="shared" si="21"/>
        <v>#DIV/0!</v>
      </c>
      <c r="AT38" s="22">
        <f t="shared" si="22"/>
        <v>3210</v>
      </c>
      <c r="AU38" s="22">
        <f t="shared" si="23"/>
        <v>0</v>
      </c>
      <c r="AV38" s="29">
        <f t="shared" si="24"/>
        <v>-1</v>
      </c>
      <c r="AW38" s="38"/>
      <c r="AX38" s="38"/>
      <c r="AY38" s="29" t="e">
        <f t="shared" si="25"/>
        <v>#DIV/0!</v>
      </c>
      <c r="AZ38" s="38">
        <f t="shared" si="26"/>
        <v>3210</v>
      </c>
      <c r="BA38" s="38">
        <f t="shared" si="27"/>
        <v>0</v>
      </c>
      <c r="BB38" s="29">
        <f t="shared" si="28"/>
        <v>-1</v>
      </c>
      <c r="BC38" s="38"/>
      <c r="BD38" s="38"/>
      <c r="BE38" s="29" t="e">
        <f t="shared" si="29"/>
        <v>#DIV/0!</v>
      </c>
      <c r="BF38" s="38">
        <f t="shared" si="30"/>
        <v>3210</v>
      </c>
      <c r="BG38" s="38">
        <f t="shared" si="31"/>
        <v>0</v>
      </c>
      <c r="BH38" s="29">
        <f t="shared" si="32"/>
        <v>-1</v>
      </c>
      <c r="BI38" s="102"/>
      <c r="BJ38" s="111"/>
      <c r="BK38" s="22">
        <v>3919</v>
      </c>
      <c r="BL38" s="22">
        <v>7129</v>
      </c>
      <c r="BM38" s="96">
        <f t="shared" si="33"/>
        <v>0</v>
      </c>
      <c r="BN38" s="22"/>
      <c r="BO38" s="22"/>
    </row>
    <row r="39" spans="1:67">
      <c r="A39" s="80" t="s">
        <v>29</v>
      </c>
      <c r="B39" s="80" t="s">
        <v>29</v>
      </c>
      <c r="C39" s="108" t="s">
        <v>259</v>
      </c>
      <c r="D39" s="33" t="s">
        <v>102</v>
      </c>
      <c r="E39" s="33" t="s">
        <v>102</v>
      </c>
      <c r="F39" s="33" t="s">
        <v>226</v>
      </c>
      <c r="G39" s="33" t="s">
        <v>226</v>
      </c>
      <c r="H39" s="33" t="s">
        <v>214</v>
      </c>
      <c r="I39" s="110">
        <v>2</v>
      </c>
      <c r="J39" s="111"/>
      <c r="K39" s="111"/>
      <c r="L39" s="29" t="e">
        <f t="shared" si="0"/>
        <v>#DIV/0!</v>
      </c>
      <c r="M39" s="22"/>
      <c r="N39" s="22"/>
      <c r="O39" s="29" t="e">
        <f t="shared" si="1"/>
        <v>#DIV/0!</v>
      </c>
      <c r="P39" s="22">
        <f t="shared" si="2"/>
        <v>0</v>
      </c>
      <c r="Q39" s="22">
        <f t="shared" si="3"/>
        <v>0</v>
      </c>
      <c r="R39" s="29" t="e">
        <f t="shared" si="4"/>
        <v>#DIV/0!</v>
      </c>
      <c r="S39" s="38"/>
      <c r="T39" s="38"/>
      <c r="U39" s="29" t="e">
        <f t="shared" si="5"/>
        <v>#DIV/0!</v>
      </c>
      <c r="V39" s="38">
        <f t="shared" si="6"/>
        <v>0</v>
      </c>
      <c r="W39" s="38">
        <f t="shared" si="7"/>
        <v>0</v>
      </c>
      <c r="X39" s="29" t="e">
        <f t="shared" si="8"/>
        <v>#DIV/0!</v>
      </c>
      <c r="Y39" s="22"/>
      <c r="Z39" s="22"/>
      <c r="AA39" s="29" t="e">
        <f t="shared" si="9"/>
        <v>#DIV/0!</v>
      </c>
      <c r="AB39" s="22">
        <f t="shared" si="10"/>
        <v>0</v>
      </c>
      <c r="AC39" s="22">
        <f t="shared" si="11"/>
        <v>0</v>
      </c>
      <c r="AD39" s="29" t="e">
        <f t="shared" si="12"/>
        <v>#DIV/0!</v>
      </c>
      <c r="AE39" s="22"/>
      <c r="AF39" s="22"/>
      <c r="AG39" s="29" t="e">
        <f t="shared" si="13"/>
        <v>#DIV/0!</v>
      </c>
      <c r="AH39" s="22">
        <f t="shared" si="14"/>
        <v>0</v>
      </c>
      <c r="AI39" s="22">
        <f t="shared" si="15"/>
        <v>0</v>
      </c>
      <c r="AJ39" s="29" t="e">
        <f t="shared" si="16"/>
        <v>#DIV/0!</v>
      </c>
      <c r="AK39" s="22"/>
      <c r="AL39" s="22"/>
      <c r="AM39" s="29" t="e">
        <f t="shared" si="17"/>
        <v>#DIV/0!</v>
      </c>
      <c r="AN39" s="22">
        <f t="shared" si="18"/>
        <v>0</v>
      </c>
      <c r="AO39" s="22">
        <f t="shared" si="19"/>
        <v>0</v>
      </c>
      <c r="AP39" s="29" t="e">
        <f t="shared" si="20"/>
        <v>#DIV/0!</v>
      </c>
      <c r="AQ39" s="22"/>
      <c r="AR39" s="22"/>
      <c r="AS39" s="29" t="e">
        <f t="shared" si="21"/>
        <v>#DIV/0!</v>
      </c>
      <c r="AT39" s="22">
        <f t="shared" si="22"/>
        <v>0</v>
      </c>
      <c r="AU39" s="22">
        <f t="shared" si="23"/>
        <v>0</v>
      </c>
      <c r="AV39" s="29" t="e">
        <f t="shared" si="24"/>
        <v>#DIV/0!</v>
      </c>
      <c r="AW39" s="38"/>
      <c r="AX39" s="38"/>
      <c r="AY39" s="29" t="e">
        <f t="shared" si="25"/>
        <v>#DIV/0!</v>
      </c>
      <c r="AZ39" s="38">
        <f t="shared" si="26"/>
        <v>0</v>
      </c>
      <c r="BA39" s="38">
        <f t="shared" si="27"/>
        <v>0</v>
      </c>
      <c r="BB39" s="29" t="e">
        <f t="shared" si="28"/>
        <v>#DIV/0!</v>
      </c>
      <c r="BC39" s="38"/>
      <c r="BD39" s="38"/>
      <c r="BE39" s="29" t="e">
        <f t="shared" si="29"/>
        <v>#DIV/0!</v>
      </c>
      <c r="BF39" s="38">
        <f t="shared" si="30"/>
        <v>0</v>
      </c>
      <c r="BG39" s="38">
        <f t="shared" si="31"/>
        <v>0</v>
      </c>
      <c r="BH39" s="29" t="e">
        <f t="shared" si="32"/>
        <v>#DIV/0!</v>
      </c>
      <c r="BI39" s="102"/>
      <c r="BJ39" s="111"/>
      <c r="BK39" s="22">
        <v>14090</v>
      </c>
      <c r="BL39" s="22">
        <v>14090</v>
      </c>
      <c r="BM39" s="96">
        <f t="shared" si="33"/>
        <v>0</v>
      </c>
      <c r="BN39" s="22"/>
      <c r="BO39" s="22"/>
    </row>
    <row r="40" spans="1:67">
      <c r="A40" s="80" t="s">
        <v>29</v>
      </c>
      <c r="B40" s="80" t="s">
        <v>29</v>
      </c>
      <c r="C40" s="108" t="s">
        <v>260</v>
      </c>
      <c r="D40" s="33" t="s">
        <v>102</v>
      </c>
      <c r="E40" s="33" t="s">
        <v>102</v>
      </c>
      <c r="F40" s="33" t="s">
        <v>217</v>
      </c>
      <c r="G40" s="33" t="s">
        <v>218</v>
      </c>
      <c r="H40" s="33" t="s">
        <v>219</v>
      </c>
      <c r="I40" s="110">
        <v>4</v>
      </c>
      <c r="J40" s="111"/>
      <c r="K40" s="111">
        <v>18040</v>
      </c>
      <c r="L40" s="29" t="e">
        <f t="shared" si="0"/>
        <v>#DIV/0!</v>
      </c>
      <c r="M40" s="22"/>
      <c r="N40" s="22"/>
      <c r="O40" s="29" t="e">
        <f t="shared" si="1"/>
        <v>#DIV/0!</v>
      </c>
      <c r="P40" s="22">
        <f t="shared" si="2"/>
        <v>0</v>
      </c>
      <c r="Q40" s="22">
        <f t="shared" si="3"/>
        <v>18040</v>
      </c>
      <c r="R40" s="29" t="e">
        <f t="shared" si="4"/>
        <v>#DIV/0!</v>
      </c>
      <c r="S40" s="38"/>
      <c r="T40" s="38">
        <v>18354</v>
      </c>
      <c r="U40" s="29" t="e">
        <f t="shared" si="5"/>
        <v>#DIV/0!</v>
      </c>
      <c r="V40" s="38">
        <f t="shared" si="6"/>
        <v>0</v>
      </c>
      <c r="W40" s="38">
        <f t="shared" si="7"/>
        <v>36394</v>
      </c>
      <c r="X40" s="29" t="e">
        <f t="shared" si="8"/>
        <v>#DIV/0!</v>
      </c>
      <c r="Y40" s="22">
        <v>20720</v>
      </c>
      <c r="Z40" s="22"/>
      <c r="AA40" s="29">
        <f t="shared" si="9"/>
        <v>-1</v>
      </c>
      <c r="AB40" s="22">
        <f t="shared" si="10"/>
        <v>20720</v>
      </c>
      <c r="AC40" s="22">
        <f t="shared" si="11"/>
        <v>36394</v>
      </c>
      <c r="AD40" s="29">
        <f t="shared" si="12"/>
        <v>0.75646718146718195</v>
      </c>
      <c r="AE40" s="22">
        <v>-1100</v>
      </c>
      <c r="AF40" s="22"/>
      <c r="AG40" s="29">
        <f t="shared" si="13"/>
        <v>-1</v>
      </c>
      <c r="AH40" s="22">
        <f t="shared" si="14"/>
        <v>19620</v>
      </c>
      <c r="AI40" s="22">
        <f t="shared" si="15"/>
        <v>36394</v>
      </c>
      <c r="AJ40" s="29">
        <f t="shared" si="16"/>
        <v>0.85494393476044905</v>
      </c>
      <c r="AK40" s="22"/>
      <c r="AL40" s="22"/>
      <c r="AM40" s="29" t="e">
        <f t="shared" si="17"/>
        <v>#DIV/0!</v>
      </c>
      <c r="AN40" s="22">
        <f t="shared" si="18"/>
        <v>19620</v>
      </c>
      <c r="AO40" s="22">
        <f t="shared" si="19"/>
        <v>36394</v>
      </c>
      <c r="AP40" s="29">
        <f t="shared" si="20"/>
        <v>0.85494393476044905</v>
      </c>
      <c r="AQ40" s="22"/>
      <c r="AR40" s="22"/>
      <c r="AS40" s="29" t="e">
        <f t="shared" si="21"/>
        <v>#DIV/0!</v>
      </c>
      <c r="AT40" s="22">
        <f t="shared" si="22"/>
        <v>19620</v>
      </c>
      <c r="AU40" s="22">
        <f t="shared" si="23"/>
        <v>36394</v>
      </c>
      <c r="AV40" s="29">
        <f t="shared" si="24"/>
        <v>0.85494393476044905</v>
      </c>
      <c r="AW40" s="38"/>
      <c r="AX40" s="38"/>
      <c r="AY40" s="29" t="e">
        <f t="shared" si="25"/>
        <v>#DIV/0!</v>
      </c>
      <c r="AZ40" s="38">
        <f t="shared" si="26"/>
        <v>19620</v>
      </c>
      <c r="BA40" s="38">
        <f t="shared" si="27"/>
        <v>36394</v>
      </c>
      <c r="BB40" s="29">
        <f t="shared" si="28"/>
        <v>0.85494393476044905</v>
      </c>
      <c r="BC40" s="38"/>
      <c r="BD40" s="38"/>
      <c r="BE40" s="29" t="e">
        <f t="shared" si="29"/>
        <v>#DIV/0!</v>
      </c>
      <c r="BF40" s="38">
        <f t="shared" si="30"/>
        <v>19620</v>
      </c>
      <c r="BG40" s="38">
        <f t="shared" si="31"/>
        <v>36394</v>
      </c>
      <c r="BH40" s="29">
        <f t="shared" si="32"/>
        <v>0.85494393476044905</v>
      </c>
      <c r="BI40" s="102"/>
      <c r="BJ40" s="111"/>
      <c r="BK40" s="22">
        <v>47089</v>
      </c>
      <c r="BL40" s="22">
        <v>66709</v>
      </c>
      <c r="BM40" s="96">
        <f t="shared" si="33"/>
        <v>0.90985000000000005</v>
      </c>
      <c r="BN40" s="22"/>
      <c r="BO40" s="22"/>
    </row>
    <row r="41" spans="1:67">
      <c r="A41" s="80" t="s">
        <v>29</v>
      </c>
      <c r="B41" s="80" t="s">
        <v>29</v>
      </c>
      <c r="C41" s="108" t="s">
        <v>261</v>
      </c>
      <c r="D41" s="33" t="s">
        <v>61</v>
      </c>
      <c r="E41" s="33" t="s">
        <v>61</v>
      </c>
      <c r="F41" s="33" t="s">
        <v>217</v>
      </c>
      <c r="G41" s="33" t="s">
        <v>235</v>
      </c>
      <c r="H41" s="33" t="s">
        <v>219</v>
      </c>
      <c r="I41" s="110">
        <v>0</v>
      </c>
      <c r="J41" s="111">
        <v>10190</v>
      </c>
      <c r="K41" s="111"/>
      <c r="L41" s="29">
        <f t="shared" si="0"/>
        <v>-1</v>
      </c>
      <c r="M41" s="22"/>
      <c r="N41" s="22"/>
      <c r="O41" s="29" t="e">
        <f t="shared" si="1"/>
        <v>#DIV/0!</v>
      </c>
      <c r="P41" s="22">
        <f t="shared" si="2"/>
        <v>10190</v>
      </c>
      <c r="Q41" s="22">
        <f t="shared" si="3"/>
        <v>0</v>
      </c>
      <c r="R41" s="29">
        <f t="shared" si="4"/>
        <v>-1</v>
      </c>
      <c r="S41" s="38"/>
      <c r="T41" s="38">
        <v>4898</v>
      </c>
      <c r="U41" s="29" t="e">
        <f t="shared" si="5"/>
        <v>#DIV/0!</v>
      </c>
      <c r="V41" s="38">
        <f t="shared" si="6"/>
        <v>10190</v>
      </c>
      <c r="W41" s="38">
        <f t="shared" si="7"/>
        <v>4898</v>
      </c>
      <c r="X41" s="29">
        <f t="shared" si="8"/>
        <v>-0.51933267909715397</v>
      </c>
      <c r="Y41" s="22">
        <v>2070</v>
      </c>
      <c r="Z41" s="22"/>
      <c r="AA41" s="29">
        <f t="shared" si="9"/>
        <v>-1</v>
      </c>
      <c r="AB41" s="22">
        <f t="shared" si="10"/>
        <v>12260</v>
      </c>
      <c r="AC41" s="22">
        <f t="shared" si="11"/>
        <v>4898</v>
      </c>
      <c r="AD41" s="29">
        <f t="shared" si="12"/>
        <v>-0.600489396411093</v>
      </c>
      <c r="AE41" s="22"/>
      <c r="AF41" s="22">
        <v>2691</v>
      </c>
      <c r="AG41" s="29" t="e">
        <f t="shared" si="13"/>
        <v>#DIV/0!</v>
      </c>
      <c r="AH41" s="22">
        <f t="shared" si="14"/>
        <v>12260</v>
      </c>
      <c r="AI41" s="22">
        <f t="shared" si="15"/>
        <v>7589</v>
      </c>
      <c r="AJ41" s="29">
        <f t="shared" si="16"/>
        <v>-0.38099510603588899</v>
      </c>
      <c r="AK41" s="22">
        <v>6600</v>
      </c>
      <c r="AL41" s="22">
        <v>8324</v>
      </c>
      <c r="AM41" s="29">
        <f t="shared" si="17"/>
        <v>0.26121212121212101</v>
      </c>
      <c r="AN41" s="22">
        <f t="shared" si="18"/>
        <v>18860</v>
      </c>
      <c r="AO41" s="22">
        <f t="shared" si="19"/>
        <v>15913</v>
      </c>
      <c r="AP41" s="29">
        <f t="shared" si="20"/>
        <v>-0.156256627783669</v>
      </c>
      <c r="AQ41" s="22"/>
      <c r="AR41" s="22"/>
      <c r="AS41" s="29" t="e">
        <f t="shared" si="21"/>
        <v>#DIV/0!</v>
      </c>
      <c r="AT41" s="22">
        <f t="shared" si="22"/>
        <v>18860</v>
      </c>
      <c r="AU41" s="22">
        <f t="shared" si="23"/>
        <v>15913</v>
      </c>
      <c r="AV41" s="29">
        <f t="shared" si="24"/>
        <v>-0.156256627783669</v>
      </c>
      <c r="AW41" s="38"/>
      <c r="AX41" s="38">
        <v>4914</v>
      </c>
      <c r="AY41" s="29" t="e">
        <f t="shared" si="25"/>
        <v>#DIV/0!</v>
      </c>
      <c r="AZ41" s="38">
        <f t="shared" si="26"/>
        <v>18860</v>
      </c>
      <c r="BA41" s="38">
        <f t="shared" si="27"/>
        <v>20827</v>
      </c>
      <c r="BB41" s="29">
        <f t="shared" si="28"/>
        <v>0.104294803817603</v>
      </c>
      <c r="BC41" s="38"/>
      <c r="BD41" s="38">
        <v>3149</v>
      </c>
      <c r="BE41" s="29" t="e">
        <f t="shared" si="29"/>
        <v>#DIV/0!</v>
      </c>
      <c r="BF41" s="38">
        <f t="shared" si="30"/>
        <v>18860</v>
      </c>
      <c r="BG41" s="38">
        <f t="shared" si="31"/>
        <v>23976</v>
      </c>
      <c r="BH41" s="29">
        <f t="shared" si="32"/>
        <v>0.271261930010605</v>
      </c>
      <c r="BI41" s="102">
        <v>8455</v>
      </c>
      <c r="BJ41" s="111">
        <v>3076</v>
      </c>
      <c r="BK41" s="22"/>
      <c r="BL41" s="22">
        <v>30391</v>
      </c>
      <c r="BM41" s="96" t="e">
        <f t="shared" si="33"/>
        <v>#DIV/0!</v>
      </c>
      <c r="BN41" s="22"/>
      <c r="BO41" s="22"/>
    </row>
    <row r="42" spans="1:67">
      <c r="A42" s="80" t="s">
        <v>29</v>
      </c>
      <c r="B42" s="80" t="s">
        <v>29</v>
      </c>
      <c r="C42" s="108" t="s">
        <v>262</v>
      </c>
      <c r="D42" s="33" t="s">
        <v>102</v>
      </c>
      <c r="E42" s="33" t="s">
        <v>102</v>
      </c>
      <c r="F42" s="33" t="s">
        <v>217</v>
      </c>
      <c r="G42" s="33" t="s">
        <v>263</v>
      </c>
      <c r="H42" s="33" t="s">
        <v>219</v>
      </c>
      <c r="I42" s="110">
        <v>4.8014000000000001</v>
      </c>
      <c r="J42" s="111"/>
      <c r="K42" s="111">
        <v>12654</v>
      </c>
      <c r="L42" s="29" t="e">
        <f t="shared" si="0"/>
        <v>#DIV/0!</v>
      </c>
      <c r="M42" s="22"/>
      <c r="N42" s="22"/>
      <c r="O42" s="29" t="e">
        <f t="shared" si="1"/>
        <v>#DIV/0!</v>
      </c>
      <c r="P42" s="22">
        <f t="shared" si="2"/>
        <v>0</v>
      </c>
      <c r="Q42" s="22">
        <f t="shared" si="3"/>
        <v>12654</v>
      </c>
      <c r="R42" s="29" t="e">
        <f t="shared" si="4"/>
        <v>#DIV/0!</v>
      </c>
      <c r="S42" s="38"/>
      <c r="T42" s="38">
        <v>14635</v>
      </c>
      <c r="U42" s="29" t="e">
        <f t="shared" si="5"/>
        <v>#DIV/0!</v>
      </c>
      <c r="V42" s="38">
        <f t="shared" si="6"/>
        <v>0</v>
      </c>
      <c r="W42" s="38">
        <f t="shared" si="7"/>
        <v>27289</v>
      </c>
      <c r="X42" s="29" t="e">
        <f t="shared" si="8"/>
        <v>#DIV/0!</v>
      </c>
      <c r="Y42" s="22">
        <v>13520</v>
      </c>
      <c r="Z42" s="22"/>
      <c r="AA42" s="29">
        <f t="shared" si="9"/>
        <v>-1</v>
      </c>
      <c r="AB42" s="22">
        <f t="shared" si="10"/>
        <v>13520</v>
      </c>
      <c r="AC42" s="22">
        <f t="shared" si="11"/>
        <v>27289</v>
      </c>
      <c r="AD42" s="29">
        <f t="shared" si="12"/>
        <v>1.01841715976331</v>
      </c>
      <c r="AE42" s="22">
        <v>6598</v>
      </c>
      <c r="AF42" s="22"/>
      <c r="AG42" s="29">
        <f t="shared" si="13"/>
        <v>-1</v>
      </c>
      <c r="AH42" s="22">
        <f t="shared" si="14"/>
        <v>20118</v>
      </c>
      <c r="AI42" s="22">
        <f t="shared" si="15"/>
        <v>27289</v>
      </c>
      <c r="AJ42" s="29">
        <f t="shared" si="16"/>
        <v>0.35644696291877898</v>
      </c>
      <c r="AK42" s="22">
        <v>11393</v>
      </c>
      <c r="AL42" s="22">
        <v>3803</v>
      </c>
      <c r="AM42" s="29">
        <f t="shared" si="17"/>
        <v>-0.66619854296497805</v>
      </c>
      <c r="AN42" s="22">
        <f t="shared" si="18"/>
        <v>31511</v>
      </c>
      <c r="AO42" s="22">
        <f t="shared" si="19"/>
        <v>31092</v>
      </c>
      <c r="AP42" s="29">
        <f t="shared" si="20"/>
        <v>-1.32969439243439E-2</v>
      </c>
      <c r="AQ42" s="22">
        <v>16300</v>
      </c>
      <c r="AR42" s="22">
        <v>4305</v>
      </c>
      <c r="AS42" s="29">
        <f t="shared" si="21"/>
        <v>-0.73588957055214699</v>
      </c>
      <c r="AT42" s="22">
        <f t="shared" si="22"/>
        <v>47811</v>
      </c>
      <c r="AU42" s="22">
        <f t="shared" si="23"/>
        <v>35397</v>
      </c>
      <c r="AV42" s="29">
        <f t="shared" si="24"/>
        <v>-0.25964736148585099</v>
      </c>
      <c r="AW42" s="38">
        <v>3765</v>
      </c>
      <c r="AX42" s="38"/>
      <c r="AY42" s="29">
        <f t="shared" si="25"/>
        <v>-1</v>
      </c>
      <c r="AZ42" s="38">
        <f t="shared" si="26"/>
        <v>51576</v>
      </c>
      <c r="BA42" s="38">
        <f t="shared" si="27"/>
        <v>35397</v>
      </c>
      <c r="BB42" s="29">
        <f t="shared" si="28"/>
        <v>-0.31369241507677997</v>
      </c>
      <c r="BC42" s="38"/>
      <c r="BD42" s="38">
        <v>6439</v>
      </c>
      <c r="BE42" s="29" t="e">
        <f t="shared" si="29"/>
        <v>#DIV/0!</v>
      </c>
      <c r="BF42" s="38">
        <f t="shared" si="30"/>
        <v>51576</v>
      </c>
      <c r="BG42" s="38">
        <f t="shared" si="31"/>
        <v>41836</v>
      </c>
      <c r="BH42" s="29">
        <f t="shared" si="32"/>
        <v>-0.18884752598107599</v>
      </c>
      <c r="BI42" s="102"/>
      <c r="BJ42" s="111">
        <v>5389</v>
      </c>
      <c r="BK42" s="22">
        <v>828</v>
      </c>
      <c r="BL42" s="22">
        <v>57793</v>
      </c>
      <c r="BM42" s="96">
        <f t="shared" si="33"/>
        <v>0.87132919565126798</v>
      </c>
      <c r="BN42" s="22"/>
      <c r="BO42" s="22"/>
    </row>
    <row r="43" spans="1:67">
      <c r="A43" s="80" t="s">
        <v>29</v>
      </c>
      <c r="B43" s="80" t="s">
        <v>29</v>
      </c>
      <c r="C43" s="108" t="s">
        <v>264</v>
      </c>
      <c r="D43" s="33" t="s">
        <v>114</v>
      </c>
      <c r="E43" s="33" t="s">
        <v>114</v>
      </c>
      <c r="F43" s="33" t="s">
        <v>217</v>
      </c>
      <c r="G43" s="33" t="s">
        <v>80</v>
      </c>
      <c r="H43" s="33" t="s">
        <v>219</v>
      </c>
      <c r="I43" s="110">
        <v>28</v>
      </c>
      <c r="J43" s="111"/>
      <c r="K43" s="111">
        <v>2024</v>
      </c>
      <c r="L43" s="29" t="e">
        <f t="shared" si="0"/>
        <v>#DIV/0!</v>
      </c>
      <c r="M43" s="22"/>
      <c r="N43" s="22">
        <v>8445.84</v>
      </c>
      <c r="O43" s="29" t="e">
        <f t="shared" si="1"/>
        <v>#DIV/0!</v>
      </c>
      <c r="P43" s="22">
        <f t="shared" si="2"/>
        <v>0</v>
      </c>
      <c r="Q43" s="22">
        <f t="shared" si="3"/>
        <v>10469.84</v>
      </c>
      <c r="R43" s="29" t="e">
        <f t="shared" si="4"/>
        <v>#DIV/0!</v>
      </c>
      <c r="S43" s="38"/>
      <c r="T43" s="38"/>
      <c r="U43" s="29" t="e">
        <f t="shared" si="5"/>
        <v>#DIV/0!</v>
      </c>
      <c r="V43" s="38">
        <f t="shared" si="6"/>
        <v>0</v>
      </c>
      <c r="W43" s="38">
        <f t="shared" si="7"/>
        <v>10469.84</v>
      </c>
      <c r="X43" s="29" t="e">
        <f t="shared" si="8"/>
        <v>#DIV/0!</v>
      </c>
      <c r="Y43" s="22"/>
      <c r="Z43" s="22">
        <v>24539.8</v>
      </c>
      <c r="AA43" s="29" t="e">
        <f t="shared" si="9"/>
        <v>#DIV/0!</v>
      </c>
      <c r="AB43" s="22">
        <f t="shared" si="10"/>
        <v>0</v>
      </c>
      <c r="AC43" s="22">
        <f t="shared" si="11"/>
        <v>35009.64</v>
      </c>
      <c r="AD43" s="29" t="e">
        <f t="shared" si="12"/>
        <v>#DIV/0!</v>
      </c>
      <c r="AE43" s="22"/>
      <c r="AF43" s="22">
        <v>18827.5</v>
      </c>
      <c r="AG43" s="29" t="e">
        <f t="shared" si="13"/>
        <v>#DIV/0!</v>
      </c>
      <c r="AH43" s="22">
        <f t="shared" si="14"/>
        <v>0</v>
      </c>
      <c r="AI43" s="22">
        <f t="shared" si="15"/>
        <v>53837.14</v>
      </c>
      <c r="AJ43" s="29" t="e">
        <f t="shared" si="16"/>
        <v>#DIV/0!</v>
      </c>
      <c r="AK43" s="22"/>
      <c r="AL43" s="22">
        <v>51848.85</v>
      </c>
      <c r="AM43" s="29" t="e">
        <f t="shared" si="17"/>
        <v>#DIV/0!</v>
      </c>
      <c r="AN43" s="22">
        <f t="shared" si="18"/>
        <v>0</v>
      </c>
      <c r="AO43" s="22">
        <f t="shared" si="19"/>
        <v>105685.99</v>
      </c>
      <c r="AP43" s="29" t="e">
        <f t="shared" si="20"/>
        <v>#DIV/0!</v>
      </c>
      <c r="AQ43" s="22"/>
      <c r="AR43" s="22">
        <v>4399.2</v>
      </c>
      <c r="AS43" s="29" t="e">
        <f t="shared" si="21"/>
        <v>#DIV/0!</v>
      </c>
      <c r="AT43" s="22">
        <f t="shared" si="22"/>
        <v>0</v>
      </c>
      <c r="AU43" s="22">
        <f t="shared" si="23"/>
        <v>110085.19</v>
      </c>
      <c r="AV43" s="29" t="e">
        <f t="shared" si="24"/>
        <v>#DIV/0!</v>
      </c>
      <c r="AW43" s="38">
        <v>2640</v>
      </c>
      <c r="AX43" s="38">
        <v>57282.79</v>
      </c>
      <c r="AY43" s="29">
        <f t="shared" si="25"/>
        <v>20.698026515151501</v>
      </c>
      <c r="AZ43" s="38">
        <f t="shared" si="26"/>
        <v>2640</v>
      </c>
      <c r="BA43" s="38">
        <f t="shared" si="27"/>
        <v>167367.98000000001</v>
      </c>
      <c r="BB43" s="29">
        <f t="shared" si="28"/>
        <v>62.396962121212098</v>
      </c>
      <c r="BC43" s="38">
        <v>873.36</v>
      </c>
      <c r="BD43" s="38">
        <v>2517.5</v>
      </c>
      <c r="BE43" s="29">
        <f t="shared" si="29"/>
        <v>1.8825455711276</v>
      </c>
      <c r="BF43" s="38">
        <f t="shared" si="30"/>
        <v>3513.36</v>
      </c>
      <c r="BG43" s="38">
        <f t="shared" si="31"/>
        <v>169885.48</v>
      </c>
      <c r="BH43" s="29">
        <f t="shared" si="32"/>
        <v>47.354133934467299</v>
      </c>
      <c r="BI43" s="102">
        <v>29873.1</v>
      </c>
      <c r="BJ43" s="111">
        <v>22911.5</v>
      </c>
      <c r="BK43" s="22">
        <v>6688</v>
      </c>
      <c r="BL43" s="22">
        <v>62985.96</v>
      </c>
      <c r="BM43" s="96">
        <f t="shared" si="33"/>
        <v>0.60673385714285699</v>
      </c>
      <c r="BN43" s="22"/>
      <c r="BO43" s="22"/>
    </row>
    <row r="44" spans="1:67">
      <c r="A44" s="80" t="s">
        <v>29</v>
      </c>
      <c r="B44" s="80" t="s">
        <v>29</v>
      </c>
      <c r="C44" s="108" t="s">
        <v>265</v>
      </c>
      <c r="D44" s="33" t="s">
        <v>102</v>
      </c>
      <c r="E44" s="33" t="s">
        <v>102</v>
      </c>
      <c r="F44" s="33" t="s">
        <v>217</v>
      </c>
      <c r="G44" s="33" t="s">
        <v>263</v>
      </c>
      <c r="H44" s="33" t="s">
        <v>219</v>
      </c>
      <c r="I44" s="110"/>
      <c r="J44" s="111">
        <v>3911</v>
      </c>
      <c r="K44" s="111"/>
      <c r="L44" s="29">
        <f t="shared" si="0"/>
        <v>-1</v>
      </c>
      <c r="M44" s="22"/>
      <c r="N44" s="22"/>
      <c r="O44" s="29" t="e">
        <f t="shared" si="1"/>
        <v>#DIV/0!</v>
      </c>
      <c r="P44" s="22">
        <f t="shared" si="2"/>
        <v>3911</v>
      </c>
      <c r="Q44" s="22">
        <f t="shared" si="3"/>
        <v>0</v>
      </c>
      <c r="R44" s="29">
        <f t="shared" si="4"/>
        <v>-1</v>
      </c>
      <c r="S44" s="38"/>
      <c r="T44" s="38"/>
      <c r="U44" s="29" t="e">
        <f t="shared" si="5"/>
        <v>#DIV/0!</v>
      </c>
      <c r="V44" s="38">
        <f t="shared" si="6"/>
        <v>3911</v>
      </c>
      <c r="W44" s="38">
        <f t="shared" si="7"/>
        <v>0</v>
      </c>
      <c r="X44" s="29">
        <f t="shared" si="8"/>
        <v>-1</v>
      </c>
      <c r="Y44" s="22"/>
      <c r="Z44" s="22"/>
      <c r="AA44" s="29" t="e">
        <f t="shared" si="9"/>
        <v>#DIV/0!</v>
      </c>
      <c r="AB44" s="22">
        <f t="shared" si="10"/>
        <v>3911</v>
      </c>
      <c r="AC44" s="22">
        <f t="shared" si="11"/>
        <v>0</v>
      </c>
      <c r="AD44" s="29">
        <f t="shared" si="12"/>
        <v>-1</v>
      </c>
      <c r="AE44" s="22"/>
      <c r="AF44" s="22"/>
      <c r="AG44" s="29" t="e">
        <f t="shared" si="13"/>
        <v>#DIV/0!</v>
      </c>
      <c r="AH44" s="22">
        <f t="shared" si="14"/>
        <v>3911</v>
      </c>
      <c r="AI44" s="22">
        <f t="shared" si="15"/>
        <v>0</v>
      </c>
      <c r="AJ44" s="29">
        <f t="shared" si="16"/>
        <v>-1</v>
      </c>
      <c r="AK44" s="22"/>
      <c r="AL44" s="22"/>
      <c r="AM44" s="29" t="e">
        <f t="shared" si="17"/>
        <v>#DIV/0!</v>
      </c>
      <c r="AN44" s="22">
        <f t="shared" si="18"/>
        <v>3911</v>
      </c>
      <c r="AO44" s="22">
        <f t="shared" si="19"/>
        <v>0</v>
      </c>
      <c r="AP44" s="29">
        <f t="shared" si="20"/>
        <v>-1</v>
      </c>
      <c r="AQ44" s="22"/>
      <c r="AR44" s="22"/>
      <c r="AS44" s="29" t="e">
        <f t="shared" si="21"/>
        <v>#DIV/0!</v>
      </c>
      <c r="AT44" s="22">
        <f t="shared" si="22"/>
        <v>3911</v>
      </c>
      <c r="AU44" s="22">
        <f t="shared" si="23"/>
        <v>0</v>
      </c>
      <c r="AV44" s="29">
        <f t="shared" si="24"/>
        <v>-1</v>
      </c>
      <c r="AW44" s="38"/>
      <c r="AX44" s="38"/>
      <c r="AY44" s="29" t="e">
        <f t="shared" si="25"/>
        <v>#DIV/0!</v>
      </c>
      <c r="AZ44" s="38">
        <f t="shared" si="26"/>
        <v>3911</v>
      </c>
      <c r="BA44" s="38">
        <f t="shared" si="27"/>
        <v>0</v>
      </c>
      <c r="BB44" s="29">
        <f t="shared" si="28"/>
        <v>-1</v>
      </c>
      <c r="BC44" s="38"/>
      <c r="BD44" s="38"/>
      <c r="BE44" s="29" t="e">
        <f t="shared" si="29"/>
        <v>#DIV/0!</v>
      </c>
      <c r="BF44" s="38">
        <f t="shared" si="30"/>
        <v>3911</v>
      </c>
      <c r="BG44" s="38">
        <f t="shared" si="31"/>
        <v>0</v>
      </c>
      <c r="BH44" s="29">
        <f t="shared" si="32"/>
        <v>-1</v>
      </c>
      <c r="BI44" s="102"/>
      <c r="BJ44" s="111"/>
      <c r="BK44" s="22"/>
      <c r="BL44" s="22">
        <v>3911</v>
      </c>
      <c r="BM44" s="96" t="e">
        <f t="shared" si="33"/>
        <v>#DIV/0!</v>
      </c>
      <c r="BN44" s="22"/>
      <c r="BO44" s="22"/>
    </row>
    <row r="45" spans="1:67">
      <c r="A45" s="80" t="s">
        <v>29</v>
      </c>
      <c r="B45" s="80" t="s">
        <v>29</v>
      </c>
      <c r="C45" s="108" t="s">
        <v>266</v>
      </c>
      <c r="D45" s="33" t="s">
        <v>102</v>
      </c>
      <c r="E45" s="33" t="s">
        <v>102</v>
      </c>
      <c r="F45" s="33" t="s">
        <v>213</v>
      </c>
      <c r="G45" s="33" t="s">
        <v>213</v>
      </c>
      <c r="H45" s="33" t="s">
        <v>214</v>
      </c>
      <c r="I45" s="110"/>
      <c r="J45" s="111"/>
      <c r="K45" s="111"/>
      <c r="L45" s="29" t="e">
        <f t="shared" si="0"/>
        <v>#DIV/0!</v>
      </c>
      <c r="M45" s="22">
        <v>6431</v>
      </c>
      <c r="N45" s="22"/>
      <c r="O45" s="29">
        <f t="shared" si="1"/>
        <v>-1</v>
      </c>
      <c r="P45" s="22">
        <f t="shared" si="2"/>
        <v>6431</v>
      </c>
      <c r="Q45" s="22">
        <f t="shared" si="3"/>
        <v>0</v>
      </c>
      <c r="R45" s="29">
        <f t="shared" si="4"/>
        <v>-1</v>
      </c>
      <c r="S45" s="38"/>
      <c r="T45" s="38"/>
      <c r="U45" s="29" t="e">
        <f t="shared" si="5"/>
        <v>#DIV/0!</v>
      </c>
      <c r="V45" s="38">
        <f t="shared" si="6"/>
        <v>6431</v>
      </c>
      <c r="W45" s="38">
        <f t="shared" si="7"/>
        <v>0</v>
      </c>
      <c r="X45" s="29">
        <f t="shared" si="8"/>
        <v>-1</v>
      </c>
      <c r="Y45" s="22"/>
      <c r="Z45" s="22"/>
      <c r="AA45" s="29" t="e">
        <f t="shared" si="9"/>
        <v>#DIV/0!</v>
      </c>
      <c r="AB45" s="22">
        <f t="shared" si="10"/>
        <v>6431</v>
      </c>
      <c r="AC45" s="22">
        <f t="shared" si="11"/>
        <v>0</v>
      </c>
      <c r="AD45" s="29">
        <f t="shared" si="12"/>
        <v>-1</v>
      </c>
      <c r="AE45" s="22"/>
      <c r="AF45" s="22">
        <v>6566</v>
      </c>
      <c r="AG45" s="29" t="e">
        <f t="shared" si="13"/>
        <v>#DIV/0!</v>
      </c>
      <c r="AH45" s="22">
        <f t="shared" si="14"/>
        <v>6431</v>
      </c>
      <c r="AI45" s="22">
        <f t="shared" si="15"/>
        <v>6566</v>
      </c>
      <c r="AJ45" s="29">
        <f t="shared" si="16"/>
        <v>2.0992069662571802E-2</v>
      </c>
      <c r="AK45" s="22"/>
      <c r="AL45" s="22"/>
      <c r="AM45" s="29" t="e">
        <f t="shared" si="17"/>
        <v>#DIV/0!</v>
      </c>
      <c r="AN45" s="22">
        <f t="shared" si="18"/>
        <v>6431</v>
      </c>
      <c r="AO45" s="22">
        <f t="shared" si="19"/>
        <v>6566</v>
      </c>
      <c r="AP45" s="29">
        <f t="shared" si="20"/>
        <v>2.0992069662571802E-2</v>
      </c>
      <c r="AQ45" s="22"/>
      <c r="AR45" s="22"/>
      <c r="AS45" s="29" t="e">
        <f t="shared" si="21"/>
        <v>#DIV/0!</v>
      </c>
      <c r="AT45" s="22">
        <f t="shared" si="22"/>
        <v>6431</v>
      </c>
      <c r="AU45" s="22">
        <f t="shared" si="23"/>
        <v>6566</v>
      </c>
      <c r="AV45" s="29">
        <f t="shared" si="24"/>
        <v>2.0992069662571802E-2</v>
      </c>
      <c r="AW45" s="38"/>
      <c r="AX45" s="38"/>
      <c r="AY45" s="29" t="e">
        <f t="shared" si="25"/>
        <v>#DIV/0!</v>
      </c>
      <c r="AZ45" s="38">
        <f t="shared" si="26"/>
        <v>6431</v>
      </c>
      <c r="BA45" s="38">
        <f t="shared" si="27"/>
        <v>6566</v>
      </c>
      <c r="BB45" s="29">
        <f t="shared" si="28"/>
        <v>2.0992069662571802E-2</v>
      </c>
      <c r="BC45" s="38"/>
      <c r="BD45" s="38">
        <v>5382</v>
      </c>
      <c r="BE45" s="29" t="e">
        <f t="shared" si="29"/>
        <v>#DIV/0!</v>
      </c>
      <c r="BF45" s="38">
        <f t="shared" si="30"/>
        <v>6431</v>
      </c>
      <c r="BG45" s="38">
        <f t="shared" si="31"/>
        <v>11948</v>
      </c>
      <c r="BH45" s="29">
        <f t="shared" si="32"/>
        <v>0.85787591354377202</v>
      </c>
      <c r="BI45" s="102"/>
      <c r="BJ45" s="111"/>
      <c r="BK45" s="22"/>
      <c r="BL45" s="22">
        <v>6431</v>
      </c>
      <c r="BM45" s="96" t="e">
        <f t="shared" si="33"/>
        <v>#DIV/0!</v>
      </c>
      <c r="BN45" s="22"/>
      <c r="BO45" s="22"/>
    </row>
    <row r="46" spans="1:67">
      <c r="A46" s="80" t="s">
        <v>29</v>
      </c>
      <c r="B46" s="80" t="s">
        <v>29</v>
      </c>
      <c r="C46" s="108" t="s">
        <v>267</v>
      </c>
      <c r="D46" s="33" t="s">
        <v>61</v>
      </c>
      <c r="E46" s="33" t="s">
        <v>61</v>
      </c>
      <c r="F46" s="33" t="s">
        <v>217</v>
      </c>
      <c r="G46" s="33" t="s">
        <v>235</v>
      </c>
      <c r="H46" s="33" t="s">
        <v>219</v>
      </c>
      <c r="I46" s="110">
        <v>0</v>
      </c>
      <c r="J46" s="111"/>
      <c r="K46" s="111"/>
      <c r="L46" s="29" t="e">
        <f t="shared" si="0"/>
        <v>#DIV/0!</v>
      </c>
      <c r="M46" s="22">
        <v>20000</v>
      </c>
      <c r="N46" s="22"/>
      <c r="O46" s="29">
        <f t="shared" si="1"/>
        <v>-1</v>
      </c>
      <c r="P46" s="22">
        <f t="shared" si="2"/>
        <v>20000</v>
      </c>
      <c r="Q46" s="22">
        <f t="shared" si="3"/>
        <v>0</v>
      </c>
      <c r="R46" s="29">
        <f t="shared" si="4"/>
        <v>-1</v>
      </c>
      <c r="S46" s="38"/>
      <c r="T46" s="38">
        <v>7105</v>
      </c>
      <c r="U46" s="29" t="e">
        <f t="shared" si="5"/>
        <v>#DIV/0!</v>
      </c>
      <c r="V46" s="38">
        <f t="shared" si="6"/>
        <v>20000</v>
      </c>
      <c r="W46" s="38">
        <f t="shared" si="7"/>
        <v>7105</v>
      </c>
      <c r="X46" s="29">
        <f t="shared" si="8"/>
        <v>-0.64475000000000005</v>
      </c>
      <c r="Y46" s="22"/>
      <c r="Z46" s="22"/>
      <c r="AA46" s="29" t="e">
        <f t="shared" si="9"/>
        <v>#DIV/0!</v>
      </c>
      <c r="AB46" s="22">
        <f t="shared" si="10"/>
        <v>20000</v>
      </c>
      <c r="AC46" s="22">
        <f t="shared" si="11"/>
        <v>7105</v>
      </c>
      <c r="AD46" s="29">
        <f t="shared" si="12"/>
        <v>-0.64475000000000005</v>
      </c>
      <c r="AE46" s="22"/>
      <c r="AF46" s="22"/>
      <c r="AG46" s="29" t="e">
        <f t="shared" si="13"/>
        <v>#DIV/0!</v>
      </c>
      <c r="AH46" s="22">
        <f t="shared" si="14"/>
        <v>20000</v>
      </c>
      <c r="AI46" s="22">
        <f t="shared" si="15"/>
        <v>7105</v>
      </c>
      <c r="AJ46" s="29">
        <f t="shared" si="16"/>
        <v>-0.64475000000000005</v>
      </c>
      <c r="AK46" s="22">
        <v>2310</v>
      </c>
      <c r="AL46" s="22"/>
      <c r="AM46" s="29">
        <f t="shared" si="17"/>
        <v>-1</v>
      </c>
      <c r="AN46" s="22">
        <f t="shared" si="18"/>
        <v>22310</v>
      </c>
      <c r="AO46" s="22">
        <f t="shared" si="19"/>
        <v>7105</v>
      </c>
      <c r="AP46" s="29">
        <f t="shared" si="20"/>
        <v>-0.68153294486777205</v>
      </c>
      <c r="AQ46" s="22"/>
      <c r="AR46" s="22"/>
      <c r="AS46" s="29" t="e">
        <f t="shared" si="21"/>
        <v>#DIV/0!</v>
      </c>
      <c r="AT46" s="22">
        <f t="shared" si="22"/>
        <v>22310</v>
      </c>
      <c r="AU46" s="22">
        <f t="shared" si="23"/>
        <v>7105</v>
      </c>
      <c r="AV46" s="29">
        <f t="shared" si="24"/>
        <v>-0.68153294486777205</v>
      </c>
      <c r="AW46" s="38"/>
      <c r="AX46" s="38"/>
      <c r="AY46" s="29" t="e">
        <f t="shared" si="25"/>
        <v>#DIV/0!</v>
      </c>
      <c r="AZ46" s="38">
        <f t="shared" si="26"/>
        <v>22310</v>
      </c>
      <c r="BA46" s="38">
        <f t="shared" si="27"/>
        <v>7105</v>
      </c>
      <c r="BB46" s="29">
        <f t="shared" si="28"/>
        <v>-0.68153294486777205</v>
      </c>
      <c r="BC46" s="38">
        <v>15249</v>
      </c>
      <c r="BD46" s="38"/>
      <c r="BE46" s="29">
        <f t="shared" si="29"/>
        <v>-1</v>
      </c>
      <c r="BF46" s="38">
        <f t="shared" si="30"/>
        <v>37559</v>
      </c>
      <c r="BG46" s="38">
        <f t="shared" si="31"/>
        <v>7105</v>
      </c>
      <c r="BH46" s="29">
        <f t="shared" si="32"/>
        <v>-0.81083095929071602</v>
      </c>
      <c r="BI46" s="102">
        <v>5443</v>
      </c>
      <c r="BJ46" s="111"/>
      <c r="BK46" s="22"/>
      <c r="BL46" s="22">
        <v>43002</v>
      </c>
      <c r="BM46" s="96" t="e">
        <f t="shared" si="33"/>
        <v>#DIV/0!</v>
      </c>
      <c r="BN46" s="22"/>
      <c r="BO46" s="22"/>
    </row>
    <row r="47" spans="1:67">
      <c r="A47" s="80" t="s">
        <v>29</v>
      </c>
      <c r="B47" s="80" t="s">
        <v>29</v>
      </c>
      <c r="C47" s="86" t="s">
        <v>268</v>
      </c>
      <c r="D47" s="22" t="s">
        <v>61</v>
      </c>
      <c r="E47" s="33" t="s">
        <v>61</v>
      </c>
      <c r="F47" s="33" t="s">
        <v>226</v>
      </c>
      <c r="G47" s="33" t="s">
        <v>226</v>
      </c>
      <c r="H47" s="22" t="s">
        <v>214</v>
      </c>
      <c r="I47" s="110"/>
      <c r="J47" s="111"/>
      <c r="K47" s="111"/>
      <c r="L47" s="29" t="e">
        <f t="shared" si="0"/>
        <v>#DIV/0!</v>
      </c>
      <c r="M47" s="22"/>
      <c r="N47" s="22">
        <v>10000</v>
      </c>
      <c r="O47" s="29" t="e">
        <f t="shared" si="1"/>
        <v>#DIV/0!</v>
      </c>
      <c r="P47" s="22">
        <f t="shared" si="2"/>
        <v>0</v>
      </c>
      <c r="Q47" s="22">
        <f t="shared" si="3"/>
        <v>10000</v>
      </c>
      <c r="R47" s="29" t="e">
        <f t="shared" si="4"/>
        <v>#DIV/0!</v>
      </c>
      <c r="S47" s="38"/>
      <c r="T47" s="38"/>
      <c r="U47" s="29" t="e">
        <f t="shared" si="5"/>
        <v>#DIV/0!</v>
      </c>
      <c r="V47" s="38">
        <f t="shared" si="6"/>
        <v>0</v>
      </c>
      <c r="W47" s="38">
        <f t="shared" si="7"/>
        <v>10000</v>
      </c>
      <c r="X47" s="29" t="e">
        <f t="shared" si="8"/>
        <v>#DIV/0!</v>
      </c>
      <c r="Y47" s="22">
        <v>10000</v>
      </c>
      <c r="Z47" s="22"/>
      <c r="AA47" s="29">
        <f t="shared" si="9"/>
        <v>-1</v>
      </c>
      <c r="AB47" s="22">
        <f t="shared" si="10"/>
        <v>10000</v>
      </c>
      <c r="AC47" s="22">
        <f t="shared" si="11"/>
        <v>10000</v>
      </c>
      <c r="AD47" s="29">
        <f t="shared" si="12"/>
        <v>0</v>
      </c>
      <c r="AE47" s="22"/>
      <c r="AF47" s="22"/>
      <c r="AG47" s="29" t="e">
        <f t="shared" si="13"/>
        <v>#DIV/0!</v>
      </c>
      <c r="AH47" s="22">
        <f t="shared" si="14"/>
        <v>10000</v>
      </c>
      <c r="AI47" s="22">
        <f t="shared" si="15"/>
        <v>10000</v>
      </c>
      <c r="AJ47" s="29">
        <f t="shared" si="16"/>
        <v>0</v>
      </c>
      <c r="AK47" s="22"/>
      <c r="AL47" s="22"/>
      <c r="AM47" s="29" t="e">
        <f t="shared" si="17"/>
        <v>#DIV/0!</v>
      </c>
      <c r="AN47" s="22">
        <f t="shared" si="18"/>
        <v>10000</v>
      </c>
      <c r="AO47" s="22">
        <f t="shared" si="19"/>
        <v>10000</v>
      </c>
      <c r="AP47" s="29">
        <f t="shared" si="20"/>
        <v>0</v>
      </c>
      <c r="AQ47" s="22"/>
      <c r="AR47" s="22">
        <v>4124</v>
      </c>
      <c r="AS47" s="29" t="e">
        <f t="shared" si="21"/>
        <v>#DIV/0!</v>
      </c>
      <c r="AT47" s="22">
        <f t="shared" si="22"/>
        <v>10000</v>
      </c>
      <c r="AU47" s="22">
        <f t="shared" si="23"/>
        <v>14124</v>
      </c>
      <c r="AV47" s="29">
        <f t="shared" si="24"/>
        <v>0.41239999999999999</v>
      </c>
      <c r="AW47" s="38"/>
      <c r="AX47" s="38"/>
      <c r="AY47" s="29" t="e">
        <f t="shared" si="25"/>
        <v>#DIV/0!</v>
      </c>
      <c r="AZ47" s="38">
        <f t="shared" si="26"/>
        <v>10000</v>
      </c>
      <c r="BA47" s="38">
        <f t="shared" si="27"/>
        <v>14124</v>
      </c>
      <c r="BB47" s="29">
        <f t="shared" si="28"/>
        <v>0.41239999999999999</v>
      </c>
      <c r="BC47" s="38"/>
      <c r="BD47" s="38">
        <v>4124</v>
      </c>
      <c r="BE47" s="29" t="e">
        <f t="shared" si="29"/>
        <v>#DIV/0!</v>
      </c>
      <c r="BF47" s="38">
        <f t="shared" si="30"/>
        <v>10000</v>
      </c>
      <c r="BG47" s="38">
        <f t="shared" si="31"/>
        <v>18248</v>
      </c>
      <c r="BH47" s="29">
        <f t="shared" si="32"/>
        <v>0.82479999999999998</v>
      </c>
      <c r="BI47" s="102"/>
      <c r="BJ47" s="111">
        <v>10000</v>
      </c>
      <c r="BK47" s="22"/>
      <c r="BL47" s="22">
        <v>20000</v>
      </c>
      <c r="BM47" s="96" t="e">
        <f t="shared" si="33"/>
        <v>#DIV/0!</v>
      </c>
      <c r="BN47" s="22"/>
      <c r="BO47" s="22"/>
    </row>
    <row r="48" spans="1:67">
      <c r="A48" s="80" t="s">
        <v>29</v>
      </c>
      <c r="B48" s="80" t="s">
        <v>29</v>
      </c>
      <c r="C48" s="86" t="s">
        <v>269</v>
      </c>
      <c r="D48" s="22" t="s">
        <v>61</v>
      </c>
      <c r="E48" s="33" t="s">
        <v>61</v>
      </c>
      <c r="F48" s="42" t="s">
        <v>232</v>
      </c>
      <c r="G48" s="42" t="s">
        <v>232</v>
      </c>
      <c r="H48" s="22" t="s">
        <v>223</v>
      </c>
      <c r="I48" s="110">
        <v>5</v>
      </c>
      <c r="J48" s="111"/>
      <c r="K48" s="111"/>
      <c r="L48" s="29" t="e">
        <f t="shared" si="0"/>
        <v>#DIV/0!</v>
      </c>
      <c r="M48" s="22"/>
      <c r="N48" s="22"/>
      <c r="O48" s="29" t="e">
        <f t="shared" si="1"/>
        <v>#DIV/0!</v>
      </c>
      <c r="P48" s="22">
        <f t="shared" si="2"/>
        <v>0</v>
      </c>
      <c r="Q48" s="22">
        <f t="shared" si="3"/>
        <v>0</v>
      </c>
      <c r="R48" s="29" t="e">
        <f t="shared" si="4"/>
        <v>#DIV/0!</v>
      </c>
      <c r="S48" s="38"/>
      <c r="T48" s="38"/>
      <c r="U48" s="29" t="e">
        <f t="shared" si="5"/>
        <v>#DIV/0!</v>
      </c>
      <c r="V48" s="38">
        <f t="shared" si="6"/>
        <v>0</v>
      </c>
      <c r="W48" s="38">
        <f t="shared" si="7"/>
        <v>0</v>
      </c>
      <c r="X48" s="29" t="e">
        <f t="shared" si="8"/>
        <v>#DIV/0!</v>
      </c>
      <c r="Y48" s="22">
        <v>5382</v>
      </c>
      <c r="Z48" s="22"/>
      <c r="AA48" s="29">
        <f t="shared" si="9"/>
        <v>-1</v>
      </c>
      <c r="AB48" s="22">
        <f t="shared" si="10"/>
        <v>5382</v>
      </c>
      <c r="AC48" s="22">
        <f t="shared" si="11"/>
        <v>0</v>
      </c>
      <c r="AD48" s="29">
        <f t="shared" si="12"/>
        <v>-1</v>
      </c>
      <c r="AE48" s="22"/>
      <c r="AF48" s="22"/>
      <c r="AG48" s="29" t="e">
        <f t="shared" si="13"/>
        <v>#DIV/0!</v>
      </c>
      <c r="AH48" s="22">
        <f t="shared" si="14"/>
        <v>5382</v>
      </c>
      <c r="AI48" s="22">
        <f t="shared" si="15"/>
        <v>0</v>
      </c>
      <c r="AJ48" s="29">
        <f t="shared" si="16"/>
        <v>-1</v>
      </c>
      <c r="AK48" s="22"/>
      <c r="AL48" s="22"/>
      <c r="AM48" s="29" t="e">
        <f t="shared" si="17"/>
        <v>#DIV/0!</v>
      </c>
      <c r="AN48" s="22">
        <f t="shared" si="18"/>
        <v>5382</v>
      </c>
      <c r="AO48" s="22">
        <f t="shared" si="19"/>
        <v>0</v>
      </c>
      <c r="AP48" s="29">
        <f t="shared" si="20"/>
        <v>-1</v>
      </c>
      <c r="AQ48" s="22"/>
      <c r="AR48" s="22"/>
      <c r="AS48" s="29" t="e">
        <f t="shared" si="21"/>
        <v>#DIV/0!</v>
      </c>
      <c r="AT48" s="22">
        <f t="shared" si="22"/>
        <v>5382</v>
      </c>
      <c r="AU48" s="22">
        <f t="shared" si="23"/>
        <v>0</v>
      </c>
      <c r="AV48" s="29">
        <f t="shared" si="24"/>
        <v>-1</v>
      </c>
      <c r="AW48" s="38"/>
      <c r="AX48" s="38"/>
      <c r="AY48" s="29" t="e">
        <f t="shared" si="25"/>
        <v>#DIV/0!</v>
      </c>
      <c r="AZ48" s="38">
        <f t="shared" si="26"/>
        <v>5382</v>
      </c>
      <c r="BA48" s="38">
        <f t="shared" si="27"/>
        <v>0</v>
      </c>
      <c r="BB48" s="29">
        <f t="shared" si="28"/>
        <v>-1</v>
      </c>
      <c r="BC48" s="38"/>
      <c r="BD48" s="38"/>
      <c r="BE48" s="29" t="e">
        <f t="shared" si="29"/>
        <v>#DIV/0!</v>
      </c>
      <c r="BF48" s="38">
        <f t="shared" si="30"/>
        <v>5382</v>
      </c>
      <c r="BG48" s="38">
        <f t="shared" si="31"/>
        <v>0</v>
      </c>
      <c r="BH48" s="29">
        <f t="shared" si="32"/>
        <v>-1</v>
      </c>
      <c r="BI48" s="102"/>
      <c r="BJ48" s="111"/>
      <c r="BK48" s="22"/>
      <c r="BL48" s="22">
        <v>5382</v>
      </c>
      <c r="BM48" s="96">
        <f t="shared" si="33"/>
        <v>0</v>
      </c>
      <c r="BN48" s="22"/>
      <c r="BO48" s="22"/>
    </row>
    <row r="49" spans="1:67">
      <c r="A49" s="80" t="s">
        <v>29</v>
      </c>
      <c r="B49" s="80" t="s">
        <v>29</v>
      </c>
      <c r="C49" s="86" t="s">
        <v>270</v>
      </c>
      <c r="D49" s="22" t="s">
        <v>61</v>
      </c>
      <c r="E49" s="33" t="s">
        <v>61</v>
      </c>
      <c r="F49" s="33" t="s">
        <v>213</v>
      </c>
      <c r="G49" s="33" t="s">
        <v>213</v>
      </c>
      <c r="H49" s="22" t="s">
        <v>214</v>
      </c>
      <c r="I49" s="110"/>
      <c r="J49" s="111"/>
      <c r="K49" s="111"/>
      <c r="L49" s="29" t="e">
        <f t="shared" si="0"/>
        <v>#DIV/0!</v>
      </c>
      <c r="M49" s="22"/>
      <c r="N49" s="22">
        <v>2992</v>
      </c>
      <c r="O49" s="29" t="e">
        <f t="shared" si="1"/>
        <v>#DIV/0!</v>
      </c>
      <c r="P49" s="22">
        <f t="shared" si="2"/>
        <v>0</v>
      </c>
      <c r="Q49" s="22">
        <f t="shared" si="3"/>
        <v>2992</v>
      </c>
      <c r="R49" s="29" t="e">
        <f t="shared" si="4"/>
        <v>#DIV/0!</v>
      </c>
      <c r="S49" s="38"/>
      <c r="T49" s="38"/>
      <c r="U49" s="29" t="e">
        <f t="shared" si="5"/>
        <v>#DIV/0!</v>
      </c>
      <c r="V49" s="38">
        <f t="shared" si="6"/>
        <v>0</v>
      </c>
      <c r="W49" s="38">
        <f t="shared" si="7"/>
        <v>2992</v>
      </c>
      <c r="X49" s="29" t="e">
        <f t="shared" si="8"/>
        <v>#DIV/0!</v>
      </c>
      <c r="Y49" s="22"/>
      <c r="Z49" s="22"/>
      <c r="AA49" s="29" t="e">
        <f t="shared" si="9"/>
        <v>#DIV/0!</v>
      </c>
      <c r="AB49" s="22">
        <f t="shared" si="10"/>
        <v>0</v>
      </c>
      <c r="AC49" s="22">
        <f t="shared" si="11"/>
        <v>2992</v>
      </c>
      <c r="AD49" s="29" t="e">
        <f t="shared" si="12"/>
        <v>#DIV/0!</v>
      </c>
      <c r="AE49" s="22">
        <v>5370</v>
      </c>
      <c r="AF49" s="22"/>
      <c r="AG49" s="29">
        <f t="shared" si="13"/>
        <v>-1</v>
      </c>
      <c r="AH49" s="22">
        <f t="shared" si="14"/>
        <v>5370</v>
      </c>
      <c r="AI49" s="22">
        <f t="shared" si="15"/>
        <v>2992</v>
      </c>
      <c r="AJ49" s="29">
        <f t="shared" si="16"/>
        <v>-0.44283054003724398</v>
      </c>
      <c r="AK49" s="22"/>
      <c r="AL49" s="22"/>
      <c r="AM49" s="29" t="e">
        <f t="shared" si="17"/>
        <v>#DIV/0!</v>
      </c>
      <c r="AN49" s="22">
        <f t="shared" si="18"/>
        <v>5370</v>
      </c>
      <c r="AO49" s="22">
        <f t="shared" si="19"/>
        <v>2992</v>
      </c>
      <c r="AP49" s="29">
        <f t="shared" si="20"/>
        <v>-0.44283054003724398</v>
      </c>
      <c r="AQ49" s="22"/>
      <c r="AR49" s="22"/>
      <c r="AS49" s="29" t="e">
        <f t="shared" si="21"/>
        <v>#DIV/0!</v>
      </c>
      <c r="AT49" s="22">
        <f t="shared" si="22"/>
        <v>5370</v>
      </c>
      <c r="AU49" s="22">
        <f t="shared" si="23"/>
        <v>2992</v>
      </c>
      <c r="AV49" s="29">
        <f t="shared" si="24"/>
        <v>-0.44283054003724398</v>
      </c>
      <c r="AW49" s="38"/>
      <c r="AX49" s="38"/>
      <c r="AY49" s="29" t="e">
        <f t="shared" si="25"/>
        <v>#DIV/0!</v>
      </c>
      <c r="AZ49" s="38">
        <f t="shared" si="26"/>
        <v>5370</v>
      </c>
      <c r="BA49" s="38">
        <f t="shared" si="27"/>
        <v>2992</v>
      </c>
      <c r="BB49" s="29">
        <f t="shared" si="28"/>
        <v>-0.44283054003724398</v>
      </c>
      <c r="BC49" s="38"/>
      <c r="BD49" s="38">
        <v>790</v>
      </c>
      <c r="BE49" s="29" t="e">
        <f t="shared" si="29"/>
        <v>#DIV/0!</v>
      </c>
      <c r="BF49" s="38">
        <f t="shared" si="30"/>
        <v>5370</v>
      </c>
      <c r="BG49" s="38">
        <f t="shared" si="31"/>
        <v>3782</v>
      </c>
      <c r="BH49" s="29">
        <f t="shared" si="32"/>
        <v>-0.29571694599627601</v>
      </c>
      <c r="BI49" s="102">
        <v>4058</v>
      </c>
      <c r="BJ49" s="111"/>
      <c r="BK49" s="22"/>
      <c r="BL49" s="22">
        <v>9428</v>
      </c>
      <c r="BM49" s="96" t="e">
        <f t="shared" si="33"/>
        <v>#DIV/0!</v>
      </c>
      <c r="BN49" s="22"/>
      <c r="BO49" s="22"/>
    </row>
    <row r="50" spans="1:67">
      <c r="A50" s="80" t="s">
        <v>29</v>
      </c>
      <c r="B50" s="80" t="s">
        <v>29</v>
      </c>
      <c r="C50" s="86" t="s">
        <v>271</v>
      </c>
      <c r="D50" s="22" t="s">
        <v>61</v>
      </c>
      <c r="E50" s="33" t="s">
        <v>61</v>
      </c>
      <c r="F50" s="33" t="s">
        <v>213</v>
      </c>
      <c r="G50" s="33" t="s">
        <v>213</v>
      </c>
      <c r="H50" s="22" t="s">
        <v>214</v>
      </c>
      <c r="I50" s="110"/>
      <c r="J50" s="111"/>
      <c r="K50" s="111"/>
      <c r="L50" s="29" t="e">
        <f t="shared" si="0"/>
        <v>#DIV/0!</v>
      </c>
      <c r="M50" s="22"/>
      <c r="N50" s="22"/>
      <c r="O50" s="29" t="e">
        <f t="shared" si="1"/>
        <v>#DIV/0!</v>
      </c>
      <c r="P50" s="22">
        <f t="shared" si="2"/>
        <v>0</v>
      </c>
      <c r="Q50" s="22">
        <f t="shared" si="3"/>
        <v>0</v>
      </c>
      <c r="R50" s="29" t="e">
        <f t="shared" si="4"/>
        <v>#DIV/0!</v>
      </c>
      <c r="S50" s="38"/>
      <c r="T50" s="38"/>
      <c r="U50" s="29" t="e">
        <f t="shared" si="5"/>
        <v>#DIV/0!</v>
      </c>
      <c r="V50" s="38">
        <f t="shared" si="6"/>
        <v>0</v>
      </c>
      <c r="W50" s="38">
        <f t="shared" si="7"/>
        <v>0</v>
      </c>
      <c r="X50" s="29" t="e">
        <f t="shared" si="8"/>
        <v>#DIV/0!</v>
      </c>
      <c r="Y50" s="22"/>
      <c r="Z50" s="22"/>
      <c r="AA50" s="29" t="e">
        <f t="shared" si="9"/>
        <v>#DIV/0!</v>
      </c>
      <c r="AB50" s="22">
        <f t="shared" si="10"/>
        <v>0</v>
      </c>
      <c r="AC50" s="22">
        <f t="shared" si="11"/>
        <v>0</v>
      </c>
      <c r="AD50" s="29" t="e">
        <f t="shared" si="12"/>
        <v>#DIV/0!</v>
      </c>
      <c r="AE50" s="22">
        <v>7590</v>
      </c>
      <c r="AF50" s="22"/>
      <c r="AG50" s="29">
        <f t="shared" si="13"/>
        <v>-1</v>
      </c>
      <c r="AH50" s="22">
        <f t="shared" si="14"/>
        <v>7590</v>
      </c>
      <c r="AI50" s="22">
        <f t="shared" si="15"/>
        <v>0</v>
      </c>
      <c r="AJ50" s="29">
        <f t="shared" si="16"/>
        <v>-1</v>
      </c>
      <c r="AK50" s="22">
        <v>11200</v>
      </c>
      <c r="AL50" s="22"/>
      <c r="AM50" s="29">
        <f t="shared" si="17"/>
        <v>-1</v>
      </c>
      <c r="AN50" s="22">
        <f t="shared" si="18"/>
        <v>18790</v>
      </c>
      <c r="AO50" s="22">
        <f t="shared" si="19"/>
        <v>0</v>
      </c>
      <c r="AP50" s="29">
        <f t="shared" si="20"/>
        <v>-1</v>
      </c>
      <c r="AQ50" s="22">
        <v>2148</v>
      </c>
      <c r="AR50" s="22"/>
      <c r="AS50" s="29">
        <f t="shared" si="21"/>
        <v>-1</v>
      </c>
      <c r="AT50" s="22">
        <f t="shared" si="22"/>
        <v>20938</v>
      </c>
      <c r="AU50" s="22">
        <f t="shared" si="23"/>
        <v>0</v>
      </c>
      <c r="AV50" s="29">
        <f t="shared" si="24"/>
        <v>-1</v>
      </c>
      <c r="AW50" s="38">
        <v>3919</v>
      </c>
      <c r="AX50" s="38"/>
      <c r="AY50" s="29">
        <f t="shared" si="25"/>
        <v>-1</v>
      </c>
      <c r="AZ50" s="38">
        <f t="shared" si="26"/>
        <v>24857</v>
      </c>
      <c r="BA50" s="38">
        <f t="shared" si="27"/>
        <v>0</v>
      </c>
      <c r="BB50" s="29">
        <f t="shared" si="28"/>
        <v>-1</v>
      </c>
      <c r="BC50" s="38">
        <v>4887</v>
      </c>
      <c r="BD50" s="38"/>
      <c r="BE50" s="29">
        <f t="shared" si="29"/>
        <v>-1</v>
      </c>
      <c r="BF50" s="38">
        <f t="shared" si="30"/>
        <v>29744</v>
      </c>
      <c r="BG50" s="38">
        <f t="shared" si="31"/>
        <v>0</v>
      </c>
      <c r="BH50" s="29">
        <f t="shared" si="32"/>
        <v>-1</v>
      </c>
      <c r="BI50" s="102">
        <v>23919</v>
      </c>
      <c r="BJ50" s="111"/>
      <c r="BK50" s="22">
        <v>57800</v>
      </c>
      <c r="BL50" s="22">
        <v>111463</v>
      </c>
      <c r="BM50" s="96" t="e">
        <f t="shared" si="33"/>
        <v>#DIV/0!</v>
      </c>
      <c r="BN50" s="22"/>
      <c r="BO50" s="22"/>
    </row>
    <row r="51" spans="1:67">
      <c r="A51" s="80" t="s">
        <v>29</v>
      </c>
      <c r="B51" s="80" t="s">
        <v>29</v>
      </c>
      <c r="C51" s="86" t="s">
        <v>272</v>
      </c>
      <c r="D51" s="22" t="s">
        <v>61</v>
      </c>
      <c r="E51" s="33" t="s">
        <v>61</v>
      </c>
      <c r="F51" s="42" t="s">
        <v>230</v>
      </c>
      <c r="G51" s="42" t="s">
        <v>230</v>
      </c>
      <c r="H51" s="22" t="s">
        <v>223</v>
      </c>
      <c r="I51" s="110"/>
      <c r="J51" s="111"/>
      <c r="K51" s="111"/>
      <c r="L51" s="29" t="e">
        <f t="shared" si="0"/>
        <v>#DIV/0!</v>
      </c>
      <c r="M51" s="22"/>
      <c r="N51" s="22"/>
      <c r="O51" s="29" t="e">
        <f t="shared" si="1"/>
        <v>#DIV/0!</v>
      </c>
      <c r="P51" s="22">
        <f t="shared" si="2"/>
        <v>0</v>
      </c>
      <c r="Q51" s="22">
        <f t="shared" si="3"/>
        <v>0</v>
      </c>
      <c r="R51" s="29" t="e">
        <f t="shared" si="4"/>
        <v>#DIV/0!</v>
      </c>
      <c r="S51" s="38"/>
      <c r="T51" s="38">
        <v>6400</v>
      </c>
      <c r="U51" s="29" t="e">
        <f t="shared" si="5"/>
        <v>#DIV/0!</v>
      </c>
      <c r="V51" s="38">
        <f t="shared" si="6"/>
        <v>0</v>
      </c>
      <c r="W51" s="38">
        <f t="shared" si="7"/>
        <v>6400</v>
      </c>
      <c r="X51" s="29" t="e">
        <f t="shared" si="8"/>
        <v>#DIV/0!</v>
      </c>
      <c r="Y51" s="22"/>
      <c r="Z51" s="22">
        <v>3934</v>
      </c>
      <c r="AA51" s="29" t="e">
        <f t="shared" si="9"/>
        <v>#DIV/0!</v>
      </c>
      <c r="AB51" s="22">
        <f t="shared" si="10"/>
        <v>0</v>
      </c>
      <c r="AC51" s="22">
        <f t="shared" si="11"/>
        <v>10334</v>
      </c>
      <c r="AD51" s="29" t="e">
        <f t="shared" si="12"/>
        <v>#DIV/0!</v>
      </c>
      <c r="AE51" s="22">
        <v>2388</v>
      </c>
      <c r="AF51" s="22">
        <v>2400</v>
      </c>
      <c r="AG51" s="29">
        <f t="shared" si="13"/>
        <v>5.0251256281406099E-3</v>
      </c>
      <c r="AH51" s="22">
        <f t="shared" si="14"/>
        <v>2388</v>
      </c>
      <c r="AI51" s="22">
        <f t="shared" si="15"/>
        <v>12734</v>
      </c>
      <c r="AJ51" s="29">
        <f t="shared" si="16"/>
        <v>4.3324958123953099</v>
      </c>
      <c r="AK51" s="22"/>
      <c r="AL51" s="22"/>
      <c r="AM51" s="29" t="e">
        <f t="shared" si="17"/>
        <v>#DIV/0!</v>
      </c>
      <c r="AN51" s="22">
        <f t="shared" si="18"/>
        <v>2388</v>
      </c>
      <c r="AO51" s="22">
        <f t="shared" si="19"/>
        <v>12734</v>
      </c>
      <c r="AP51" s="29">
        <f t="shared" si="20"/>
        <v>4.3324958123953099</v>
      </c>
      <c r="AQ51" s="22"/>
      <c r="AR51" s="22"/>
      <c r="AS51" s="29" t="e">
        <f t="shared" si="21"/>
        <v>#DIV/0!</v>
      </c>
      <c r="AT51" s="22">
        <f t="shared" si="22"/>
        <v>2388</v>
      </c>
      <c r="AU51" s="22">
        <f t="shared" si="23"/>
        <v>12734</v>
      </c>
      <c r="AV51" s="29">
        <f t="shared" si="24"/>
        <v>4.3324958123953099</v>
      </c>
      <c r="AW51" s="38">
        <v>7700</v>
      </c>
      <c r="AX51" s="38"/>
      <c r="AY51" s="29">
        <f t="shared" si="25"/>
        <v>-1</v>
      </c>
      <c r="AZ51" s="38">
        <f t="shared" si="26"/>
        <v>10088</v>
      </c>
      <c r="BA51" s="38">
        <f t="shared" si="27"/>
        <v>12734</v>
      </c>
      <c r="BB51" s="29">
        <f t="shared" si="28"/>
        <v>0.26229183187946098</v>
      </c>
      <c r="BC51" s="38"/>
      <c r="BD51" s="38"/>
      <c r="BE51" s="29" t="e">
        <f t="shared" si="29"/>
        <v>#DIV/0!</v>
      </c>
      <c r="BF51" s="38">
        <f t="shared" si="30"/>
        <v>10088</v>
      </c>
      <c r="BG51" s="38">
        <f t="shared" si="31"/>
        <v>12734</v>
      </c>
      <c r="BH51" s="29">
        <f t="shared" si="32"/>
        <v>0.26229183187946098</v>
      </c>
      <c r="BI51" s="102"/>
      <c r="BJ51" s="111"/>
      <c r="BK51" s="22"/>
      <c r="BL51" s="22">
        <v>10088</v>
      </c>
      <c r="BM51" s="96" t="e">
        <f t="shared" si="33"/>
        <v>#DIV/0!</v>
      </c>
      <c r="BN51" s="22"/>
      <c r="BO51" s="22"/>
    </row>
    <row r="52" spans="1:67">
      <c r="A52" s="80" t="s">
        <v>29</v>
      </c>
      <c r="B52" s="80" t="s">
        <v>29</v>
      </c>
      <c r="C52" s="86" t="s">
        <v>273</v>
      </c>
      <c r="D52" s="22" t="s">
        <v>61</v>
      </c>
      <c r="E52" s="33" t="s">
        <v>61</v>
      </c>
      <c r="F52" s="42" t="s">
        <v>230</v>
      </c>
      <c r="G52" s="42" t="s">
        <v>230</v>
      </c>
      <c r="H52" s="22" t="s">
        <v>223</v>
      </c>
      <c r="I52" s="110"/>
      <c r="J52" s="111"/>
      <c r="K52" s="111"/>
      <c r="L52" s="29" t="e">
        <f t="shared" si="0"/>
        <v>#DIV/0!</v>
      </c>
      <c r="M52" s="22"/>
      <c r="N52" s="22"/>
      <c r="O52" s="29" t="e">
        <f t="shared" si="1"/>
        <v>#DIV/0!</v>
      </c>
      <c r="P52" s="22">
        <f t="shared" si="2"/>
        <v>0</v>
      </c>
      <c r="Q52" s="22">
        <f t="shared" si="3"/>
        <v>0</v>
      </c>
      <c r="R52" s="29" t="e">
        <f t="shared" si="4"/>
        <v>#DIV/0!</v>
      </c>
      <c r="S52" s="38"/>
      <c r="T52" s="38"/>
      <c r="U52" s="29" t="e">
        <f t="shared" si="5"/>
        <v>#DIV/0!</v>
      </c>
      <c r="V52" s="38">
        <f t="shared" si="6"/>
        <v>0</v>
      </c>
      <c r="W52" s="38">
        <f t="shared" si="7"/>
        <v>0</v>
      </c>
      <c r="X52" s="29" t="e">
        <f t="shared" si="8"/>
        <v>#DIV/0!</v>
      </c>
      <c r="Y52" s="22"/>
      <c r="Z52" s="22"/>
      <c r="AA52" s="29" t="e">
        <f t="shared" si="9"/>
        <v>#DIV/0!</v>
      </c>
      <c r="AB52" s="22">
        <f t="shared" si="10"/>
        <v>0</v>
      </c>
      <c r="AC52" s="22">
        <f t="shared" si="11"/>
        <v>0</v>
      </c>
      <c r="AD52" s="29" t="e">
        <f t="shared" si="12"/>
        <v>#DIV/0!</v>
      </c>
      <c r="AE52" s="22"/>
      <c r="AF52" s="22"/>
      <c r="AG52" s="29" t="e">
        <f t="shared" si="13"/>
        <v>#DIV/0!</v>
      </c>
      <c r="AH52" s="22">
        <f t="shared" si="14"/>
        <v>0</v>
      </c>
      <c r="AI52" s="22">
        <f t="shared" si="15"/>
        <v>0</v>
      </c>
      <c r="AJ52" s="29" t="e">
        <f t="shared" si="16"/>
        <v>#DIV/0!</v>
      </c>
      <c r="AK52" s="22">
        <v>2594</v>
      </c>
      <c r="AL52" s="22"/>
      <c r="AM52" s="29">
        <f t="shared" si="17"/>
        <v>-1</v>
      </c>
      <c r="AN52" s="22">
        <f t="shared" si="18"/>
        <v>2594</v>
      </c>
      <c r="AO52" s="22">
        <f t="shared" si="19"/>
        <v>0</v>
      </c>
      <c r="AP52" s="29">
        <f t="shared" si="20"/>
        <v>-1</v>
      </c>
      <c r="AQ52" s="22"/>
      <c r="AR52" s="22"/>
      <c r="AS52" s="29" t="e">
        <f t="shared" si="21"/>
        <v>#DIV/0!</v>
      </c>
      <c r="AT52" s="22">
        <f t="shared" si="22"/>
        <v>2594</v>
      </c>
      <c r="AU52" s="22">
        <f t="shared" si="23"/>
        <v>0</v>
      </c>
      <c r="AV52" s="29">
        <f t="shared" si="24"/>
        <v>-1</v>
      </c>
      <c r="AW52" s="38"/>
      <c r="AX52" s="38"/>
      <c r="AY52" s="29" t="e">
        <f t="shared" si="25"/>
        <v>#DIV/0!</v>
      </c>
      <c r="AZ52" s="38">
        <f t="shared" si="26"/>
        <v>2594</v>
      </c>
      <c r="BA52" s="38">
        <f t="shared" si="27"/>
        <v>0</v>
      </c>
      <c r="BB52" s="29">
        <f t="shared" si="28"/>
        <v>-1</v>
      </c>
      <c r="BC52" s="38"/>
      <c r="BD52" s="38"/>
      <c r="BE52" s="29" t="e">
        <f t="shared" si="29"/>
        <v>#DIV/0!</v>
      </c>
      <c r="BF52" s="38">
        <f t="shared" si="30"/>
        <v>2594</v>
      </c>
      <c r="BG52" s="38">
        <f t="shared" si="31"/>
        <v>0</v>
      </c>
      <c r="BH52" s="29">
        <f t="shared" si="32"/>
        <v>-1</v>
      </c>
      <c r="BI52" s="102"/>
      <c r="BJ52" s="111"/>
      <c r="BK52" s="22"/>
      <c r="BL52" s="22">
        <v>2594</v>
      </c>
      <c r="BM52" s="96" t="e">
        <f t="shared" si="33"/>
        <v>#DIV/0!</v>
      </c>
      <c r="BN52" s="22"/>
      <c r="BO52" s="22"/>
    </row>
    <row r="53" spans="1:67">
      <c r="A53" s="80" t="s">
        <v>29</v>
      </c>
      <c r="B53" s="80" t="s">
        <v>29</v>
      </c>
      <c r="C53" s="86" t="s">
        <v>274</v>
      </c>
      <c r="D53" s="22" t="s">
        <v>61</v>
      </c>
      <c r="E53" s="33" t="s">
        <v>61</v>
      </c>
      <c r="F53" s="33" t="s">
        <v>213</v>
      </c>
      <c r="G53" s="33" t="s">
        <v>213</v>
      </c>
      <c r="H53" s="22" t="s">
        <v>214</v>
      </c>
      <c r="I53" s="110"/>
      <c r="J53" s="111"/>
      <c r="K53" s="111"/>
      <c r="L53" s="29" t="e">
        <f t="shared" si="0"/>
        <v>#DIV/0!</v>
      </c>
      <c r="M53" s="22"/>
      <c r="N53" s="22"/>
      <c r="O53" s="29" t="e">
        <f t="shared" si="1"/>
        <v>#DIV/0!</v>
      </c>
      <c r="P53" s="22">
        <f t="shared" si="2"/>
        <v>0</v>
      </c>
      <c r="Q53" s="22">
        <f t="shared" si="3"/>
        <v>0</v>
      </c>
      <c r="R53" s="29" t="e">
        <f t="shared" si="4"/>
        <v>#DIV/0!</v>
      </c>
      <c r="S53" s="38"/>
      <c r="T53" s="38"/>
      <c r="U53" s="29" t="e">
        <f t="shared" si="5"/>
        <v>#DIV/0!</v>
      </c>
      <c r="V53" s="38">
        <f t="shared" si="6"/>
        <v>0</v>
      </c>
      <c r="W53" s="38">
        <f t="shared" si="7"/>
        <v>0</v>
      </c>
      <c r="X53" s="29" t="e">
        <f t="shared" si="8"/>
        <v>#DIV/0!</v>
      </c>
      <c r="Y53" s="22"/>
      <c r="Z53" s="22"/>
      <c r="AA53" s="29" t="e">
        <f t="shared" si="9"/>
        <v>#DIV/0!</v>
      </c>
      <c r="AB53" s="22">
        <f t="shared" si="10"/>
        <v>0</v>
      </c>
      <c r="AC53" s="22">
        <f t="shared" si="11"/>
        <v>0</v>
      </c>
      <c r="AD53" s="29" t="e">
        <f t="shared" si="12"/>
        <v>#DIV/0!</v>
      </c>
      <c r="AE53" s="22"/>
      <c r="AF53" s="22"/>
      <c r="AG53" s="29" t="e">
        <f t="shared" si="13"/>
        <v>#DIV/0!</v>
      </c>
      <c r="AH53" s="22">
        <f t="shared" si="14"/>
        <v>0</v>
      </c>
      <c r="AI53" s="22">
        <f t="shared" si="15"/>
        <v>0</v>
      </c>
      <c r="AJ53" s="29" t="e">
        <f t="shared" si="16"/>
        <v>#DIV/0!</v>
      </c>
      <c r="AK53" s="22"/>
      <c r="AL53" s="22"/>
      <c r="AM53" s="29" t="e">
        <f t="shared" si="17"/>
        <v>#DIV/0!</v>
      </c>
      <c r="AN53" s="22">
        <f t="shared" si="18"/>
        <v>0</v>
      </c>
      <c r="AO53" s="22">
        <f t="shared" si="19"/>
        <v>0</v>
      </c>
      <c r="AP53" s="29" t="e">
        <f t="shared" si="20"/>
        <v>#DIV/0!</v>
      </c>
      <c r="AQ53" s="22">
        <v>4000</v>
      </c>
      <c r="AR53" s="22">
        <v>2104</v>
      </c>
      <c r="AS53" s="29">
        <f t="shared" si="21"/>
        <v>-0.47399999999999998</v>
      </c>
      <c r="AT53" s="22">
        <f t="shared" si="22"/>
        <v>4000</v>
      </c>
      <c r="AU53" s="22">
        <f t="shared" si="23"/>
        <v>2104</v>
      </c>
      <c r="AV53" s="29">
        <f t="shared" si="24"/>
        <v>-0.47399999999999998</v>
      </c>
      <c r="AW53" s="38"/>
      <c r="AX53" s="38"/>
      <c r="AY53" s="29" t="e">
        <f t="shared" si="25"/>
        <v>#DIV/0!</v>
      </c>
      <c r="AZ53" s="38">
        <f t="shared" si="26"/>
        <v>4000</v>
      </c>
      <c r="BA53" s="38">
        <f t="shared" si="27"/>
        <v>2104</v>
      </c>
      <c r="BB53" s="29">
        <f t="shared" si="28"/>
        <v>-0.47399999999999998</v>
      </c>
      <c r="BC53" s="38">
        <v>3082</v>
      </c>
      <c r="BD53" s="38"/>
      <c r="BE53" s="29">
        <f t="shared" si="29"/>
        <v>-1</v>
      </c>
      <c r="BF53" s="38">
        <f t="shared" si="30"/>
        <v>7082</v>
      </c>
      <c r="BG53" s="38">
        <f t="shared" si="31"/>
        <v>2104</v>
      </c>
      <c r="BH53" s="29">
        <f t="shared" si="32"/>
        <v>-0.70290878282970903</v>
      </c>
      <c r="BI53" s="102">
        <v>4260</v>
      </c>
      <c r="BJ53" s="111"/>
      <c r="BK53" s="22"/>
      <c r="BL53" s="22">
        <v>11342</v>
      </c>
      <c r="BM53" s="96" t="e">
        <f t="shared" si="33"/>
        <v>#DIV/0!</v>
      </c>
      <c r="BN53" s="22"/>
      <c r="BO53" s="22"/>
    </row>
    <row r="54" spans="1:67">
      <c r="A54" s="80" t="s">
        <v>29</v>
      </c>
      <c r="B54" s="80" t="s">
        <v>29</v>
      </c>
      <c r="C54" s="86" t="s">
        <v>275</v>
      </c>
      <c r="D54" s="22" t="s">
        <v>61</v>
      </c>
      <c r="E54" s="33" t="s">
        <v>61</v>
      </c>
      <c r="F54" s="33" t="s">
        <v>213</v>
      </c>
      <c r="G54" s="33" t="s">
        <v>213</v>
      </c>
      <c r="H54" s="22" t="s">
        <v>214</v>
      </c>
      <c r="I54" s="110"/>
      <c r="J54" s="111"/>
      <c r="K54" s="111"/>
      <c r="L54" s="29" t="e">
        <f t="shared" si="0"/>
        <v>#DIV/0!</v>
      </c>
      <c r="M54" s="22"/>
      <c r="N54" s="22">
        <v>2644</v>
      </c>
      <c r="O54" s="29" t="e">
        <f t="shared" si="1"/>
        <v>#DIV/0!</v>
      </c>
      <c r="P54" s="22">
        <f t="shared" si="2"/>
        <v>0</v>
      </c>
      <c r="Q54" s="22">
        <f t="shared" si="3"/>
        <v>2644</v>
      </c>
      <c r="R54" s="29" t="e">
        <f t="shared" si="4"/>
        <v>#DIV/0!</v>
      </c>
      <c r="S54" s="38"/>
      <c r="T54" s="38"/>
      <c r="U54" s="29" t="e">
        <f t="shared" si="5"/>
        <v>#DIV/0!</v>
      </c>
      <c r="V54" s="38">
        <f t="shared" si="6"/>
        <v>0</v>
      </c>
      <c r="W54" s="38">
        <f t="shared" si="7"/>
        <v>2644</v>
      </c>
      <c r="X54" s="29" t="e">
        <f t="shared" si="8"/>
        <v>#DIV/0!</v>
      </c>
      <c r="Y54" s="22"/>
      <c r="Z54" s="22"/>
      <c r="AA54" s="29" t="e">
        <f t="shared" si="9"/>
        <v>#DIV/0!</v>
      </c>
      <c r="AB54" s="22">
        <f t="shared" si="10"/>
        <v>0</v>
      </c>
      <c r="AC54" s="22">
        <f t="shared" si="11"/>
        <v>2644</v>
      </c>
      <c r="AD54" s="29" t="e">
        <f t="shared" si="12"/>
        <v>#DIV/0!</v>
      </c>
      <c r="AE54" s="22"/>
      <c r="AF54" s="22"/>
      <c r="AG54" s="29" t="e">
        <f t="shared" si="13"/>
        <v>#DIV/0!</v>
      </c>
      <c r="AH54" s="22">
        <f t="shared" si="14"/>
        <v>0</v>
      </c>
      <c r="AI54" s="22">
        <f t="shared" si="15"/>
        <v>2644</v>
      </c>
      <c r="AJ54" s="29" t="e">
        <f t="shared" si="16"/>
        <v>#DIV/0!</v>
      </c>
      <c r="AK54" s="22"/>
      <c r="AL54" s="22"/>
      <c r="AM54" s="29" t="e">
        <f t="shared" si="17"/>
        <v>#DIV/0!</v>
      </c>
      <c r="AN54" s="22">
        <f t="shared" si="18"/>
        <v>0</v>
      </c>
      <c r="AO54" s="22">
        <f t="shared" si="19"/>
        <v>2644</v>
      </c>
      <c r="AP54" s="29" t="e">
        <f t="shared" si="20"/>
        <v>#DIV/0!</v>
      </c>
      <c r="AQ54" s="22">
        <v>18000</v>
      </c>
      <c r="AR54" s="22">
        <v>2200</v>
      </c>
      <c r="AS54" s="29">
        <f t="shared" si="21"/>
        <v>-0.87777777777777799</v>
      </c>
      <c r="AT54" s="22">
        <f t="shared" si="22"/>
        <v>18000</v>
      </c>
      <c r="AU54" s="22">
        <f t="shared" si="23"/>
        <v>4844</v>
      </c>
      <c r="AV54" s="29">
        <f t="shared" si="24"/>
        <v>-0.73088888888888903</v>
      </c>
      <c r="AW54" s="38"/>
      <c r="AX54" s="38">
        <v>5610</v>
      </c>
      <c r="AY54" s="29" t="e">
        <f t="shared" si="25"/>
        <v>#DIV/0!</v>
      </c>
      <c r="AZ54" s="38">
        <f t="shared" si="26"/>
        <v>18000</v>
      </c>
      <c r="BA54" s="38">
        <f t="shared" si="27"/>
        <v>10454</v>
      </c>
      <c r="BB54" s="29">
        <f t="shared" si="28"/>
        <v>-0.419222222222222</v>
      </c>
      <c r="BC54" s="38">
        <v>20000</v>
      </c>
      <c r="BD54" s="38">
        <v>5988</v>
      </c>
      <c r="BE54" s="29">
        <f t="shared" si="29"/>
        <v>-0.7006</v>
      </c>
      <c r="BF54" s="38">
        <f t="shared" si="30"/>
        <v>38000</v>
      </c>
      <c r="BG54" s="38">
        <f t="shared" si="31"/>
        <v>16442</v>
      </c>
      <c r="BH54" s="29">
        <f t="shared" si="32"/>
        <v>-0.567315789473684</v>
      </c>
      <c r="BI54" s="102">
        <v>7925</v>
      </c>
      <c r="BJ54" s="111">
        <v>2644</v>
      </c>
      <c r="BK54" s="22">
        <v>2644</v>
      </c>
      <c r="BL54" s="22">
        <v>51213</v>
      </c>
      <c r="BM54" s="96" t="e">
        <f t="shared" si="33"/>
        <v>#DIV/0!</v>
      </c>
      <c r="BN54" s="22"/>
      <c r="BO54" s="22"/>
    </row>
    <row r="55" spans="1:67">
      <c r="A55" s="80" t="s">
        <v>29</v>
      </c>
      <c r="B55" s="80" t="s">
        <v>29</v>
      </c>
      <c r="C55" s="86" t="s">
        <v>276</v>
      </c>
      <c r="D55" s="42" t="s">
        <v>102</v>
      </c>
      <c r="E55" s="33" t="s">
        <v>102</v>
      </c>
      <c r="F55" s="33" t="s">
        <v>217</v>
      </c>
      <c r="G55" s="42"/>
      <c r="H55" s="33" t="s">
        <v>219</v>
      </c>
      <c r="I55" s="110"/>
      <c r="J55" s="111"/>
      <c r="K55" s="111">
        <v>10328</v>
      </c>
      <c r="L55" s="29" t="e">
        <f t="shared" si="0"/>
        <v>#DIV/0!</v>
      </c>
      <c r="M55" s="22"/>
      <c r="N55" s="22"/>
      <c r="O55" s="29" t="e">
        <f t="shared" si="1"/>
        <v>#DIV/0!</v>
      </c>
      <c r="P55" s="22">
        <f t="shared" si="2"/>
        <v>0</v>
      </c>
      <c r="Q55" s="22">
        <f t="shared" si="3"/>
        <v>10328</v>
      </c>
      <c r="R55" s="29" t="e">
        <f t="shared" si="4"/>
        <v>#DIV/0!</v>
      </c>
      <c r="S55" s="38"/>
      <c r="T55" s="38">
        <v>-1000</v>
      </c>
      <c r="U55" s="29" t="e">
        <f t="shared" si="5"/>
        <v>#DIV/0!</v>
      </c>
      <c r="V55" s="38">
        <f t="shared" si="6"/>
        <v>0</v>
      </c>
      <c r="W55" s="38">
        <f t="shared" si="7"/>
        <v>9328</v>
      </c>
      <c r="X55" s="29" t="e">
        <f t="shared" si="8"/>
        <v>#DIV/0!</v>
      </c>
      <c r="Y55" s="22"/>
      <c r="Z55" s="22"/>
      <c r="AA55" s="29" t="e">
        <f t="shared" si="9"/>
        <v>#DIV/0!</v>
      </c>
      <c r="AB55" s="22">
        <f t="shared" si="10"/>
        <v>0</v>
      </c>
      <c r="AC55" s="22">
        <f t="shared" si="11"/>
        <v>9328</v>
      </c>
      <c r="AD55" s="29" t="e">
        <f t="shared" si="12"/>
        <v>#DIV/0!</v>
      </c>
      <c r="AE55" s="22"/>
      <c r="AF55" s="22"/>
      <c r="AG55" s="29" t="e">
        <f t="shared" si="13"/>
        <v>#DIV/0!</v>
      </c>
      <c r="AH55" s="22">
        <f t="shared" si="14"/>
        <v>0</v>
      </c>
      <c r="AI55" s="22">
        <f t="shared" si="15"/>
        <v>9328</v>
      </c>
      <c r="AJ55" s="29" t="e">
        <f t="shared" si="16"/>
        <v>#DIV/0!</v>
      </c>
      <c r="AK55" s="22"/>
      <c r="AL55" s="22"/>
      <c r="AM55" s="29" t="e">
        <f t="shared" si="17"/>
        <v>#DIV/0!</v>
      </c>
      <c r="AN55" s="22">
        <f t="shared" si="18"/>
        <v>0</v>
      </c>
      <c r="AO55" s="22">
        <f t="shared" si="19"/>
        <v>9328</v>
      </c>
      <c r="AP55" s="29" t="e">
        <f t="shared" si="20"/>
        <v>#DIV/0!</v>
      </c>
      <c r="AQ55" s="22">
        <v>3868</v>
      </c>
      <c r="AR55" s="22">
        <v>4092</v>
      </c>
      <c r="AS55" s="29">
        <f t="shared" si="21"/>
        <v>5.7911065149948399E-2</v>
      </c>
      <c r="AT55" s="22">
        <f t="shared" si="22"/>
        <v>3868</v>
      </c>
      <c r="AU55" s="22">
        <f t="shared" si="23"/>
        <v>13420</v>
      </c>
      <c r="AV55" s="29">
        <f t="shared" si="24"/>
        <v>2.4694932781799399</v>
      </c>
      <c r="AW55" s="38"/>
      <c r="AX55" s="38">
        <v>8474</v>
      </c>
      <c r="AY55" s="29" t="e">
        <f t="shared" si="25"/>
        <v>#DIV/0!</v>
      </c>
      <c r="AZ55" s="38">
        <f t="shared" si="26"/>
        <v>3868</v>
      </c>
      <c r="BA55" s="38">
        <f t="shared" si="27"/>
        <v>21894</v>
      </c>
      <c r="BB55" s="29">
        <f t="shared" si="28"/>
        <v>4.6602895553257504</v>
      </c>
      <c r="BC55" s="38"/>
      <c r="BD55" s="38">
        <v>9808</v>
      </c>
      <c r="BE55" s="29" t="e">
        <f t="shared" si="29"/>
        <v>#DIV/0!</v>
      </c>
      <c r="BF55" s="38">
        <f t="shared" si="30"/>
        <v>3868</v>
      </c>
      <c r="BG55" s="38">
        <f t="shared" si="31"/>
        <v>31702</v>
      </c>
      <c r="BH55" s="29">
        <f t="shared" si="32"/>
        <v>7.1959669079627702</v>
      </c>
      <c r="BI55" s="102"/>
      <c r="BJ55" s="111"/>
      <c r="BK55" s="22"/>
      <c r="BL55" s="22">
        <v>3868</v>
      </c>
      <c r="BM55" s="96" t="e">
        <f t="shared" si="33"/>
        <v>#DIV/0!</v>
      </c>
      <c r="BN55" s="22"/>
      <c r="BO55" s="22"/>
    </row>
    <row r="56" spans="1:67">
      <c r="A56" s="80" t="s">
        <v>29</v>
      </c>
      <c r="B56" s="80" t="s">
        <v>29</v>
      </c>
      <c r="C56" s="86" t="s">
        <v>277</v>
      </c>
      <c r="D56" s="22" t="s">
        <v>61</v>
      </c>
      <c r="E56" s="33" t="s">
        <v>61</v>
      </c>
      <c r="F56" s="33" t="s">
        <v>232</v>
      </c>
      <c r="G56" s="33" t="s">
        <v>232</v>
      </c>
      <c r="H56" s="22" t="s">
        <v>223</v>
      </c>
      <c r="I56" s="110"/>
      <c r="J56" s="111"/>
      <c r="K56" s="111"/>
      <c r="L56" s="29" t="e">
        <f t="shared" si="0"/>
        <v>#DIV/0!</v>
      </c>
      <c r="M56" s="22"/>
      <c r="N56" s="22"/>
      <c r="O56" s="29" t="e">
        <f t="shared" si="1"/>
        <v>#DIV/0!</v>
      </c>
      <c r="P56" s="22">
        <f t="shared" si="2"/>
        <v>0</v>
      </c>
      <c r="Q56" s="22">
        <f t="shared" si="3"/>
        <v>0</v>
      </c>
      <c r="R56" s="29" t="e">
        <f t="shared" si="4"/>
        <v>#DIV/0!</v>
      </c>
      <c r="S56" s="38"/>
      <c r="T56" s="38"/>
      <c r="U56" s="29" t="e">
        <f t="shared" si="5"/>
        <v>#DIV/0!</v>
      </c>
      <c r="V56" s="38">
        <f t="shared" si="6"/>
        <v>0</v>
      </c>
      <c r="W56" s="38">
        <f t="shared" si="7"/>
        <v>0</v>
      </c>
      <c r="X56" s="29" t="e">
        <f t="shared" si="8"/>
        <v>#DIV/0!</v>
      </c>
      <c r="Y56" s="22"/>
      <c r="Z56" s="22"/>
      <c r="AA56" s="29" t="e">
        <f t="shared" si="9"/>
        <v>#DIV/0!</v>
      </c>
      <c r="AB56" s="22">
        <f t="shared" si="10"/>
        <v>0</v>
      </c>
      <c r="AC56" s="22">
        <f t="shared" si="11"/>
        <v>0</v>
      </c>
      <c r="AD56" s="29" t="e">
        <f t="shared" si="12"/>
        <v>#DIV/0!</v>
      </c>
      <c r="AE56" s="22"/>
      <c r="AF56" s="22"/>
      <c r="AG56" s="29" t="e">
        <f t="shared" si="13"/>
        <v>#DIV/0!</v>
      </c>
      <c r="AH56" s="22">
        <f t="shared" si="14"/>
        <v>0</v>
      </c>
      <c r="AI56" s="22">
        <f t="shared" si="15"/>
        <v>0</v>
      </c>
      <c r="AJ56" s="29" t="e">
        <f t="shared" si="16"/>
        <v>#DIV/0!</v>
      </c>
      <c r="AK56" s="22"/>
      <c r="AL56" s="22"/>
      <c r="AM56" s="29" t="e">
        <f t="shared" si="17"/>
        <v>#DIV/0!</v>
      </c>
      <c r="AN56" s="22">
        <f t="shared" si="18"/>
        <v>0</v>
      </c>
      <c r="AO56" s="22">
        <f t="shared" si="19"/>
        <v>0</v>
      </c>
      <c r="AP56" s="29" t="e">
        <f t="shared" si="20"/>
        <v>#DIV/0!</v>
      </c>
      <c r="AQ56" s="22">
        <v>2549</v>
      </c>
      <c r="AR56" s="22"/>
      <c r="AS56" s="29">
        <f t="shared" si="21"/>
        <v>-1</v>
      </c>
      <c r="AT56" s="22">
        <f t="shared" si="22"/>
        <v>2549</v>
      </c>
      <c r="AU56" s="22">
        <f t="shared" si="23"/>
        <v>0</v>
      </c>
      <c r="AV56" s="29">
        <f t="shared" si="24"/>
        <v>-1</v>
      </c>
      <c r="AW56" s="38"/>
      <c r="AX56" s="38"/>
      <c r="AY56" s="29" t="e">
        <f t="shared" si="25"/>
        <v>#DIV/0!</v>
      </c>
      <c r="AZ56" s="38">
        <f t="shared" si="26"/>
        <v>2549</v>
      </c>
      <c r="BA56" s="38">
        <f t="shared" si="27"/>
        <v>0</v>
      </c>
      <c r="BB56" s="29">
        <f t="shared" si="28"/>
        <v>-1</v>
      </c>
      <c r="BC56" s="38"/>
      <c r="BD56" s="38"/>
      <c r="BE56" s="29" t="e">
        <f t="shared" si="29"/>
        <v>#DIV/0!</v>
      </c>
      <c r="BF56" s="38">
        <f t="shared" si="30"/>
        <v>2549</v>
      </c>
      <c r="BG56" s="38">
        <f t="shared" si="31"/>
        <v>0</v>
      </c>
      <c r="BH56" s="29">
        <f t="shared" si="32"/>
        <v>-1</v>
      </c>
      <c r="BI56" s="102"/>
      <c r="BJ56" s="111"/>
      <c r="BK56" s="22"/>
      <c r="BL56" s="22">
        <v>2549</v>
      </c>
      <c r="BM56" s="96" t="e">
        <f t="shared" si="33"/>
        <v>#DIV/0!</v>
      </c>
      <c r="BN56" s="22"/>
      <c r="BO56" s="22"/>
    </row>
    <row r="57" spans="1:67">
      <c r="A57" s="80" t="s">
        <v>29</v>
      </c>
      <c r="B57" s="80" t="s">
        <v>29</v>
      </c>
      <c r="C57" s="86" t="s">
        <v>119</v>
      </c>
      <c r="D57" s="22" t="s">
        <v>61</v>
      </c>
      <c r="E57" s="33" t="s">
        <v>61</v>
      </c>
      <c r="F57" s="33" t="s">
        <v>217</v>
      </c>
      <c r="G57" s="33" t="s">
        <v>217</v>
      </c>
      <c r="H57" s="22" t="s">
        <v>223</v>
      </c>
      <c r="I57" s="110"/>
      <c r="J57" s="111"/>
      <c r="K57" s="111">
        <v>5704</v>
      </c>
      <c r="L57" s="29" t="e">
        <f t="shared" si="0"/>
        <v>#DIV/0!</v>
      </c>
      <c r="M57" s="22"/>
      <c r="N57" s="22"/>
      <c r="O57" s="29" t="e">
        <f t="shared" si="1"/>
        <v>#DIV/0!</v>
      </c>
      <c r="P57" s="22">
        <f t="shared" si="2"/>
        <v>0</v>
      </c>
      <c r="Q57" s="22">
        <f t="shared" si="3"/>
        <v>5704</v>
      </c>
      <c r="R57" s="29" t="e">
        <f t="shared" si="4"/>
        <v>#DIV/0!</v>
      </c>
      <c r="S57" s="38"/>
      <c r="T57" s="38"/>
      <c r="U57" s="29" t="e">
        <f t="shared" si="5"/>
        <v>#DIV/0!</v>
      </c>
      <c r="V57" s="38">
        <f t="shared" si="6"/>
        <v>0</v>
      </c>
      <c r="W57" s="38">
        <f t="shared" si="7"/>
        <v>5704</v>
      </c>
      <c r="X57" s="29" t="e">
        <f t="shared" si="8"/>
        <v>#DIV/0!</v>
      </c>
      <c r="Y57" s="22"/>
      <c r="Z57" s="22"/>
      <c r="AA57" s="29" t="e">
        <f t="shared" si="9"/>
        <v>#DIV/0!</v>
      </c>
      <c r="AB57" s="22">
        <f t="shared" si="10"/>
        <v>0</v>
      </c>
      <c r="AC57" s="22">
        <f t="shared" si="11"/>
        <v>5704</v>
      </c>
      <c r="AD57" s="29" t="e">
        <f t="shared" si="12"/>
        <v>#DIV/0!</v>
      </c>
      <c r="AE57" s="22"/>
      <c r="AF57" s="22"/>
      <c r="AG57" s="29" t="e">
        <f t="shared" si="13"/>
        <v>#DIV/0!</v>
      </c>
      <c r="AH57" s="22">
        <f t="shared" si="14"/>
        <v>0</v>
      </c>
      <c r="AI57" s="22">
        <f t="shared" si="15"/>
        <v>5704</v>
      </c>
      <c r="AJ57" s="29" t="e">
        <f t="shared" si="16"/>
        <v>#DIV/0!</v>
      </c>
      <c r="AK57" s="22"/>
      <c r="AL57" s="22"/>
      <c r="AM57" s="29" t="e">
        <f t="shared" si="17"/>
        <v>#DIV/0!</v>
      </c>
      <c r="AN57" s="22">
        <f t="shared" si="18"/>
        <v>0</v>
      </c>
      <c r="AO57" s="22">
        <f t="shared" si="19"/>
        <v>5704</v>
      </c>
      <c r="AP57" s="29" t="e">
        <f t="shared" si="20"/>
        <v>#DIV/0!</v>
      </c>
      <c r="AQ57" s="22"/>
      <c r="AR57" s="22"/>
      <c r="AS57" s="29" t="e">
        <f t="shared" si="21"/>
        <v>#DIV/0!</v>
      </c>
      <c r="AT57" s="22">
        <f t="shared" si="22"/>
        <v>0</v>
      </c>
      <c r="AU57" s="22">
        <f t="shared" si="23"/>
        <v>5704</v>
      </c>
      <c r="AV57" s="29" t="e">
        <f t="shared" si="24"/>
        <v>#DIV/0!</v>
      </c>
      <c r="AW57" s="38">
        <v>2203.4</v>
      </c>
      <c r="AX57" s="38"/>
      <c r="AY57" s="29">
        <f t="shared" si="25"/>
        <v>-1</v>
      </c>
      <c r="AZ57" s="38">
        <f t="shared" si="26"/>
        <v>2203.4</v>
      </c>
      <c r="BA57" s="38">
        <f t="shared" si="27"/>
        <v>5704</v>
      </c>
      <c r="BB57" s="29">
        <f t="shared" si="28"/>
        <v>1.58872651356994</v>
      </c>
      <c r="BC57" s="38"/>
      <c r="BD57" s="38">
        <v>657.8</v>
      </c>
      <c r="BE57" s="29" t="e">
        <f t="shared" si="29"/>
        <v>#DIV/0!</v>
      </c>
      <c r="BF57" s="38">
        <f t="shared" si="30"/>
        <v>2203.4</v>
      </c>
      <c r="BG57" s="38">
        <f t="shared" si="31"/>
        <v>6361.8</v>
      </c>
      <c r="BH57" s="29">
        <f t="shared" si="32"/>
        <v>1.8872651356993699</v>
      </c>
      <c r="BI57" s="102">
        <v>5772.08</v>
      </c>
      <c r="BJ57" s="111"/>
      <c r="BK57" s="22">
        <v>2058.96</v>
      </c>
      <c r="BL57" s="22">
        <v>10034.44</v>
      </c>
      <c r="BM57" s="96" t="e">
        <f t="shared" si="33"/>
        <v>#DIV/0!</v>
      </c>
      <c r="BN57" s="22"/>
      <c r="BO57" s="22"/>
    </row>
    <row r="58" spans="1:67">
      <c r="A58" s="80" t="s">
        <v>29</v>
      </c>
      <c r="B58" s="80" t="s">
        <v>29</v>
      </c>
      <c r="C58" s="86" t="s">
        <v>278</v>
      </c>
      <c r="D58" s="22" t="s">
        <v>61</v>
      </c>
      <c r="E58" s="33" t="s">
        <v>61</v>
      </c>
      <c r="F58" s="176" t="s">
        <v>232</v>
      </c>
      <c r="G58" s="176" t="s">
        <v>232</v>
      </c>
      <c r="H58" s="22" t="s">
        <v>223</v>
      </c>
      <c r="I58" s="110">
        <v>30</v>
      </c>
      <c r="J58" s="111"/>
      <c r="K58" s="111">
        <v>29664</v>
      </c>
      <c r="L58" s="29" t="e">
        <f t="shared" si="0"/>
        <v>#DIV/0!</v>
      </c>
      <c r="M58" s="22"/>
      <c r="N58" s="22">
        <v>19159</v>
      </c>
      <c r="O58" s="29" t="e">
        <f t="shared" si="1"/>
        <v>#DIV/0!</v>
      </c>
      <c r="P58" s="22">
        <f t="shared" si="2"/>
        <v>0</v>
      </c>
      <c r="Q58" s="22">
        <f t="shared" si="3"/>
        <v>48823</v>
      </c>
      <c r="R58" s="29" t="e">
        <f t="shared" si="4"/>
        <v>#DIV/0!</v>
      </c>
      <c r="S58" s="38"/>
      <c r="T58" s="38">
        <v>1887</v>
      </c>
      <c r="U58" s="29" t="e">
        <f t="shared" si="5"/>
        <v>#DIV/0!</v>
      </c>
      <c r="V58" s="38">
        <f t="shared" si="6"/>
        <v>0</v>
      </c>
      <c r="W58" s="38">
        <f t="shared" si="7"/>
        <v>50710</v>
      </c>
      <c r="X58" s="29" t="e">
        <f t="shared" si="8"/>
        <v>#DIV/0!</v>
      </c>
      <c r="Y58" s="22"/>
      <c r="Z58" s="22">
        <v>9073</v>
      </c>
      <c r="AA58" s="29" t="e">
        <f t="shared" si="9"/>
        <v>#DIV/0!</v>
      </c>
      <c r="AB58" s="22">
        <f t="shared" si="10"/>
        <v>0</v>
      </c>
      <c r="AC58" s="22">
        <f t="shared" si="11"/>
        <v>59783</v>
      </c>
      <c r="AD58" s="29" t="e">
        <f t="shared" si="12"/>
        <v>#DIV/0!</v>
      </c>
      <c r="AE58" s="22"/>
      <c r="AF58" s="22">
        <v>25484</v>
      </c>
      <c r="AG58" s="29" t="e">
        <f t="shared" si="13"/>
        <v>#DIV/0!</v>
      </c>
      <c r="AH58" s="22">
        <f t="shared" si="14"/>
        <v>0</v>
      </c>
      <c r="AI58" s="22">
        <f t="shared" si="15"/>
        <v>85267</v>
      </c>
      <c r="AJ58" s="29" t="e">
        <f t="shared" si="16"/>
        <v>#DIV/0!</v>
      </c>
      <c r="AK58" s="22"/>
      <c r="AL58" s="22">
        <v>6200</v>
      </c>
      <c r="AM58" s="29" t="e">
        <f t="shared" si="17"/>
        <v>#DIV/0!</v>
      </c>
      <c r="AN58" s="22">
        <f t="shared" si="18"/>
        <v>0</v>
      </c>
      <c r="AO58" s="22">
        <f t="shared" si="19"/>
        <v>91467</v>
      </c>
      <c r="AP58" s="29" t="e">
        <f t="shared" si="20"/>
        <v>#DIV/0!</v>
      </c>
      <c r="AQ58" s="22"/>
      <c r="AR58" s="22">
        <v>19429</v>
      </c>
      <c r="AS58" s="29" t="e">
        <f t="shared" si="21"/>
        <v>#DIV/0!</v>
      </c>
      <c r="AT58" s="22">
        <f t="shared" si="22"/>
        <v>0</v>
      </c>
      <c r="AU58" s="22">
        <f t="shared" si="23"/>
        <v>110896</v>
      </c>
      <c r="AV58" s="29" t="e">
        <f t="shared" si="24"/>
        <v>#DIV/0!</v>
      </c>
      <c r="AW58" s="38"/>
      <c r="AX58" s="38">
        <v>28500</v>
      </c>
      <c r="AY58" s="29" t="e">
        <f t="shared" si="25"/>
        <v>#DIV/0!</v>
      </c>
      <c r="AZ58" s="38">
        <f t="shared" si="26"/>
        <v>0</v>
      </c>
      <c r="BA58" s="38">
        <f t="shared" si="27"/>
        <v>139396</v>
      </c>
      <c r="BB58" s="29" t="e">
        <f t="shared" si="28"/>
        <v>#DIV/0!</v>
      </c>
      <c r="BC58" s="38">
        <v>5629</v>
      </c>
      <c r="BD58" s="38">
        <v>34226</v>
      </c>
      <c r="BE58" s="29">
        <f t="shared" si="29"/>
        <v>5.0802984544324001</v>
      </c>
      <c r="BF58" s="38">
        <f t="shared" si="30"/>
        <v>5629</v>
      </c>
      <c r="BG58" s="38">
        <f t="shared" si="31"/>
        <v>173622</v>
      </c>
      <c r="BH58" s="29">
        <f t="shared" si="32"/>
        <v>29.844199680227401</v>
      </c>
      <c r="BI58" s="102">
        <v>24130</v>
      </c>
      <c r="BJ58" s="111">
        <v>38318</v>
      </c>
      <c r="BK58" s="22">
        <v>30121</v>
      </c>
      <c r="BL58" s="22">
        <v>98198</v>
      </c>
      <c r="BM58" s="96">
        <f t="shared" si="33"/>
        <v>0.57874000000000003</v>
      </c>
      <c r="BN58" s="22"/>
      <c r="BO58" s="22"/>
    </row>
    <row r="59" spans="1:67">
      <c r="A59" s="80" t="s">
        <v>29</v>
      </c>
      <c r="B59" s="80" t="s">
        <v>29</v>
      </c>
      <c r="C59" s="86" t="s">
        <v>279</v>
      </c>
      <c r="D59" s="22" t="s">
        <v>61</v>
      </c>
      <c r="E59" s="33" t="s">
        <v>61</v>
      </c>
      <c r="F59" s="33" t="s">
        <v>213</v>
      </c>
      <c r="G59" s="33" t="s">
        <v>213</v>
      </c>
      <c r="H59" s="22" t="s">
        <v>214</v>
      </c>
      <c r="I59" s="110"/>
      <c r="J59" s="111"/>
      <c r="K59" s="111">
        <v>2992</v>
      </c>
      <c r="L59" s="29" t="e">
        <f t="shared" si="0"/>
        <v>#DIV/0!</v>
      </c>
      <c r="M59" s="22"/>
      <c r="N59" s="22"/>
      <c r="O59" s="29" t="e">
        <f t="shared" si="1"/>
        <v>#DIV/0!</v>
      </c>
      <c r="P59" s="22">
        <f t="shared" si="2"/>
        <v>0</v>
      </c>
      <c r="Q59" s="22">
        <f t="shared" si="3"/>
        <v>2992</v>
      </c>
      <c r="R59" s="29" t="e">
        <f t="shared" si="4"/>
        <v>#DIV/0!</v>
      </c>
      <c r="S59" s="38"/>
      <c r="T59" s="38">
        <v>2104</v>
      </c>
      <c r="U59" s="29" t="e">
        <f t="shared" si="5"/>
        <v>#DIV/0!</v>
      </c>
      <c r="V59" s="38">
        <f t="shared" si="6"/>
        <v>0</v>
      </c>
      <c r="W59" s="38">
        <f t="shared" si="7"/>
        <v>5096</v>
      </c>
      <c r="X59" s="29" t="e">
        <f t="shared" si="8"/>
        <v>#DIV/0!</v>
      </c>
      <c r="Y59" s="22"/>
      <c r="Z59" s="22"/>
      <c r="AA59" s="29" t="e">
        <f t="shared" si="9"/>
        <v>#DIV/0!</v>
      </c>
      <c r="AB59" s="22">
        <f t="shared" si="10"/>
        <v>0</v>
      </c>
      <c r="AC59" s="22">
        <f t="shared" si="11"/>
        <v>5096</v>
      </c>
      <c r="AD59" s="29" t="e">
        <f t="shared" si="12"/>
        <v>#DIV/0!</v>
      </c>
      <c r="AE59" s="22"/>
      <c r="AF59" s="22"/>
      <c r="AG59" s="29" t="e">
        <f t="shared" si="13"/>
        <v>#DIV/0!</v>
      </c>
      <c r="AH59" s="22">
        <f t="shared" si="14"/>
        <v>0</v>
      </c>
      <c r="AI59" s="22">
        <f t="shared" si="15"/>
        <v>5096</v>
      </c>
      <c r="AJ59" s="29" t="e">
        <f t="shared" si="16"/>
        <v>#DIV/0!</v>
      </c>
      <c r="AK59" s="22"/>
      <c r="AL59" s="22">
        <v>4347</v>
      </c>
      <c r="AM59" s="29" t="e">
        <f t="shared" si="17"/>
        <v>#DIV/0!</v>
      </c>
      <c r="AN59" s="22">
        <f t="shared" si="18"/>
        <v>0</v>
      </c>
      <c r="AO59" s="22">
        <f t="shared" si="19"/>
        <v>9443</v>
      </c>
      <c r="AP59" s="29" t="e">
        <f t="shared" si="20"/>
        <v>#DIV/0!</v>
      </c>
      <c r="AQ59" s="22"/>
      <c r="AR59" s="22">
        <v>5929</v>
      </c>
      <c r="AS59" s="29" t="e">
        <f t="shared" si="21"/>
        <v>#DIV/0!</v>
      </c>
      <c r="AT59" s="22">
        <f t="shared" si="22"/>
        <v>0</v>
      </c>
      <c r="AU59" s="22">
        <f t="shared" si="23"/>
        <v>15372</v>
      </c>
      <c r="AV59" s="29" t="e">
        <f t="shared" si="24"/>
        <v>#DIV/0!</v>
      </c>
      <c r="AW59" s="38"/>
      <c r="AX59" s="38"/>
      <c r="AY59" s="29" t="e">
        <f t="shared" si="25"/>
        <v>#DIV/0!</v>
      </c>
      <c r="AZ59" s="38">
        <f t="shared" si="26"/>
        <v>0</v>
      </c>
      <c r="BA59" s="38">
        <f t="shared" si="27"/>
        <v>15372</v>
      </c>
      <c r="BB59" s="29" t="e">
        <f t="shared" si="28"/>
        <v>#DIV/0!</v>
      </c>
      <c r="BC59" s="38"/>
      <c r="BD59" s="38">
        <v>3141</v>
      </c>
      <c r="BE59" s="29" t="e">
        <f t="shared" si="29"/>
        <v>#DIV/0!</v>
      </c>
      <c r="BF59" s="38">
        <f t="shared" si="30"/>
        <v>0</v>
      </c>
      <c r="BG59" s="38">
        <f t="shared" si="31"/>
        <v>18513</v>
      </c>
      <c r="BH59" s="29" t="e">
        <f t="shared" si="32"/>
        <v>#DIV/0!</v>
      </c>
      <c r="BI59" s="102">
        <v>8743</v>
      </c>
      <c r="BJ59" s="111">
        <v>8532</v>
      </c>
      <c r="BK59" s="22">
        <v>10778</v>
      </c>
      <c r="BL59" s="22">
        <v>28053</v>
      </c>
      <c r="BM59" s="96" t="e">
        <f t="shared" si="33"/>
        <v>#DIV/0!</v>
      </c>
      <c r="BN59" s="22"/>
      <c r="BO59" s="22"/>
    </row>
    <row r="60" spans="1:67">
      <c r="A60" s="80" t="s">
        <v>29</v>
      </c>
      <c r="B60" s="80" t="s">
        <v>29</v>
      </c>
      <c r="C60" s="86" t="s">
        <v>280</v>
      </c>
      <c r="D60" s="22" t="s">
        <v>61</v>
      </c>
      <c r="E60" s="33" t="s">
        <v>61</v>
      </c>
      <c r="F60" s="33" t="s">
        <v>226</v>
      </c>
      <c r="G60" s="33" t="s">
        <v>226</v>
      </c>
      <c r="H60" s="22" t="s">
        <v>214</v>
      </c>
      <c r="I60" s="110">
        <v>11</v>
      </c>
      <c r="J60" s="111"/>
      <c r="K60" s="111">
        <v>15756</v>
      </c>
      <c r="L60" s="29" t="e">
        <f t="shared" si="0"/>
        <v>#DIV/0!</v>
      </c>
      <c r="M60" s="22"/>
      <c r="N60" s="22">
        <v>40000</v>
      </c>
      <c r="O60" s="29" t="e">
        <f t="shared" si="1"/>
        <v>#DIV/0!</v>
      </c>
      <c r="P60" s="22">
        <f t="shared" si="2"/>
        <v>0</v>
      </c>
      <c r="Q60" s="22">
        <f t="shared" si="3"/>
        <v>55756</v>
      </c>
      <c r="R60" s="29" t="e">
        <f t="shared" si="4"/>
        <v>#DIV/0!</v>
      </c>
      <c r="S60" s="38"/>
      <c r="T60" s="38">
        <v>25190</v>
      </c>
      <c r="U60" s="29" t="e">
        <f t="shared" si="5"/>
        <v>#DIV/0!</v>
      </c>
      <c r="V60" s="38">
        <f t="shared" si="6"/>
        <v>0</v>
      </c>
      <c r="W60" s="38">
        <f t="shared" si="7"/>
        <v>80946</v>
      </c>
      <c r="X60" s="29" t="e">
        <f t="shared" si="8"/>
        <v>#DIV/0!</v>
      </c>
      <c r="Y60" s="22"/>
      <c r="Z60" s="22">
        <v>7652</v>
      </c>
      <c r="AA60" s="29" t="e">
        <f t="shared" si="9"/>
        <v>#DIV/0!</v>
      </c>
      <c r="AB60" s="22">
        <f t="shared" si="10"/>
        <v>0</v>
      </c>
      <c r="AC60" s="22">
        <f t="shared" si="11"/>
        <v>88598</v>
      </c>
      <c r="AD60" s="29" t="e">
        <f t="shared" si="12"/>
        <v>#DIV/0!</v>
      </c>
      <c r="AE60" s="22"/>
      <c r="AF60" s="22">
        <v>22404</v>
      </c>
      <c r="AG60" s="29" t="e">
        <f t="shared" si="13"/>
        <v>#DIV/0!</v>
      </c>
      <c r="AH60" s="22">
        <f t="shared" si="14"/>
        <v>0</v>
      </c>
      <c r="AI60" s="22">
        <f t="shared" si="15"/>
        <v>111002</v>
      </c>
      <c r="AJ60" s="29" t="e">
        <f t="shared" si="16"/>
        <v>#DIV/0!</v>
      </c>
      <c r="AK60" s="22"/>
      <c r="AL60" s="22">
        <v>8108</v>
      </c>
      <c r="AM60" s="29" t="e">
        <f t="shared" si="17"/>
        <v>#DIV/0!</v>
      </c>
      <c r="AN60" s="22">
        <f t="shared" si="18"/>
        <v>0</v>
      </c>
      <c r="AO60" s="22">
        <f t="shared" si="19"/>
        <v>119110</v>
      </c>
      <c r="AP60" s="29" t="e">
        <f t="shared" si="20"/>
        <v>#DIV/0!</v>
      </c>
      <c r="AQ60" s="22"/>
      <c r="AR60" s="22">
        <v>15674</v>
      </c>
      <c r="AS60" s="29" t="e">
        <f t="shared" si="21"/>
        <v>#DIV/0!</v>
      </c>
      <c r="AT60" s="22">
        <f t="shared" si="22"/>
        <v>0</v>
      </c>
      <c r="AU60" s="22">
        <f t="shared" si="23"/>
        <v>134784</v>
      </c>
      <c r="AV60" s="29" t="e">
        <f t="shared" si="24"/>
        <v>#DIV/0!</v>
      </c>
      <c r="AW60" s="38"/>
      <c r="AX60" s="38"/>
      <c r="AY60" s="29" t="e">
        <f t="shared" si="25"/>
        <v>#DIV/0!</v>
      </c>
      <c r="AZ60" s="38">
        <f t="shared" si="26"/>
        <v>0</v>
      </c>
      <c r="BA60" s="38">
        <f t="shared" si="27"/>
        <v>134784</v>
      </c>
      <c r="BB60" s="29" t="e">
        <f t="shared" si="28"/>
        <v>#DIV/0!</v>
      </c>
      <c r="BC60" s="38"/>
      <c r="BD60" s="38">
        <v>8589</v>
      </c>
      <c r="BE60" s="29" t="e">
        <f t="shared" si="29"/>
        <v>#DIV/0!</v>
      </c>
      <c r="BF60" s="38">
        <f t="shared" si="30"/>
        <v>0</v>
      </c>
      <c r="BG60" s="38">
        <f t="shared" si="31"/>
        <v>143373</v>
      </c>
      <c r="BH60" s="29" t="e">
        <f t="shared" si="32"/>
        <v>#DIV/0!</v>
      </c>
      <c r="BI60" s="102">
        <v>72790</v>
      </c>
      <c r="BJ60" s="111">
        <v>5444</v>
      </c>
      <c r="BK60" s="22">
        <v>9708</v>
      </c>
      <c r="BL60" s="22">
        <v>87942</v>
      </c>
      <c r="BM60" s="96">
        <f t="shared" si="33"/>
        <v>1.3033909090909099</v>
      </c>
      <c r="BN60" s="22"/>
      <c r="BO60" s="22"/>
    </row>
    <row r="61" spans="1:67">
      <c r="A61" s="80" t="s">
        <v>29</v>
      </c>
      <c r="B61" s="80" t="s">
        <v>29</v>
      </c>
      <c r="C61" s="109" t="s">
        <v>281</v>
      </c>
      <c r="D61" s="22" t="s">
        <v>61</v>
      </c>
      <c r="E61" s="33" t="s">
        <v>61</v>
      </c>
      <c r="F61" s="42" t="s">
        <v>230</v>
      </c>
      <c r="G61" s="42" t="s">
        <v>230</v>
      </c>
      <c r="H61" s="22" t="s">
        <v>223</v>
      </c>
      <c r="I61" s="110"/>
      <c r="J61" s="111"/>
      <c r="K61" s="111">
        <v>3980</v>
      </c>
      <c r="L61" s="29" t="e">
        <f t="shared" si="0"/>
        <v>#DIV/0!</v>
      </c>
      <c r="M61" s="22"/>
      <c r="N61" s="22"/>
      <c r="O61" s="29" t="e">
        <f t="shared" si="1"/>
        <v>#DIV/0!</v>
      </c>
      <c r="P61" s="22">
        <f t="shared" si="2"/>
        <v>0</v>
      </c>
      <c r="Q61" s="22">
        <f t="shared" si="3"/>
        <v>3980</v>
      </c>
      <c r="R61" s="29" t="e">
        <f t="shared" si="4"/>
        <v>#DIV/0!</v>
      </c>
      <c r="S61" s="38"/>
      <c r="T61" s="38"/>
      <c r="U61" s="29" t="e">
        <f t="shared" si="5"/>
        <v>#DIV/0!</v>
      </c>
      <c r="V61" s="38">
        <f t="shared" si="6"/>
        <v>0</v>
      </c>
      <c r="W61" s="38">
        <f t="shared" si="7"/>
        <v>3980</v>
      </c>
      <c r="X61" s="29" t="e">
        <f t="shared" si="8"/>
        <v>#DIV/0!</v>
      </c>
      <c r="Y61" s="22"/>
      <c r="Z61" s="22"/>
      <c r="AA61" s="29" t="e">
        <f t="shared" si="9"/>
        <v>#DIV/0!</v>
      </c>
      <c r="AB61" s="22">
        <f t="shared" si="10"/>
        <v>0</v>
      </c>
      <c r="AC61" s="22">
        <f t="shared" si="11"/>
        <v>3980</v>
      </c>
      <c r="AD61" s="29" t="e">
        <f t="shared" si="12"/>
        <v>#DIV/0!</v>
      </c>
      <c r="AE61" s="22"/>
      <c r="AF61" s="22"/>
      <c r="AG61" s="29" t="e">
        <f t="shared" si="13"/>
        <v>#DIV/0!</v>
      </c>
      <c r="AH61" s="22">
        <f t="shared" si="14"/>
        <v>0</v>
      </c>
      <c r="AI61" s="22">
        <f t="shared" si="15"/>
        <v>3980</v>
      </c>
      <c r="AJ61" s="29" t="e">
        <f t="shared" si="16"/>
        <v>#DIV/0!</v>
      </c>
      <c r="AK61" s="22"/>
      <c r="AL61" s="22"/>
      <c r="AM61" s="29" t="e">
        <f t="shared" si="17"/>
        <v>#DIV/0!</v>
      </c>
      <c r="AN61" s="22">
        <f t="shared" si="18"/>
        <v>0</v>
      </c>
      <c r="AO61" s="22">
        <f t="shared" si="19"/>
        <v>3980</v>
      </c>
      <c r="AP61" s="29" t="e">
        <f t="shared" si="20"/>
        <v>#DIV/0!</v>
      </c>
      <c r="AQ61" s="22"/>
      <c r="AR61" s="22"/>
      <c r="AS61" s="29" t="e">
        <f t="shared" si="21"/>
        <v>#DIV/0!</v>
      </c>
      <c r="AT61" s="22">
        <f t="shared" si="22"/>
        <v>0</v>
      </c>
      <c r="AU61" s="22">
        <f t="shared" si="23"/>
        <v>3980</v>
      </c>
      <c r="AV61" s="29" t="e">
        <f t="shared" si="24"/>
        <v>#DIV/0!</v>
      </c>
      <c r="AW61" s="38"/>
      <c r="AX61" s="38"/>
      <c r="AY61" s="29" t="e">
        <f t="shared" si="25"/>
        <v>#DIV/0!</v>
      </c>
      <c r="AZ61" s="38">
        <f t="shared" si="26"/>
        <v>0</v>
      </c>
      <c r="BA61" s="38">
        <f t="shared" si="27"/>
        <v>3980</v>
      </c>
      <c r="BB61" s="29" t="e">
        <f t="shared" si="28"/>
        <v>#DIV/0!</v>
      </c>
      <c r="BC61" s="38"/>
      <c r="BD61" s="38"/>
      <c r="BE61" s="29" t="e">
        <f t="shared" si="29"/>
        <v>#DIV/0!</v>
      </c>
      <c r="BF61" s="38">
        <f t="shared" si="30"/>
        <v>0</v>
      </c>
      <c r="BG61" s="38">
        <f t="shared" si="31"/>
        <v>3980</v>
      </c>
      <c r="BH61" s="29" t="e">
        <f t="shared" si="32"/>
        <v>#DIV/0!</v>
      </c>
      <c r="BI61" s="102"/>
      <c r="BJ61" s="85">
        <v>4980</v>
      </c>
      <c r="BK61" s="22"/>
      <c r="BL61" s="22">
        <v>4980</v>
      </c>
      <c r="BM61" s="96" t="e">
        <f t="shared" si="33"/>
        <v>#DIV/0!</v>
      </c>
      <c r="BN61" s="22"/>
      <c r="BO61" s="22"/>
    </row>
    <row r="62" spans="1:67">
      <c r="A62" s="80" t="s">
        <v>29</v>
      </c>
      <c r="B62" s="80" t="s">
        <v>29</v>
      </c>
      <c r="C62" s="109" t="s">
        <v>282</v>
      </c>
      <c r="D62" s="22" t="s">
        <v>61</v>
      </c>
      <c r="E62" s="33" t="s">
        <v>61</v>
      </c>
      <c r="F62" s="33" t="s">
        <v>217</v>
      </c>
      <c r="G62" s="42"/>
      <c r="H62" s="33" t="s">
        <v>219</v>
      </c>
      <c r="I62" s="110"/>
      <c r="J62" s="111"/>
      <c r="K62" s="111"/>
      <c r="L62" s="29" t="e">
        <f t="shared" si="0"/>
        <v>#DIV/0!</v>
      </c>
      <c r="M62" s="22"/>
      <c r="N62" s="22"/>
      <c r="O62" s="29" t="e">
        <f t="shared" si="1"/>
        <v>#DIV/0!</v>
      </c>
      <c r="P62" s="22">
        <f t="shared" si="2"/>
        <v>0</v>
      </c>
      <c r="Q62" s="22">
        <f t="shared" si="3"/>
        <v>0</v>
      </c>
      <c r="R62" s="29" t="e">
        <f t="shared" si="4"/>
        <v>#DIV/0!</v>
      </c>
      <c r="S62" s="38"/>
      <c r="T62" s="38"/>
      <c r="U62" s="29" t="e">
        <f t="shared" si="5"/>
        <v>#DIV/0!</v>
      </c>
      <c r="V62" s="38">
        <f t="shared" si="6"/>
        <v>0</v>
      </c>
      <c r="W62" s="38">
        <f t="shared" si="7"/>
        <v>0</v>
      </c>
      <c r="X62" s="29" t="e">
        <f t="shared" si="8"/>
        <v>#DIV/0!</v>
      </c>
      <c r="Y62" s="22"/>
      <c r="Z62" s="22"/>
      <c r="AA62" s="29" t="e">
        <f t="shared" si="9"/>
        <v>#DIV/0!</v>
      </c>
      <c r="AB62" s="22">
        <f t="shared" si="10"/>
        <v>0</v>
      </c>
      <c r="AC62" s="22">
        <f t="shared" si="11"/>
        <v>0</v>
      </c>
      <c r="AD62" s="29" t="e">
        <f t="shared" si="12"/>
        <v>#DIV/0!</v>
      </c>
      <c r="AE62" s="22"/>
      <c r="AF62" s="22"/>
      <c r="AG62" s="29" t="e">
        <f t="shared" si="13"/>
        <v>#DIV/0!</v>
      </c>
      <c r="AH62" s="22">
        <f t="shared" si="14"/>
        <v>0</v>
      </c>
      <c r="AI62" s="22">
        <f t="shared" si="15"/>
        <v>0</v>
      </c>
      <c r="AJ62" s="29" t="e">
        <f t="shared" si="16"/>
        <v>#DIV/0!</v>
      </c>
      <c r="AK62" s="22"/>
      <c r="AL62" s="22"/>
      <c r="AM62" s="29" t="e">
        <f t="shared" si="17"/>
        <v>#DIV/0!</v>
      </c>
      <c r="AN62" s="22">
        <f t="shared" si="18"/>
        <v>0</v>
      </c>
      <c r="AO62" s="22">
        <f t="shared" si="19"/>
        <v>0</v>
      </c>
      <c r="AP62" s="29" t="e">
        <f t="shared" si="20"/>
        <v>#DIV/0!</v>
      </c>
      <c r="AQ62" s="22"/>
      <c r="AR62" s="22"/>
      <c r="AS62" s="29" t="e">
        <f t="shared" si="21"/>
        <v>#DIV/0!</v>
      </c>
      <c r="AT62" s="22">
        <f t="shared" si="22"/>
        <v>0</v>
      </c>
      <c r="AU62" s="22">
        <f t="shared" si="23"/>
        <v>0</v>
      </c>
      <c r="AV62" s="29" t="e">
        <f t="shared" si="24"/>
        <v>#DIV/0!</v>
      </c>
      <c r="AW62" s="38"/>
      <c r="AX62" s="38"/>
      <c r="AY62" s="29" t="e">
        <f t="shared" si="25"/>
        <v>#DIV/0!</v>
      </c>
      <c r="AZ62" s="38">
        <f t="shared" si="26"/>
        <v>0</v>
      </c>
      <c r="BA62" s="38">
        <f t="shared" si="27"/>
        <v>0</v>
      </c>
      <c r="BB62" s="29" t="e">
        <f t="shared" si="28"/>
        <v>#DIV/0!</v>
      </c>
      <c r="BC62" s="38"/>
      <c r="BD62" s="38"/>
      <c r="BE62" s="29" t="e">
        <f t="shared" si="29"/>
        <v>#DIV/0!</v>
      </c>
      <c r="BF62" s="38">
        <f t="shared" si="30"/>
        <v>0</v>
      </c>
      <c r="BG62" s="38">
        <f t="shared" si="31"/>
        <v>0</v>
      </c>
      <c r="BH62" s="29" t="e">
        <f t="shared" si="32"/>
        <v>#DIV/0!</v>
      </c>
      <c r="BI62" s="102"/>
      <c r="BJ62" s="85">
        <v>18890</v>
      </c>
      <c r="BK62" s="22">
        <v>17758</v>
      </c>
      <c r="BL62" s="22">
        <v>36648</v>
      </c>
      <c r="BM62" s="96" t="e">
        <f t="shared" si="33"/>
        <v>#DIV/0!</v>
      </c>
      <c r="BN62" s="22"/>
      <c r="BO62" s="22"/>
    </row>
    <row r="63" spans="1:67">
      <c r="A63" s="80" t="s">
        <v>29</v>
      </c>
      <c r="B63" s="80" t="s">
        <v>29</v>
      </c>
      <c r="C63" s="109" t="s">
        <v>283</v>
      </c>
      <c r="D63" s="22" t="s">
        <v>61</v>
      </c>
      <c r="E63" s="33" t="s">
        <v>61</v>
      </c>
      <c r="F63" s="33" t="s">
        <v>217</v>
      </c>
      <c r="G63" s="42"/>
      <c r="H63" s="33" t="s">
        <v>219</v>
      </c>
      <c r="I63" s="110">
        <v>0</v>
      </c>
      <c r="J63" s="111"/>
      <c r="K63" s="111"/>
      <c r="L63" s="29" t="e">
        <f t="shared" si="0"/>
        <v>#DIV/0!</v>
      </c>
      <c r="M63" s="22"/>
      <c r="N63" s="22"/>
      <c r="O63" s="29" t="e">
        <f t="shared" si="1"/>
        <v>#DIV/0!</v>
      </c>
      <c r="P63" s="22">
        <f t="shared" si="2"/>
        <v>0</v>
      </c>
      <c r="Q63" s="22">
        <f t="shared" si="3"/>
        <v>0</v>
      </c>
      <c r="R63" s="29" t="e">
        <f t="shared" si="4"/>
        <v>#DIV/0!</v>
      </c>
      <c r="S63" s="38"/>
      <c r="T63" s="38">
        <v>2196</v>
      </c>
      <c r="U63" s="29" t="e">
        <f t="shared" si="5"/>
        <v>#DIV/0!</v>
      </c>
      <c r="V63" s="38">
        <f t="shared" si="6"/>
        <v>0</v>
      </c>
      <c r="W63" s="38">
        <f t="shared" si="7"/>
        <v>2196</v>
      </c>
      <c r="X63" s="29" t="e">
        <f t="shared" si="8"/>
        <v>#DIV/0!</v>
      </c>
      <c r="Y63" s="22"/>
      <c r="Z63" s="22"/>
      <c r="AA63" s="29" t="e">
        <f t="shared" si="9"/>
        <v>#DIV/0!</v>
      </c>
      <c r="AB63" s="22">
        <f t="shared" si="10"/>
        <v>0</v>
      </c>
      <c r="AC63" s="22">
        <f t="shared" si="11"/>
        <v>2196</v>
      </c>
      <c r="AD63" s="29" t="e">
        <f t="shared" si="12"/>
        <v>#DIV/0!</v>
      </c>
      <c r="AE63" s="22"/>
      <c r="AF63" s="22"/>
      <c r="AG63" s="29" t="e">
        <f t="shared" si="13"/>
        <v>#DIV/0!</v>
      </c>
      <c r="AH63" s="22">
        <f t="shared" si="14"/>
        <v>0</v>
      </c>
      <c r="AI63" s="22">
        <f t="shared" si="15"/>
        <v>2196</v>
      </c>
      <c r="AJ63" s="29" t="e">
        <f t="shared" si="16"/>
        <v>#DIV/0!</v>
      </c>
      <c r="AK63" s="22"/>
      <c r="AL63" s="22"/>
      <c r="AM63" s="29" t="e">
        <f t="shared" si="17"/>
        <v>#DIV/0!</v>
      </c>
      <c r="AN63" s="22">
        <f t="shared" si="18"/>
        <v>0</v>
      </c>
      <c r="AO63" s="22">
        <f t="shared" si="19"/>
        <v>2196</v>
      </c>
      <c r="AP63" s="29" t="e">
        <f t="shared" si="20"/>
        <v>#DIV/0!</v>
      </c>
      <c r="AQ63" s="22"/>
      <c r="AR63" s="22"/>
      <c r="AS63" s="29" t="e">
        <f t="shared" si="21"/>
        <v>#DIV/0!</v>
      </c>
      <c r="AT63" s="22">
        <f t="shared" si="22"/>
        <v>0</v>
      </c>
      <c r="AU63" s="22">
        <f t="shared" si="23"/>
        <v>2196</v>
      </c>
      <c r="AV63" s="29" t="e">
        <f t="shared" si="24"/>
        <v>#DIV/0!</v>
      </c>
      <c r="AW63" s="38"/>
      <c r="AX63" s="38"/>
      <c r="AY63" s="29" t="e">
        <f t="shared" si="25"/>
        <v>#DIV/0!</v>
      </c>
      <c r="AZ63" s="38">
        <f t="shared" si="26"/>
        <v>0</v>
      </c>
      <c r="BA63" s="38">
        <f t="shared" si="27"/>
        <v>2196</v>
      </c>
      <c r="BB63" s="29" t="e">
        <f t="shared" si="28"/>
        <v>#DIV/0!</v>
      </c>
      <c r="BC63" s="38"/>
      <c r="BD63" s="38"/>
      <c r="BE63" s="29" t="e">
        <f t="shared" si="29"/>
        <v>#DIV/0!</v>
      </c>
      <c r="BF63" s="38">
        <f t="shared" si="30"/>
        <v>0</v>
      </c>
      <c r="BG63" s="38">
        <f t="shared" si="31"/>
        <v>2196</v>
      </c>
      <c r="BH63" s="29" t="e">
        <f t="shared" si="32"/>
        <v>#DIV/0!</v>
      </c>
      <c r="BI63" s="102"/>
      <c r="BJ63" s="85">
        <v>4070</v>
      </c>
      <c r="BK63" s="22">
        <v>6204</v>
      </c>
      <c r="BL63" s="22">
        <v>10274</v>
      </c>
      <c r="BM63" s="96" t="e">
        <f t="shared" si="33"/>
        <v>#DIV/0!</v>
      </c>
      <c r="BN63" s="22"/>
      <c r="BO63" s="22"/>
    </row>
    <row r="64" spans="1:67">
      <c r="A64" s="80" t="s">
        <v>29</v>
      </c>
      <c r="B64" s="80" t="s">
        <v>29</v>
      </c>
      <c r="C64" s="109" t="s">
        <v>284</v>
      </c>
      <c r="D64" s="22" t="s">
        <v>61</v>
      </c>
      <c r="E64" s="33" t="s">
        <v>61</v>
      </c>
      <c r="F64" s="33" t="s">
        <v>222</v>
      </c>
      <c r="G64" s="33"/>
      <c r="H64" s="22" t="s">
        <v>223</v>
      </c>
      <c r="I64" s="110"/>
      <c r="J64" s="111"/>
      <c r="K64" s="111"/>
      <c r="L64" s="29" t="e">
        <f t="shared" si="0"/>
        <v>#DIV/0!</v>
      </c>
      <c r="M64" s="22"/>
      <c r="N64" s="22"/>
      <c r="O64" s="29" t="e">
        <f t="shared" si="1"/>
        <v>#DIV/0!</v>
      </c>
      <c r="P64" s="22">
        <f t="shared" si="2"/>
        <v>0</v>
      </c>
      <c r="Q64" s="22">
        <f t="shared" si="3"/>
        <v>0</v>
      </c>
      <c r="R64" s="29" t="e">
        <f t="shared" si="4"/>
        <v>#DIV/0!</v>
      </c>
      <c r="S64" s="38"/>
      <c r="T64" s="38">
        <v>20000</v>
      </c>
      <c r="U64" s="29" t="e">
        <f t="shared" si="5"/>
        <v>#DIV/0!</v>
      </c>
      <c r="V64" s="38">
        <f t="shared" si="6"/>
        <v>0</v>
      </c>
      <c r="W64" s="38">
        <f t="shared" si="7"/>
        <v>20000</v>
      </c>
      <c r="X64" s="29" t="e">
        <f t="shared" si="8"/>
        <v>#DIV/0!</v>
      </c>
      <c r="Y64" s="22"/>
      <c r="Z64" s="22"/>
      <c r="AA64" s="29" t="e">
        <f t="shared" si="9"/>
        <v>#DIV/0!</v>
      </c>
      <c r="AB64" s="22">
        <f t="shared" si="10"/>
        <v>0</v>
      </c>
      <c r="AC64" s="22">
        <f t="shared" si="11"/>
        <v>20000</v>
      </c>
      <c r="AD64" s="29" t="e">
        <f t="shared" si="12"/>
        <v>#DIV/0!</v>
      </c>
      <c r="AE64" s="22"/>
      <c r="AF64" s="22">
        <v>10000</v>
      </c>
      <c r="AG64" s="29" t="e">
        <f t="shared" si="13"/>
        <v>#DIV/0!</v>
      </c>
      <c r="AH64" s="22">
        <f t="shared" si="14"/>
        <v>0</v>
      </c>
      <c r="AI64" s="22">
        <f t="shared" si="15"/>
        <v>30000</v>
      </c>
      <c r="AJ64" s="29" t="e">
        <f t="shared" si="16"/>
        <v>#DIV/0!</v>
      </c>
      <c r="AK64" s="22"/>
      <c r="AL64" s="22">
        <v>50000</v>
      </c>
      <c r="AM64" s="29" t="e">
        <f t="shared" si="17"/>
        <v>#DIV/0!</v>
      </c>
      <c r="AN64" s="22">
        <f t="shared" si="18"/>
        <v>0</v>
      </c>
      <c r="AO64" s="22">
        <f t="shared" si="19"/>
        <v>80000</v>
      </c>
      <c r="AP64" s="29" t="e">
        <f t="shared" si="20"/>
        <v>#DIV/0!</v>
      </c>
      <c r="AQ64" s="22"/>
      <c r="AR64" s="22"/>
      <c r="AS64" s="29" t="e">
        <f t="shared" si="21"/>
        <v>#DIV/0!</v>
      </c>
      <c r="AT64" s="22">
        <f t="shared" si="22"/>
        <v>0</v>
      </c>
      <c r="AU64" s="22">
        <f t="shared" si="23"/>
        <v>80000</v>
      </c>
      <c r="AV64" s="29" t="e">
        <f t="shared" si="24"/>
        <v>#DIV/0!</v>
      </c>
      <c r="AW64" s="38"/>
      <c r="AX64" s="38">
        <v>20000</v>
      </c>
      <c r="AY64" s="29" t="e">
        <f t="shared" si="25"/>
        <v>#DIV/0!</v>
      </c>
      <c r="AZ64" s="38">
        <f t="shared" si="26"/>
        <v>0</v>
      </c>
      <c r="BA64" s="38">
        <f t="shared" si="27"/>
        <v>100000</v>
      </c>
      <c r="BB64" s="29" t="e">
        <f t="shared" si="28"/>
        <v>#DIV/0!</v>
      </c>
      <c r="BC64" s="38"/>
      <c r="BD64" s="38"/>
      <c r="BE64" s="29" t="e">
        <f t="shared" si="29"/>
        <v>#DIV/0!</v>
      </c>
      <c r="BF64" s="38">
        <f t="shared" si="30"/>
        <v>0</v>
      </c>
      <c r="BG64" s="38">
        <f t="shared" si="31"/>
        <v>100000</v>
      </c>
      <c r="BH64" s="29" t="e">
        <f t="shared" si="32"/>
        <v>#DIV/0!</v>
      </c>
      <c r="BI64" s="102"/>
      <c r="BJ64" s="85">
        <v>50000</v>
      </c>
      <c r="BK64" s="22"/>
      <c r="BL64" s="22">
        <v>50000</v>
      </c>
      <c r="BM64" s="96" t="e">
        <f t="shared" si="33"/>
        <v>#DIV/0!</v>
      </c>
      <c r="BN64" s="22"/>
      <c r="BO64" s="22"/>
    </row>
    <row r="65" spans="1:67">
      <c r="A65" s="80" t="s">
        <v>29</v>
      </c>
      <c r="B65" s="80" t="s">
        <v>29</v>
      </c>
      <c r="C65" s="109" t="s">
        <v>285</v>
      </c>
      <c r="D65" s="22" t="s">
        <v>61</v>
      </c>
      <c r="E65" s="33" t="s">
        <v>61</v>
      </c>
      <c r="F65" s="33" t="s">
        <v>217</v>
      </c>
      <c r="G65" s="42" t="s">
        <v>235</v>
      </c>
      <c r="H65" s="22" t="s">
        <v>219</v>
      </c>
      <c r="I65" s="110">
        <v>0</v>
      </c>
      <c r="J65" s="111"/>
      <c r="K65" s="111"/>
      <c r="L65" s="29" t="e">
        <f t="shared" si="0"/>
        <v>#DIV/0!</v>
      </c>
      <c r="M65" s="22"/>
      <c r="N65" s="22"/>
      <c r="O65" s="29" t="e">
        <f t="shared" si="1"/>
        <v>#DIV/0!</v>
      </c>
      <c r="P65" s="22">
        <f t="shared" si="2"/>
        <v>0</v>
      </c>
      <c r="Q65" s="22">
        <f t="shared" si="3"/>
        <v>0</v>
      </c>
      <c r="R65" s="29" t="e">
        <f t="shared" si="4"/>
        <v>#DIV/0!</v>
      </c>
      <c r="S65" s="38"/>
      <c r="T65" s="38"/>
      <c r="U65" s="29" t="e">
        <f t="shared" si="5"/>
        <v>#DIV/0!</v>
      </c>
      <c r="V65" s="38">
        <f t="shared" si="6"/>
        <v>0</v>
      </c>
      <c r="W65" s="38">
        <f t="shared" si="7"/>
        <v>0</v>
      </c>
      <c r="X65" s="29" t="e">
        <f t="shared" si="8"/>
        <v>#DIV/0!</v>
      </c>
      <c r="Y65" s="22"/>
      <c r="Z65" s="22"/>
      <c r="AA65" s="29" t="e">
        <f t="shared" si="9"/>
        <v>#DIV/0!</v>
      </c>
      <c r="AB65" s="22">
        <f t="shared" si="10"/>
        <v>0</v>
      </c>
      <c r="AC65" s="22">
        <f t="shared" si="11"/>
        <v>0</v>
      </c>
      <c r="AD65" s="29" t="e">
        <f t="shared" si="12"/>
        <v>#DIV/0!</v>
      </c>
      <c r="AE65" s="22"/>
      <c r="AF65" s="22"/>
      <c r="AG65" s="29" t="e">
        <f t="shared" si="13"/>
        <v>#DIV/0!</v>
      </c>
      <c r="AH65" s="22">
        <f t="shared" si="14"/>
        <v>0</v>
      </c>
      <c r="AI65" s="22">
        <f t="shared" si="15"/>
        <v>0</v>
      </c>
      <c r="AJ65" s="29" t="e">
        <f t="shared" si="16"/>
        <v>#DIV/0!</v>
      </c>
      <c r="AK65" s="22"/>
      <c r="AL65" s="22"/>
      <c r="AM65" s="29" t="e">
        <f t="shared" si="17"/>
        <v>#DIV/0!</v>
      </c>
      <c r="AN65" s="22">
        <f t="shared" si="18"/>
        <v>0</v>
      </c>
      <c r="AO65" s="22">
        <f t="shared" si="19"/>
        <v>0</v>
      </c>
      <c r="AP65" s="29" t="e">
        <f t="shared" si="20"/>
        <v>#DIV/0!</v>
      </c>
      <c r="AQ65" s="22"/>
      <c r="AR65" s="22"/>
      <c r="AS65" s="29" t="e">
        <f t="shared" si="21"/>
        <v>#DIV/0!</v>
      </c>
      <c r="AT65" s="22">
        <f t="shared" si="22"/>
        <v>0</v>
      </c>
      <c r="AU65" s="22">
        <f t="shared" si="23"/>
        <v>0</v>
      </c>
      <c r="AV65" s="29" t="e">
        <f t="shared" si="24"/>
        <v>#DIV/0!</v>
      </c>
      <c r="AW65" s="38"/>
      <c r="AX65" s="38"/>
      <c r="AY65" s="29" t="e">
        <f t="shared" si="25"/>
        <v>#DIV/0!</v>
      </c>
      <c r="AZ65" s="38">
        <f t="shared" si="26"/>
        <v>0</v>
      </c>
      <c r="BA65" s="38">
        <f t="shared" si="27"/>
        <v>0</v>
      </c>
      <c r="BB65" s="29" t="e">
        <f t="shared" si="28"/>
        <v>#DIV/0!</v>
      </c>
      <c r="BC65" s="38"/>
      <c r="BD65" s="38"/>
      <c r="BE65" s="29" t="e">
        <f t="shared" si="29"/>
        <v>#DIV/0!</v>
      </c>
      <c r="BF65" s="38">
        <f t="shared" si="30"/>
        <v>0</v>
      </c>
      <c r="BG65" s="38">
        <f t="shared" si="31"/>
        <v>0</v>
      </c>
      <c r="BH65" s="29" t="e">
        <f t="shared" si="32"/>
        <v>#DIV/0!</v>
      </c>
      <c r="BI65" s="102"/>
      <c r="BJ65" s="85">
        <v>1760</v>
      </c>
      <c r="BK65" s="22"/>
      <c r="BL65" s="22">
        <v>1760</v>
      </c>
      <c r="BM65" s="96" t="e">
        <f t="shared" si="33"/>
        <v>#DIV/0!</v>
      </c>
      <c r="BN65" s="22"/>
      <c r="BO65" s="22"/>
    </row>
    <row r="66" spans="1:67">
      <c r="A66" s="80" t="s">
        <v>29</v>
      </c>
      <c r="B66" s="80" t="s">
        <v>29</v>
      </c>
      <c r="C66" s="109" t="s">
        <v>286</v>
      </c>
      <c r="D66" s="22" t="s">
        <v>287</v>
      </c>
      <c r="E66" s="33" t="s">
        <v>61</v>
      </c>
      <c r="F66" s="33" t="s">
        <v>226</v>
      </c>
      <c r="G66" s="33" t="s">
        <v>226</v>
      </c>
      <c r="H66" s="22" t="s">
        <v>214</v>
      </c>
      <c r="I66" s="110"/>
      <c r="J66" s="111"/>
      <c r="K66" s="111"/>
      <c r="L66" s="29" t="e">
        <f t="shared" si="0"/>
        <v>#DIV/0!</v>
      </c>
      <c r="M66" s="22"/>
      <c r="N66" s="22"/>
      <c r="O66" s="29" t="e">
        <f t="shared" si="1"/>
        <v>#DIV/0!</v>
      </c>
      <c r="P66" s="22">
        <f t="shared" si="2"/>
        <v>0</v>
      </c>
      <c r="Q66" s="22">
        <f t="shared" si="3"/>
        <v>0</v>
      </c>
      <c r="R66" s="29" t="e">
        <f t="shared" si="4"/>
        <v>#DIV/0!</v>
      </c>
      <c r="S66" s="38"/>
      <c r="T66" s="38"/>
      <c r="U66" s="29" t="e">
        <f t="shared" si="5"/>
        <v>#DIV/0!</v>
      </c>
      <c r="V66" s="38">
        <f t="shared" si="6"/>
        <v>0</v>
      </c>
      <c r="W66" s="38">
        <f t="shared" si="7"/>
        <v>0</v>
      </c>
      <c r="X66" s="29" t="e">
        <f t="shared" si="8"/>
        <v>#DIV/0!</v>
      </c>
      <c r="Y66" s="22"/>
      <c r="Z66" s="22"/>
      <c r="AA66" s="29" t="e">
        <f t="shared" si="9"/>
        <v>#DIV/0!</v>
      </c>
      <c r="AB66" s="22">
        <f t="shared" si="10"/>
        <v>0</v>
      </c>
      <c r="AC66" s="22">
        <f t="shared" si="11"/>
        <v>0</v>
      </c>
      <c r="AD66" s="29" t="e">
        <f t="shared" si="12"/>
        <v>#DIV/0!</v>
      </c>
      <c r="AE66" s="22"/>
      <c r="AF66" s="22"/>
      <c r="AG66" s="29" t="e">
        <f t="shared" si="13"/>
        <v>#DIV/0!</v>
      </c>
      <c r="AH66" s="22">
        <f t="shared" si="14"/>
        <v>0</v>
      </c>
      <c r="AI66" s="22">
        <f t="shared" si="15"/>
        <v>0</v>
      </c>
      <c r="AJ66" s="29" t="e">
        <f t="shared" si="16"/>
        <v>#DIV/0!</v>
      </c>
      <c r="AK66" s="22"/>
      <c r="AL66" s="22"/>
      <c r="AM66" s="29" t="e">
        <f t="shared" si="17"/>
        <v>#DIV/0!</v>
      </c>
      <c r="AN66" s="22">
        <f t="shared" si="18"/>
        <v>0</v>
      </c>
      <c r="AO66" s="22">
        <f t="shared" si="19"/>
        <v>0</v>
      </c>
      <c r="AP66" s="29" t="e">
        <f t="shared" si="20"/>
        <v>#DIV/0!</v>
      </c>
      <c r="AQ66" s="22"/>
      <c r="AR66" s="22">
        <v>3027</v>
      </c>
      <c r="AS66" s="29" t="e">
        <f t="shared" si="21"/>
        <v>#DIV/0!</v>
      </c>
      <c r="AT66" s="22">
        <f t="shared" si="22"/>
        <v>0</v>
      </c>
      <c r="AU66" s="22">
        <f t="shared" si="23"/>
        <v>3027</v>
      </c>
      <c r="AV66" s="29" t="e">
        <f t="shared" si="24"/>
        <v>#DIV/0!</v>
      </c>
      <c r="AW66" s="38"/>
      <c r="AX66" s="38"/>
      <c r="AY66" s="29" t="e">
        <f t="shared" si="25"/>
        <v>#DIV/0!</v>
      </c>
      <c r="AZ66" s="38">
        <f t="shared" si="26"/>
        <v>0</v>
      </c>
      <c r="BA66" s="38">
        <f t="shared" si="27"/>
        <v>3027</v>
      </c>
      <c r="BB66" s="29" t="e">
        <f t="shared" si="28"/>
        <v>#DIV/0!</v>
      </c>
      <c r="BC66" s="38"/>
      <c r="BD66" s="38"/>
      <c r="BE66" s="29" t="e">
        <f t="shared" si="29"/>
        <v>#DIV/0!</v>
      </c>
      <c r="BF66" s="38">
        <f t="shared" si="30"/>
        <v>0</v>
      </c>
      <c r="BG66" s="38">
        <f t="shared" si="31"/>
        <v>3027</v>
      </c>
      <c r="BH66" s="29" t="e">
        <f t="shared" si="32"/>
        <v>#DIV/0!</v>
      </c>
      <c r="BI66" s="102"/>
      <c r="BJ66" s="85"/>
      <c r="BK66" s="22">
        <v>7362</v>
      </c>
      <c r="BL66" s="22">
        <v>7362</v>
      </c>
      <c r="BM66" s="96" t="e">
        <f t="shared" si="33"/>
        <v>#DIV/0!</v>
      </c>
      <c r="BN66" s="22"/>
      <c r="BO66" s="22"/>
    </row>
    <row r="67" spans="1:67">
      <c r="A67" s="80" t="s">
        <v>29</v>
      </c>
      <c r="B67" s="80" t="s">
        <v>29</v>
      </c>
      <c r="C67" s="109" t="s">
        <v>288</v>
      </c>
      <c r="D67" s="22" t="s">
        <v>61</v>
      </c>
      <c r="E67" s="33" t="s">
        <v>61</v>
      </c>
      <c r="F67" s="33"/>
      <c r="G67" s="33"/>
      <c r="H67" s="22" t="s">
        <v>223</v>
      </c>
      <c r="I67" s="110">
        <v>0</v>
      </c>
      <c r="J67" s="111"/>
      <c r="K67" s="111"/>
      <c r="L67" s="29"/>
      <c r="M67" s="22"/>
      <c r="N67" s="22"/>
      <c r="O67" s="29"/>
      <c r="P67" s="22"/>
      <c r="Q67" s="22"/>
      <c r="R67" s="29"/>
      <c r="S67" s="38"/>
      <c r="T67" s="38">
        <v>23457</v>
      </c>
      <c r="U67" s="29" t="e">
        <f t="shared" ref="U67:U70" si="34">T67/S67-1</f>
        <v>#DIV/0!</v>
      </c>
      <c r="V67" s="38">
        <f t="shared" ref="V67:V70" si="35">S67+P67</f>
        <v>0</v>
      </c>
      <c r="W67" s="38">
        <f t="shared" ref="W67:W70" si="36">T67+Q67</f>
        <v>23457</v>
      </c>
      <c r="X67" s="29" t="e">
        <f t="shared" ref="X67:X70" si="37">W67/V67-1</f>
        <v>#DIV/0!</v>
      </c>
      <c r="Y67" s="22"/>
      <c r="Z67" s="22">
        <v>90</v>
      </c>
      <c r="AA67" s="29" t="e">
        <f t="shared" ref="AA67:AA70" si="38">Z67/Y67-1</f>
        <v>#DIV/0!</v>
      </c>
      <c r="AB67" s="22">
        <f t="shared" ref="AB67:AB70" si="39">Y67+V67</f>
        <v>0</v>
      </c>
      <c r="AC67" s="22">
        <f t="shared" ref="AC67:AC70" si="40">Z67+W67</f>
        <v>23547</v>
      </c>
      <c r="AD67" s="29" t="e">
        <f t="shared" ref="AD67:AD70" si="41">AC67/AB67-1</f>
        <v>#DIV/0!</v>
      </c>
      <c r="AE67" s="22"/>
      <c r="AF67" s="22"/>
      <c r="AG67" s="29" t="e">
        <f t="shared" ref="AG67:AG74" si="42">AF67/AE67-1</f>
        <v>#DIV/0!</v>
      </c>
      <c r="AH67" s="22">
        <f t="shared" ref="AH67:AH74" si="43">AE67+AB67</f>
        <v>0</v>
      </c>
      <c r="AI67" s="22">
        <f t="shared" ref="AI67:AI74" si="44">AF67+AC67</f>
        <v>23547</v>
      </c>
      <c r="AJ67" s="29" t="e">
        <f t="shared" ref="AJ67:AJ74" si="45">AI67/AH67-1</f>
        <v>#DIV/0!</v>
      </c>
      <c r="AK67" s="22"/>
      <c r="AL67" s="22"/>
      <c r="AM67" s="29" t="e">
        <f t="shared" ref="AM67:AM74" si="46">AL67/AK67-1</f>
        <v>#DIV/0!</v>
      </c>
      <c r="AN67" s="22">
        <f t="shared" ref="AN67:AN74" si="47">AK67+AH67</f>
        <v>0</v>
      </c>
      <c r="AO67" s="22">
        <f t="shared" ref="AO67:AO74" si="48">AL67+AI67</f>
        <v>23547</v>
      </c>
      <c r="AP67" s="29" t="e">
        <f t="shared" ref="AP67:AP74" si="49">AO67/AN67-1</f>
        <v>#DIV/0!</v>
      </c>
      <c r="AQ67" s="22"/>
      <c r="AR67" s="22"/>
      <c r="AS67" s="29" t="e">
        <f t="shared" ref="AS67:AS75" si="50">AR67/AQ67-1</f>
        <v>#DIV/0!</v>
      </c>
      <c r="AT67" s="22">
        <f t="shared" ref="AT67:AT75" si="51">AQ67+AN67</f>
        <v>0</v>
      </c>
      <c r="AU67" s="22">
        <f t="shared" ref="AU67:AU75" si="52">AR67+AO67</f>
        <v>23547</v>
      </c>
      <c r="AV67" s="29" t="e">
        <f t="shared" ref="AV67:AV75" si="53">AU67/AT67-1</f>
        <v>#DIV/0!</v>
      </c>
      <c r="AW67" s="38"/>
      <c r="AX67" s="38"/>
      <c r="AY67" s="29" t="e">
        <f t="shared" ref="AY67:AY75" si="54">AX67/AW67-1</f>
        <v>#DIV/0!</v>
      </c>
      <c r="AZ67" s="38">
        <f t="shared" ref="AZ67:AZ75" si="55">AW67+AT67</f>
        <v>0</v>
      </c>
      <c r="BA67" s="38">
        <f t="shared" ref="BA67:BA75" si="56">AX67+AU67</f>
        <v>23547</v>
      </c>
      <c r="BB67" s="29" t="e">
        <f t="shared" ref="BB67:BB75" si="57">BA67/AZ67-1</f>
        <v>#DIV/0!</v>
      </c>
      <c r="BC67" s="38"/>
      <c r="BD67" s="38"/>
      <c r="BE67" s="29" t="e">
        <f t="shared" ref="BE67:BE79" si="58">BD67/BC67-1</f>
        <v>#DIV/0!</v>
      </c>
      <c r="BF67" s="38">
        <f t="shared" ref="BF67:BF78" si="59">BC67+AZ67</f>
        <v>0</v>
      </c>
      <c r="BG67" s="38">
        <f t="shared" ref="BG67:BG78" si="60">BD67+BA67</f>
        <v>23547</v>
      </c>
      <c r="BH67" s="29" t="e">
        <f t="shared" ref="BH67:BH79" si="61">BG67/BF67-1</f>
        <v>#DIV/0!</v>
      </c>
      <c r="BI67" s="102"/>
      <c r="BJ67" s="85"/>
      <c r="BK67" s="22"/>
      <c r="BL67" s="22"/>
      <c r="BM67" s="96" t="e">
        <f t="shared" ref="BM67:BM79" si="62">BG67/10000/I67</f>
        <v>#DIV/0!</v>
      </c>
      <c r="BN67" s="22"/>
      <c r="BO67" s="22"/>
    </row>
    <row r="68" spans="1:67">
      <c r="A68" s="80" t="s">
        <v>29</v>
      </c>
      <c r="B68" s="80" t="s">
        <v>29</v>
      </c>
      <c r="C68" s="109" t="s">
        <v>289</v>
      </c>
      <c r="D68" s="22" t="s">
        <v>287</v>
      </c>
      <c r="E68" s="33" t="s">
        <v>61</v>
      </c>
      <c r="F68" s="33" t="s">
        <v>226</v>
      </c>
      <c r="G68" s="33" t="s">
        <v>226</v>
      </c>
      <c r="H68" s="22" t="s">
        <v>214</v>
      </c>
      <c r="I68" s="110"/>
      <c r="J68" s="111"/>
      <c r="K68" s="111">
        <v>3081</v>
      </c>
      <c r="L68" s="29" t="e">
        <f>K68/J68-1</f>
        <v>#DIV/0!</v>
      </c>
      <c r="M68" s="22"/>
      <c r="N68" s="22"/>
      <c r="O68" s="29" t="e">
        <f>N68/M68-1</f>
        <v>#DIV/0!</v>
      </c>
      <c r="P68" s="22">
        <f>M68+J68</f>
        <v>0</v>
      </c>
      <c r="Q68" s="22">
        <f>N68+K68</f>
        <v>3081</v>
      </c>
      <c r="R68" s="29" t="e">
        <f>Q68/P68-1</f>
        <v>#DIV/0!</v>
      </c>
      <c r="S68" s="38"/>
      <c r="T68" s="38"/>
      <c r="U68" s="29" t="e">
        <f t="shared" si="34"/>
        <v>#DIV/0!</v>
      </c>
      <c r="V68" s="38">
        <f t="shared" si="35"/>
        <v>0</v>
      </c>
      <c r="W68" s="38">
        <f t="shared" si="36"/>
        <v>3081</v>
      </c>
      <c r="X68" s="29" t="e">
        <f t="shared" si="37"/>
        <v>#DIV/0!</v>
      </c>
      <c r="Y68" s="22"/>
      <c r="Z68" s="22">
        <v>18653</v>
      </c>
      <c r="AA68" s="29" t="e">
        <f t="shared" si="38"/>
        <v>#DIV/0!</v>
      </c>
      <c r="AB68" s="22">
        <f t="shared" si="39"/>
        <v>0</v>
      </c>
      <c r="AC68" s="22">
        <f t="shared" si="40"/>
        <v>21734</v>
      </c>
      <c r="AD68" s="29" t="e">
        <f t="shared" si="41"/>
        <v>#DIV/0!</v>
      </c>
      <c r="AE68" s="22"/>
      <c r="AF68" s="22">
        <v>7102</v>
      </c>
      <c r="AG68" s="29" t="e">
        <f t="shared" si="42"/>
        <v>#DIV/0!</v>
      </c>
      <c r="AH68" s="22">
        <f t="shared" si="43"/>
        <v>0</v>
      </c>
      <c r="AI68" s="22">
        <f t="shared" si="44"/>
        <v>28836</v>
      </c>
      <c r="AJ68" s="29" t="e">
        <f t="shared" si="45"/>
        <v>#DIV/0!</v>
      </c>
      <c r="AK68" s="22"/>
      <c r="AL68" s="22">
        <v>24314</v>
      </c>
      <c r="AM68" s="29" t="e">
        <f t="shared" si="46"/>
        <v>#DIV/0!</v>
      </c>
      <c r="AN68" s="22">
        <f t="shared" si="47"/>
        <v>0</v>
      </c>
      <c r="AO68" s="22">
        <f t="shared" si="48"/>
        <v>53150</v>
      </c>
      <c r="AP68" s="29" t="e">
        <f t="shared" si="49"/>
        <v>#DIV/0!</v>
      </c>
      <c r="AQ68" s="22"/>
      <c r="AR68" s="22">
        <v>18974</v>
      </c>
      <c r="AS68" s="29" t="e">
        <f t="shared" si="50"/>
        <v>#DIV/0!</v>
      </c>
      <c r="AT68" s="22">
        <f t="shared" si="51"/>
        <v>0</v>
      </c>
      <c r="AU68" s="22">
        <f t="shared" si="52"/>
        <v>72124</v>
      </c>
      <c r="AV68" s="29" t="e">
        <f t="shared" si="53"/>
        <v>#DIV/0!</v>
      </c>
      <c r="AW68" s="38"/>
      <c r="AX68" s="38"/>
      <c r="AY68" s="29" t="e">
        <f t="shared" si="54"/>
        <v>#DIV/0!</v>
      </c>
      <c r="AZ68" s="38">
        <f t="shared" si="55"/>
        <v>0</v>
      </c>
      <c r="BA68" s="38">
        <f t="shared" si="56"/>
        <v>72124</v>
      </c>
      <c r="BB68" s="29" t="e">
        <f t="shared" si="57"/>
        <v>#DIV/0!</v>
      </c>
      <c r="BC68" s="38"/>
      <c r="BD68" s="38">
        <v>24920</v>
      </c>
      <c r="BE68" s="29" t="e">
        <f t="shared" si="58"/>
        <v>#DIV/0!</v>
      </c>
      <c r="BF68" s="38">
        <f t="shared" si="59"/>
        <v>0</v>
      </c>
      <c r="BG68" s="38">
        <f t="shared" si="60"/>
        <v>97044</v>
      </c>
      <c r="BH68" s="29" t="e">
        <f t="shared" si="61"/>
        <v>#DIV/0!</v>
      </c>
      <c r="BI68" s="102"/>
      <c r="BJ68" s="85"/>
      <c r="BK68" s="22"/>
      <c r="BL68" s="22"/>
      <c r="BM68" s="96" t="e">
        <f t="shared" si="62"/>
        <v>#DIV/0!</v>
      </c>
      <c r="BN68" s="22"/>
      <c r="BO68" s="22"/>
    </row>
    <row r="69" spans="1:67">
      <c r="A69" s="61" t="s">
        <v>29</v>
      </c>
      <c r="B69" s="61" t="s">
        <v>29</v>
      </c>
      <c r="C69" s="60" t="s">
        <v>290</v>
      </c>
      <c r="D69" s="61" t="s">
        <v>114</v>
      </c>
      <c r="E69" s="61" t="s">
        <v>114</v>
      </c>
      <c r="F69" s="177" t="s">
        <v>232</v>
      </c>
      <c r="G69" s="178" t="s">
        <v>232</v>
      </c>
      <c r="H69" s="61" t="s">
        <v>223</v>
      </c>
      <c r="I69" s="110"/>
      <c r="J69" s="111"/>
      <c r="K69" s="111"/>
      <c r="L69" s="29"/>
      <c r="M69" s="22"/>
      <c r="N69" s="22"/>
      <c r="O69" s="29"/>
      <c r="P69" s="22"/>
      <c r="Q69" s="22"/>
      <c r="R69" s="29"/>
      <c r="S69" s="38"/>
      <c r="T69" s="38">
        <v>20000</v>
      </c>
      <c r="U69" s="29" t="e">
        <f t="shared" si="34"/>
        <v>#DIV/0!</v>
      </c>
      <c r="V69" s="38">
        <f t="shared" si="35"/>
        <v>0</v>
      </c>
      <c r="W69" s="38">
        <f t="shared" si="36"/>
        <v>20000</v>
      </c>
      <c r="X69" s="29" t="e">
        <f t="shared" si="37"/>
        <v>#DIV/0!</v>
      </c>
      <c r="Y69" s="22"/>
      <c r="Z69" s="22"/>
      <c r="AA69" s="29" t="e">
        <f t="shared" si="38"/>
        <v>#DIV/0!</v>
      </c>
      <c r="AB69" s="22">
        <f t="shared" si="39"/>
        <v>0</v>
      </c>
      <c r="AC69" s="22">
        <f t="shared" si="40"/>
        <v>20000</v>
      </c>
      <c r="AD69" s="29" t="e">
        <f t="shared" si="41"/>
        <v>#DIV/0!</v>
      </c>
      <c r="AE69" s="22"/>
      <c r="AF69" s="22"/>
      <c r="AG69" s="29" t="e">
        <f t="shared" si="42"/>
        <v>#DIV/0!</v>
      </c>
      <c r="AH69" s="22">
        <f t="shared" si="43"/>
        <v>0</v>
      </c>
      <c r="AI69" s="22">
        <f t="shared" si="44"/>
        <v>20000</v>
      </c>
      <c r="AJ69" s="29" t="e">
        <f t="shared" si="45"/>
        <v>#DIV/0!</v>
      </c>
      <c r="AK69" s="22"/>
      <c r="AL69" s="22"/>
      <c r="AM69" s="29" t="e">
        <f t="shared" si="46"/>
        <v>#DIV/0!</v>
      </c>
      <c r="AN69" s="22">
        <f t="shared" si="47"/>
        <v>0</v>
      </c>
      <c r="AO69" s="22">
        <f t="shared" si="48"/>
        <v>20000</v>
      </c>
      <c r="AP69" s="29" t="e">
        <f t="shared" si="49"/>
        <v>#DIV/0!</v>
      </c>
      <c r="AQ69" s="22"/>
      <c r="AR69" s="22"/>
      <c r="AS69" s="29" t="e">
        <f t="shared" si="50"/>
        <v>#DIV/0!</v>
      </c>
      <c r="AT69" s="22">
        <f t="shared" si="51"/>
        <v>0</v>
      </c>
      <c r="AU69" s="22">
        <f t="shared" si="52"/>
        <v>20000</v>
      </c>
      <c r="AV69" s="29" t="e">
        <f t="shared" si="53"/>
        <v>#DIV/0!</v>
      </c>
      <c r="AW69" s="38"/>
      <c r="AX69" s="38"/>
      <c r="AY69" s="29" t="e">
        <f t="shared" si="54"/>
        <v>#DIV/0!</v>
      </c>
      <c r="AZ69" s="38">
        <f t="shared" si="55"/>
        <v>0</v>
      </c>
      <c r="BA69" s="38">
        <f t="shared" si="56"/>
        <v>20000</v>
      </c>
      <c r="BB69" s="29" t="e">
        <f t="shared" si="57"/>
        <v>#DIV/0!</v>
      </c>
      <c r="BC69" s="38"/>
      <c r="BD69" s="38"/>
      <c r="BE69" s="29" t="e">
        <f t="shared" si="58"/>
        <v>#DIV/0!</v>
      </c>
      <c r="BF69" s="38">
        <f t="shared" si="59"/>
        <v>0</v>
      </c>
      <c r="BG69" s="38">
        <f t="shared" si="60"/>
        <v>20000</v>
      </c>
      <c r="BH69" s="29" t="e">
        <f t="shared" si="61"/>
        <v>#DIV/0!</v>
      </c>
      <c r="BI69" s="102"/>
      <c r="BJ69" s="85"/>
      <c r="BK69" s="22"/>
      <c r="BL69" s="22"/>
      <c r="BM69" s="96" t="e">
        <f t="shared" si="62"/>
        <v>#DIV/0!</v>
      </c>
      <c r="BN69" s="22"/>
      <c r="BO69" s="22"/>
    </row>
    <row r="70" spans="1:67">
      <c r="A70" s="61" t="s">
        <v>29</v>
      </c>
      <c r="B70" s="61" t="s">
        <v>29</v>
      </c>
      <c r="C70" s="60" t="s">
        <v>291</v>
      </c>
      <c r="D70" s="61" t="s">
        <v>61</v>
      </c>
      <c r="E70" s="61" t="s">
        <v>61</v>
      </c>
      <c r="F70" s="61" t="s">
        <v>226</v>
      </c>
      <c r="G70" s="52" t="s">
        <v>226</v>
      </c>
      <c r="H70" s="61" t="s">
        <v>214</v>
      </c>
      <c r="I70" s="110"/>
      <c r="J70" s="111"/>
      <c r="K70" s="111"/>
      <c r="L70" s="29"/>
      <c r="M70" s="22"/>
      <c r="N70" s="22"/>
      <c r="O70" s="29"/>
      <c r="P70" s="22"/>
      <c r="Q70" s="22"/>
      <c r="R70" s="29"/>
      <c r="S70" s="38"/>
      <c r="T70" s="38">
        <v>4305</v>
      </c>
      <c r="U70" s="29" t="e">
        <f t="shared" si="34"/>
        <v>#DIV/0!</v>
      </c>
      <c r="V70" s="38">
        <f t="shared" si="35"/>
        <v>0</v>
      </c>
      <c r="W70" s="38">
        <f t="shared" si="36"/>
        <v>4305</v>
      </c>
      <c r="X70" s="29" t="e">
        <f t="shared" si="37"/>
        <v>#DIV/0!</v>
      </c>
      <c r="Y70" s="22"/>
      <c r="Z70" s="22"/>
      <c r="AA70" s="29" t="e">
        <f t="shared" si="38"/>
        <v>#DIV/0!</v>
      </c>
      <c r="AB70" s="22">
        <f t="shared" si="39"/>
        <v>0</v>
      </c>
      <c r="AC70" s="22">
        <f t="shared" si="40"/>
        <v>4305</v>
      </c>
      <c r="AD70" s="29" t="e">
        <f t="shared" si="41"/>
        <v>#DIV/0!</v>
      </c>
      <c r="AE70" s="22"/>
      <c r="AF70" s="22"/>
      <c r="AG70" s="29" t="e">
        <f t="shared" si="42"/>
        <v>#DIV/0!</v>
      </c>
      <c r="AH70" s="22">
        <f t="shared" si="43"/>
        <v>0</v>
      </c>
      <c r="AI70" s="22">
        <f t="shared" si="44"/>
        <v>4305</v>
      </c>
      <c r="AJ70" s="29" t="e">
        <f t="shared" si="45"/>
        <v>#DIV/0!</v>
      </c>
      <c r="AK70" s="22"/>
      <c r="AL70" s="22"/>
      <c r="AM70" s="29" t="e">
        <f t="shared" si="46"/>
        <v>#DIV/0!</v>
      </c>
      <c r="AN70" s="22">
        <f t="shared" si="47"/>
        <v>0</v>
      </c>
      <c r="AO70" s="22">
        <f t="shared" si="48"/>
        <v>4305</v>
      </c>
      <c r="AP70" s="29" t="e">
        <f t="shared" si="49"/>
        <v>#DIV/0!</v>
      </c>
      <c r="AQ70" s="22"/>
      <c r="AR70" s="22"/>
      <c r="AS70" s="29" t="e">
        <f t="shared" si="50"/>
        <v>#DIV/0!</v>
      </c>
      <c r="AT70" s="22">
        <f t="shared" si="51"/>
        <v>0</v>
      </c>
      <c r="AU70" s="22">
        <f t="shared" si="52"/>
        <v>4305</v>
      </c>
      <c r="AV70" s="29" t="e">
        <f t="shared" si="53"/>
        <v>#DIV/0!</v>
      </c>
      <c r="AW70" s="38"/>
      <c r="AX70" s="38"/>
      <c r="AY70" s="29" t="e">
        <f t="shared" si="54"/>
        <v>#DIV/0!</v>
      </c>
      <c r="AZ70" s="38">
        <f t="shared" si="55"/>
        <v>0</v>
      </c>
      <c r="BA70" s="38">
        <f t="shared" si="56"/>
        <v>4305</v>
      </c>
      <c r="BB70" s="29" t="e">
        <f t="shared" si="57"/>
        <v>#DIV/0!</v>
      </c>
      <c r="BC70" s="38"/>
      <c r="BD70" s="38"/>
      <c r="BE70" s="29" t="e">
        <f t="shared" si="58"/>
        <v>#DIV/0!</v>
      </c>
      <c r="BF70" s="38">
        <f t="shared" si="59"/>
        <v>0</v>
      </c>
      <c r="BG70" s="38">
        <f t="shared" si="60"/>
        <v>4305</v>
      </c>
      <c r="BH70" s="29" t="e">
        <f t="shared" si="61"/>
        <v>#DIV/0!</v>
      </c>
      <c r="BI70" s="102"/>
      <c r="BJ70" s="85"/>
      <c r="BK70" s="22"/>
      <c r="BL70" s="22"/>
      <c r="BM70" s="96" t="e">
        <f t="shared" si="62"/>
        <v>#DIV/0!</v>
      </c>
      <c r="BN70" s="22"/>
      <c r="BO70" s="22"/>
    </row>
    <row r="71" spans="1:67">
      <c r="A71" s="61" t="s">
        <v>29</v>
      </c>
      <c r="B71" s="61" t="s">
        <v>29</v>
      </c>
      <c r="C71" s="60" t="s">
        <v>292</v>
      </c>
      <c r="D71" s="61" t="s">
        <v>79</v>
      </c>
      <c r="E71" s="61" t="s">
        <v>79</v>
      </c>
      <c r="F71" s="61" t="s">
        <v>217</v>
      </c>
      <c r="G71" s="52"/>
      <c r="H71" s="61" t="s">
        <v>219</v>
      </c>
      <c r="I71" s="110"/>
      <c r="J71" s="111"/>
      <c r="K71" s="111"/>
      <c r="L71" s="29"/>
      <c r="M71" s="22"/>
      <c r="N71" s="22"/>
      <c r="O71" s="29"/>
      <c r="P71" s="22"/>
      <c r="Q71" s="22"/>
      <c r="R71" s="29"/>
      <c r="S71" s="38"/>
      <c r="T71" s="38"/>
      <c r="U71" s="29"/>
      <c r="V71" s="38"/>
      <c r="W71" s="38"/>
      <c r="X71" s="29"/>
      <c r="Y71" s="22"/>
      <c r="Z71" s="22"/>
      <c r="AA71" s="29"/>
      <c r="AB71" s="22"/>
      <c r="AC71" s="22"/>
      <c r="AD71" s="29"/>
      <c r="AE71" s="22"/>
      <c r="AF71" s="22">
        <v>194929.35</v>
      </c>
      <c r="AG71" s="29" t="e">
        <f t="shared" si="42"/>
        <v>#DIV/0!</v>
      </c>
      <c r="AH71" s="22">
        <f t="shared" si="43"/>
        <v>0</v>
      </c>
      <c r="AI71" s="22">
        <f t="shared" si="44"/>
        <v>194929.35</v>
      </c>
      <c r="AJ71" s="29" t="e">
        <f t="shared" si="45"/>
        <v>#DIV/0!</v>
      </c>
      <c r="AK71" s="22"/>
      <c r="AL71" s="22">
        <v>214386.54</v>
      </c>
      <c r="AM71" s="29" t="e">
        <f t="shared" si="46"/>
        <v>#DIV/0!</v>
      </c>
      <c r="AN71" s="22">
        <f t="shared" si="47"/>
        <v>0</v>
      </c>
      <c r="AO71" s="22">
        <f t="shared" si="48"/>
        <v>409315.89</v>
      </c>
      <c r="AP71" s="29" t="e">
        <f t="shared" si="49"/>
        <v>#DIV/0!</v>
      </c>
      <c r="AQ71" s="22"/>
      <c r="AR71" s="22">
        <v>198566.8</v>
      </c>
      <c r="AS71" s="29" t="e">
        <f t="shared" si="50"/>
        <v>#DIV/0!</v>
      </c>
      <c r="AT71" s="22">
        <f t="shared" si="51"/>
        <v>0</v>
      </c>
      <c r="AU71" s="22">
        <f t="shared" si="52"/>
        <v>607882.68999999994</v>
      </c>
      <c r="AV71" s="29" t="e">
        <f t="shared" si="53"/>
        <v>#DIV/0!</v>
      </c>
      <c r="AW71" s="38"/>
      <c r="AX71" s="38"/>
      <c r="AY71" s="29" t="e">
        <f t="shared" si="54"/>
        <v>#DIV/0!</v>
      </c>
      <c r="AZ71" s="38">
        <f t="shared" si="55"/>
        <v>0</v>
      </c>
      <c r="BA71" s="38">
        <f t="shared" si="56"/>
        <v>607882.68999999994</v>
      </c>
      <c r="BB71" s="29" t="e">
        <f t="shared" si="57"/>
        <v>#DIV/0!</v>
      </c>
      <c r="BC71" s="38"/>
      <c r="BD71" s="38">
        <v>0.03</v>
      </c>
      <c r="BE71" s="29" t="e">
        <f t="shared" si="58"/>
        <v>#DIV/0!</v>
      </c>
      <c r="BF71" s="38">
        <f t="shared" si="59"/>
        <v>0</v>
      </c>
      <c r="BG71" s="38">
        <f t="shared" si="60"/>
        <v>607882.72</v>
      </c>
      <c r="BH71" s="29" t="e">
        <f t="shared" si="61"/>
        <v>#DIV/0!</v>
      </c>
      <c r="BI71" s="102"/>
      <c r="BJ71" s="85"/>
      <c r="BK71" s="22"/>
      <c r="BL71" s="22"/>
      <c r="BM71" s="96" t="e">
        <f t="shared" si="62"/>
        <v>#DIV/0!</v>
      </c>
      <c r="BN71" s="22"/>
      <c r="BO71" s="22"/>
    </row>
    <row r="72" spans="1:67">
      <c r="A72" s="61" t="s">
        <v>29</v>
      </c>
      <c r="B72" s="61" t="s">
        <v>29</v>
      </c>
      <c r="C72" s="60" t="s">
        <v>293</v>
      </c>
      <c r="D72" s="22" t="s">
        <v>294</v>
      </c>
      <c r="E72" s="61" t="s">
        <v>61</v>
      </c>
      <c r="F72" s="61" t="s">
        <v>217</v>
      </c>
      <c r="G72" s="52"/>
      <c r="H72" s="61" t="s">
        <v>219</v>
      </c>
      <c r="I72" s="110"/>
      <c r="J72" s="111"/>
      <c r="K72" s="111"/>
      <c r="L72" s="29"/>
      <c r="M72" s="22"/>
      <c r="N72" s="22"/>
      <c r="O72" s="29"/>
      <c r="P72" s="22"/>
      <c r="Q72" s="22"/>
      <c r="R72" s="29"/>
      <c r="S72" s="38"/>
      <c r="T72" s="38"/>
      <c r="U72" s="29"/>
      <c r="V72" s="38"/>
      <c r="W72" s="38"/>
      <c r="X72" s="29"/>
      <c r="Y72" s="22"/>
      <c r="Z72" s="22"/>
      <c r="AA72" s="29"/>
      <c r="AB72" s="22"/>
      <c r="AC72" s="22"/>
      <c r="AD72" s="29"/>
      <c r="AE72" s="22"/>
      <c r="AF72" s="22">
        <v>2196</v>
      </c>
      <c r="AG72" s="29" t="e">
        <f t="shared" si="42"/>
        <v>#DIV/0!</v>
      </c>
      <c r="AH72" s="22">
        <f t="shared" si="43"/>
        <v>0</v>
      </c>
      <c r="AI72" s="22">
        <f t="shared" si="44"/>
        <v>2196</v>
      </c>
      <c r="AJ72" s="29" t="e">
        <f t="shared" si="45"/>
        <v>#DIV/0!</v>
      </c>
      <c r="AK72" s="22"/>
      <c r="AL72" s="22"/>
      <c r="AM72" s="29" t="e">
        <f t="shared" si="46"/>
        <v>#DIV/0!</v>
      </c>
      <c r="AN72" s="22">
        <f t="shared" si="47"/>
        <v>0</v>
      </c>
      <c r="AO72" s="22">
        <f t="shared" si="48"/>
        <v>2196</v>
      </c>
      <c r="AP72" s="29" t="e">
        <f t="shared" si="49"/>
        <v>#DIV/0!</v>
      </c>
      <c r="AQ72" s="22"/>
      <c r="AR72" s="22"/>
      <c r="AS72" s="29" t="e">
        <f t="shared" si="50"/>
        <v>#DIV/0!</v>
      </c>
      <c r="AT72" s="22">
        <f t="shared" si="51"/>
        <v>0</v>
      </c>
      <c r="AU72" s="22">
        <f t="shared" si="52"/>
        <v>2196</v>
      </c>
      <c r="AV72" s="29" t="e">
        <f t="shared" si="53"/>
        <v>#DIV/0!</v>
      </c>
      <c r="AW72" s="38"/>
      <c r="AX72" s="38"/>
      <c r="AY72" s="29" t="e">
        <f t="shared" si="54"/>
        <v>#DIV/0!</v>
      </c>
      <c r="AZ72" s="38">
        <f t="shared" si="55"/>
        <v>0</v>
      </c>
      <c r="BA72" s="38">
        <f t="shared" si="56"/>
        <v>2196</v>
      </c>
      <c r="BB72" s="29" t="e">
        <f t="shared" si="57"/>
        <v>#DIV/0!</v>
      </c>
      <c r="BC72" s="38"/>
      <c r="BD72" s="38"/>
      <c r="BE72" s="29" t="e">
        <f t="shared" si="58"/>
        <v>#DIV/0!</v>
      </c>
      <c r="BF72" s="38">
        <f t="shared" si="59"/>
        <v>0</v>
      </c>
      <c r="BG72" s="38">
        <f t="shared" si="60"/>
        <v>2196</v>
      </c>
      <c r="BH72" s="29" t="e">
        <f t="shared" si="61"/>
        <v>#DIV/0!</v>
      </c>
      <c r="BI72" s="102"/>
      <c r="BJ72" s="85"/>
      <c r="BK72" s="22"/>
      <c r="BL72" s="22"/>
      <c r="BM72" s="96" t="e">
        <f t="shared" si="62"/>
        <v>#DIV/0!</v>
      </c>
      <c r="BN72" s="22"/>
      <c r="BO72" s="22"/>
    </row>
    <row r="73" spans="1:67">
      <c r="A73" s="61" t="s">
        <v>29</v>
      </c>
      <c r="B73" s="61" t="s">
        <v>29</v>
      </c>
      <c r="C73" s="60" t="s">
        <v>295</v>
      </c>
      <c r="D73" s="22" t="s">
        <v>61</v>
      </c>
      <c r="E73" s="61" t="s">
        <v>61</v>
      </c>
      <c r="F73" s="61" t="s">
        <v>226</v>
      </c>
      <c r="G73" s="52"/>
      <c r="H73" s="61" t="s">
        <v>214</v>
      </c>
      <c r="I73" s="110"/>
      <c r="J73" s="111"/>
      <c r="K73" s="111"/>
      <c r="L73" s="29"/>
      <c r="M73" s="22"/>
      <c r="N73" s="22"/>
      <c r="O73" s="29"/>
      <c r="P73" s="22"/>
      <c r="Q73" s="22"/>
      <c r="R73" s="29"/>
      <c r="S73" s="38"/>
      <c r="T73" s="38"/>
      <c r="U73" s="29"/>
      <c r="V73" s="38"/>
      <c r="W73" s="38"/>
      <c r="X73" s="29"/>
      <c r="Y73" s="22"/>
      <c r="Z73" s="22"/>
      <c r="AA73" s="29"/>
      <c r="AB73" s="22"/>
      <c r="AC73" s="22"/>
      <c r="AD73" s="29"/>
      <c r="AE73" s="22"/>
      <c r="AF73" s="22">
        <v>6252</v>
      </c>
      <c r="AG73" s="29" t="e">
        <f t="shared" si="42"/>
        <v>#DIV/0!</v>
      </c>
      <c r="AH73" s="22">
        <f t="shared" si="43"/>
        <v>0</v>
      </c>
      <c r="AI73" s="22">
        <f t="shared" si="44"/>
        <v>6252</v>
      </c>
      <c r="AJ73" s="29" t="e">
        <f t="shared" si="45"/>
        <v>#DIV/0!</v>
      </c>
      <c r="AK73" s="22"/>
      <c r="AL73" s="22"/>
      <c r="AM73" s="29" t="e">
        <f t="shared" si="46"/>
        <v>#DIV/0!</v>
      </c>
      <c r="AN73" s="22">
        <f t="shared" si="47"/>
        <v>0</v>
      </c>
      <c r="AO73" s="22">
        <f t="shared" si="48"/>
        <v>6252</v>
      </c>
      <c r="AP73" s="29" t="e">
        <f t="shared" si="49"/>
        <v>#DIV/0!</v>
      </c>
      <c r="AQ73" s="22"/>
      <c r="AR73" s="22"/>
      <c r="AS73" s="29" t="e">
        <f t="shared" si="50"/>
        <v>#DIV/0!</v>
      </c>
      <c r="AT73" s="22">
        <f t="shared" si="51"/>
        <v>0</v>
      </c>
      <c r="AU73" s="22">
        <f t="shared" si="52"/>
        <v>6252</v>
      </c>
      <c r="AV73" s="29" t="e">
        <f t="shared" si="53"/>
        <v>#DIV/0!</v>
      </c>
      <c r="AW73" s="38"/>
      <c r="AX73" s="38"/>
      <c r="AY73" s="29" t="e">
        <f t="shared" si="54"/>
        <v>#DIV/0!</v>
      </c>
      <c r="AZ73" s="38">
        <f t="shared" si="55"/>
        <v>0</v>
      </c>
      <c r="BA73" s="38">
        <f t="shared" si="56"/>
        <v>6252</v>
      </c>
      <c r="BB73" s="29" t="e">
        <f t="shared" si="57"/>
        <v>#DIV/0!</v>
      </c>
      <c r="BC73" s="38"/>
      <c r="BD73" s="38"/>
      <c r="BE73" s="29" t="e">
        <f t="shared" si="58"/>
        <v>#DIV/0!</v>
      </c>
      <c r="BF73" s="38">
        <f t="shared" si="59"/>
        <v>0</v>
      </c>
      <c r="BG73" s="38">
        <f t="shared" si="60"/>
        <v>6252</v>
      </c>
      <c r="BH73" s="29" t="e">
        <f t="shared" si="61"/>
        <v>#DIV/0!</v>
      </c>
      <c r="BI73" s="102"/>
      <c r="BJ73" s="85"/>
      <c r="BK73" s="22"/>
      <c r="BL73" s="22"/>
      <c r="BM73" s="96" t="e">
        <f t="shared" si="62"/>
        <v>#DIV/0!</v>
      </c>
      <c r="BN73" s="22"/>
      <c r="BO73" s="22"/>
    </row>
    <row r="74" spans="1:67">
      <c r="A74" s="61" t="s">
        <v>29</v>
      </c>
      <c r="B74" s="61" t="s">
        <v>29</v>
      </c>
      <c r="C74" s="109" t="s">
        <v>296</v>
      </c>
      <c r="D74" s="22" t="s">
        <v>287</v>
      </c>
      <c r="E74" s="61" t="s">
        <v>61</v>
      </c>
      <c r="F74" s="61" t="s">
        <v>226</v>
      </c>
      <c r="G74" s="52" t="s">
        <v>226</v>
      </c>
      <c r="H74" s="61" t="s">
        <v>214</v>
      </c>
      <c r="I74" s="110"/>
      <c r="J74" s="111"/>
      <c r="K74" s="111"/>
      <c r="L74" s="29"/>
      <c r="M74" s="22"/>
      <c r="N74" s="22"/>
      <c r="O74" s="29"/>
      <c r="P74" s="22"/>
      <c r="Q74" s="22"/>
      <c r="R74" s="29"/>
      <c r="S74" s="38"/>
      <c r="T74" s="38"/>
      <c r="U74" s="38"/>
      <c r="V74" s="38"/>
      <c r="W74" s="38"/>
      <c r="X74" s="38"/>
      <c r="Y74" s="22"/>
      <c r="Z74" s="22">
        <v>3364</v>
      </c>
      <c r="AA74" s="29" t="e">
        <f>Z74/Y74-1</f>
        <v>#DIV/0!</v>
      </c>
      <c r="AB74" s="22">
        <f>Y74+V74</f>
        <v>0</v>
      </c>
      <c r="AC74" s="22">
        <f>Z74+W74</f>
        <v>3364</v>
      </c>
      <c r="AD74" s="29" t="e">
        <f>AC74/AB74-1</f>
        <v>#DIV/0!</v>
      </c>
      <c r="AE74" s="22"/>
      <c r="AF74" s="22"/>
      <c r="AG74" s="29" t="e">
        <f t="shared" si="42"/>
        <v>#DIV/0!</v>
      </c>
      <c r="AH74" s="22">
        <f t="shared" si="43"/>
        <v>0</v>
      </c>
      <c r="AI74" s="22">
        <f t="shared" si="44"/>
        <v>3364</v>
      </c>
      <c r="AJ74" s="29" t="e">
        <f t="shared" si="45"/>
        <v>#DIV/0!</v>
      </c>
      <c r="AK74" s="22"/>
      <c r="AL74" s="22"/>
      <c r="AM74" s="29" t="e">
        <f t="shared" si="46"/>
        <v>#DIV/0!</v>
      </c>
      <c r="AN74" s="22">
        <f t="shared" si="47"/>
        <v>0</v>
      </c>
      <c r="AO74" s="22">
        <f t="shared" si="48"/>
        <v>3364</v>
      </c>
      <c r="AP74" s="29" t="e">
        <f t="shared" si="49"/>
        <v>#DIV/0!</v>
      </c>
      <c r="AQ74" s="22"/>
      <c r="AR74" s="22"/>
      <c r="AS74" s="29" t="e">
        <f t="shared" si="50"/>
        <v>#DIV/0!</v>
      </c>
      <c r="AT74" s="22">
        <f t="shared" si="51"/>
        <v>0</v>
      </c>
      <c r="AU74" s="22">
        <f t="shared" si="52"/>
        <v>3364</v>
      </c>
      <c r="AV74" s="29" t="e">
        <f t="shared" si="53"/>
        <v>#DIV/0!</v>
      </c>
      <c r="AW74" s="38"/>
      <c r="AX74" s="38"/>
      <c r="AY74" s="29" t="e">
        <f t="shared" si="54"/>
        <v>#DIV/0!</v>
      </c>
      <c r="AZ74" s="38">
        <f t="shared" si="55"/>
        <v>0</v>
      </c>
      <c r="BA74" s="38">
        <f t="shared" si="56"/>
        <v>3364</v>
      </c>
      <c r="BB74" s="29" t="e">
        <f t="shared" si="57"/>
        <v>#DIV/0!</v>
      </c>
      <c r="BC74" s="38"/>
      <c r="BD74" s="38"/>
      <c r="BE74" s="29" t="e">
        <f t="shared" si="58"/>
        <v>#DIV/0!</v>
      </c>
      <c r="BF74" s="38">
        <f t="shared" si="59"/>
        <v>0</v>
      </c>
      <c r="BG74" s="38">
        <f t="shared" si="60"/>
        <v>3364</v>
      </c>
      <c r="BH74" s="29" t="e">
        <f t="shared" si="61"/>
        <v>#DIV/0!</v>
      </c>
      <c r="BI74" s="102"/>
      <c r="BJ74" s="85"/>
      <c r="BK74" s="22"/>
      <c r="BL74" s="22"/>
      <c r="BM74" s="96" t="e">
        <f t="shared" si="62"/>
        <v>#DIV/0!</v>
      </c>
      <c r="BN74" s="22"/>
      <c r="BO74" s="22"/>
    </row>
    <row r="75" spans="1:67">
      <c r="A75" s="61" t="s">
        <v>29</v>
      </c>
      <c r="B75" s="61" t="s">
        <v>29</v>
      </c>
      <c r="C75" s="109" t="s">
        <v>297</v>
      </c>
      <c r="D75" s="22" t="s">
        <v>61</v>
      </c>
      <c r="E75" s="33" t="s">
        <v>61</v>
      </c>
      <c r="F75" s="33" t="s">
        <v>232</v>
      </c>
      <c r="G75" s="33" t="s">
        <v>232</v>
      </c>
      <c r="H75" s="22" t="s">
        <v>223</v>
      </c>
      <c r="I75" s="110"/>
      <c r="J75" s="111"/>
      <c r="K75" s="111"/>
      <c r="L75" s="29"/>
      <c r="M75" s="22"/>
      <c r="N75" s="22"/>
      <c r="O75" s="29"/>
      <c r="P75" s="22"/>
      <c r="Q75" s="22"/>
      <c r="R75" s="29"/>
      <c r="S75" s="38"/>
      <c r="T75" s="38"/>
      <c r="U75" s="38"/>
      <c r="V75" s="38"/>
      <c r="W75" s="38"/>
      <c r="X75" s="38"/>
      <c r="Y75" s="22"/>
      <c r="Z75" s="22"/>
      <c r="AA75" s="29"/>
      <c r="AB75" s="22"/>
      <c r="AC75" s="22"/>
      <c r="AD75" s="29"/>
      <c r="AE75" s="22"/>
      <c r="AF75" s="22"/>
      <c r="AG75" s="29"/>
      <c r="AH75" s="22"/>
      <c r="AI75" s="22"/>
      <c r="AJ75" s="29"/>
      <c r="AK75" s="22"/>
      <c r="AL75" s="22"/>
      <c r="AM75" s="29"/>
      <c r="AN75" s="22"/>
      <c r="AO75" s="22"/>
      <c r="AP75" s="29"/>
      <c r="AQ75" s="22"/>
      <c r="AR75" s="22">
        <v>2200</v>
      </c>
      <c r="AS75" s="29" t="e">
        <f t="shared" si="50"/>
        <v>#DIV/0!</v>
      </c>
      <c r="AT75" s="22">
        <f t="shared" si="51"/>
        <v>0</v>
      </c>
      <c r="AU75" s="22">
        <f t="shared" si="52"/>
        <v>2200</v>
      </c>
      <c r="AV75" s="29" t="e">
        <f t="shared" si="53"/>
        <v>#DIV/0!</v>
      </c>
      <c r="AW75" s="38"/>
      <c r="AX75" s="38"/>
      <c r="AY75" s="29" t="e">
        <f t="shared" si="54"/>
        <v>#DIV/0!</v>
      </c>
      <c r="AZ75" s="38">
        <f t="shared" si="55"/>
        <v>0</v>
      </c>
      <c r="BA75" s="38">
        <f t="shared" si="56"/>
        <v>2200</v>
      </c>
      <c r="BB75" s="29" t="e">
        <f t="shared" si="57"/>
        <v>#DIV/0!</v>
      </c>
      <c r="BC75" s="38"/>
      <c r="BD75" s="38">
        <v>4883</v>
      </c>
      <c r="BE75" s="29" t="e">
        <f t="shared" si="58"/>
        <v>#DIV/0!</v>
      </c>
      <c r="BF75" s="38">
        <f t="shared" si="59"/>
        <v>0</v>
      </c>
      <c r="BG75" s="38">
        <f t="shared" si="60"/>
        <v>7083</v>
      </c>
      <c r="BH75" s="29" t="e">
        <f t="shared" si="61"/>
        <v>#DIV/0!</v>
      </c>
      <c r="BI75" s="102"/>
      <c r="BJ75" s="85"/>
      <c r="BK75" s="22"/>
      <c r="BL75" s="22"/>
      <c r="BM75" s="96" t="e">
        <f t="shared" si="62"/>
        <v>#DIV/0!</v>
      </c>
      <c r="BN75" s="22"/>
      <c r="BO75" s="22"/>
    </row>
    <row r="76" spans="1:67">
      <c r="A76" s="61" t="s">
        <v>29</v>
      </c>
      <c r="B76" s="61" t="s">
        <v>29</v>
      </c>
      <c r="C76" s="109" t="s">
        <v>298</v>
      </c>
      <c r="D76" s="22" t="s">
        <v>61</v>
      </c>
      <c r="E76" s="33" t="s">
        <v>61</v>
      </c>
      <c r="F76" s="33" t="s">
        <v>232</v>
      </c>
      <c r="G76" s="33" t="s">
        <v>232</v>
      </c>
      <c r="H76" s="22" t="s">
        <v>223</v>
      </c>
      <c r="I76" s="110"/>
      <c r="J76" s="111"/>
      <c r="K76" s="111"/>
      <c r="L76" s="29"/>
      <c r="M76" s="22"/>
      <c r="N76" s="22"/>
      <c r="O76" s="29"/>
      <c r="P76" s="22"/>
      <c r="Q76" s="22"/>
      <c r="R76" s="29"/>
      <c r="S76" s="38"/>
      <c r="T76" s="38"/>
      <c r="U76" s="38"/>
      <c r="V76" s="38"/>
      <c r="W76" s="38"/>
      <c r="X76" s="38"/>
      <c r="Y76" s="22"/>
      <c r="Z76" s="22"/>
      <c r="AA76" s="29"/>
      <c r="AB76" s="22"/>
      <c r="AC76" s="22"/>
      <c r="AD76" s="29"/>
      <c r="AE76" s="22"/>
      <c r="AF76" s="22"/>
      <c r="AG76" s="29"/>
      <c r="AH76" s="22"/>
      <c r="AI76" s="22"/>
      <c r="AJ76" s="29"/>
      <c r="AK76" s="22"/>
      <c r="AL76" s="22"/>
      <c r="AM76" s="29"/>
      <c r="AN76" s="22"/>
      <c r="AO76" s="22"/>
      <c r="AP76" s="29"/>
      <c r="AQ76" s="22"/>
      <c r="AR76" s="22"/>
      <c r="AS76" s="29"/>
      <c r="AT76" s="22"/>
      <c r="AU76" s="22"/>
      <c r="AV76" s="29"/>
      <c r="AW76" s="38"/>
      <c r="AX76" s="38"/>
      <c r="AY76" s="29"/>
      <c r="AZ76" s="38"/>
      <c r="BA76" s="38"/>
      <c r="BB76" s="29"/>
      <c r="BC76" s="38"/>
      <c r="BD76" s="38">
        <v>1970</v>
      </c>
      <c r="BE76" s="29" t="e">
        <f t="shared" si="58"/>
        <v>#DIV/0!</v>
      </c>
      <c r="BF76" s="38">
        <f t="shared" si="59"/>
        <v>0</v>
      </c>
      <c r="BG76" s="38">
        <f t="shared" si="60"/>
        <v>1970</v>
      </c>
      <c r="BH76" s="29" t="e">
        <f t="shared" si="61"/>
        <v>#DIV/0!</v>
      </c>
      <c r="BI76" s="102"/>
      <c r="BJ76" s="85"/>
      <c r="BK76" s="22"/>
      <c r="BL76" s="22"/>
      <c r="BM76" s="96" t="e">
        <f t="shared" si="62"/>
        <v>#DIV/0!</v>
      </c>
      <c r="BN76" s="22"/>
      <c r="BO76" s="22"/>
    </row>
    <row r="77" spans="1:67">
      <c r="A77" s="61" t="s">
        <v>29</v>
      </c>
      <c r="B77" s="61" t="s">
        <v>29</v>
      </c>
      <c r="C77" s="109" t="s">
        <v>299</v>
      </c>
      <c r="D77" s="22" t="s">
        <v>61</v>
      </c>
      <c r="E77" s="33" t="s">
        <v>61</v>
      </c>
      <c r="F77" s="33" t="s">
        <v>232</v>
      </c>
      <c r="G77" s="33" t="s">
        <v>232</v>
      </c>
      <c r="H77" s="22" t="s">
        <v>223</v>
      </c>
      <c r="I77" s="110"/>
      <c r="J77" s="111"/>
      <c r="K77" s="111"/>
      <c r="L77" s="29"/>
      <c r="M77" s="22"/>
      <c r="N77" s="22"/>
      <c r="O77" s="29"/>
      <c r="P77" s="22"/>
      <c r="Q77" s="22"/>
      <c r="R77" s="29"/>
      <c r="S77" s="38"/>
      <c r="T77" s="38"/>
      <c r="U77" s="38"/>
      <c r="V77" s="38"/>
      <c r="W77" s="38"/>
      <c r="X77" s="38"/>
      <c r="Y77" s="22"/>
      <c r="Z77" s="22"/>
      <c r="AA77" s="29"/>
      <c r="AB77" s="22"/>
      <c r="AC77" s="22"/>
      <c r="AD77" s="29"/>
      <c r="AE77" s="22"/>
      <c r="AF77" s="22"/>
      <c r="AG77" s="29"/>
      <c r="AH77" s="22"/>
      <c r="AI77" s="22"/>
      <c r="AJ77" s="29"/>
      <c r="AK77" s="22"/>
      <c r="AL77" s="22"/>
      <c r="AM77" s="29"/>
      <c r="AN77" s="22"/>
      <c r="AO77" s="22"/>
      <c r="AP77" s="29"/>
      <c r="AQ77" s="22"/>
      <c r="AR77" s="22"/>
      <c r="AS77" s="29"/>
      <c r="AT77" s="22"/>
      <c r="AU77" s="22"/>
      <c r="AV77" s="29"/>
      <c r="AW77" s="38"/>
      <c r="AX77" s="38"/>
      <c r="AY77" s="29"/>
      <c r="AZ77" s="38"/>
      <c r="BA77" s="38"/>
      <c r="BB77" s="29"/>
      <c r="BC77" s="38"/>
      <c r="BD77" s="38">
        <v>3899</v>
      </c>
      <c r="BE77" s="29" t="e">
        <f t="shared" si="58"/>
        <v>#DIV/0!</v>
      </c>
      <c r="BF77" s="38">
        <f t="shared" si="59"/>
        <v>0</v>
      </c>
      <c r="BG77" s="38">
        <f t="shared" si="60"/>
        <v>3899</v>
      </c>
      <c r="BH77" s="29" t="e">
        <f t="shared" si="61"/>
        <v>#DIV/0!</v>
      </c>
      <c r="BI77" s="102"/>
      <c r="BJ77" s="85"/>
      <c r="BK77" s="22"/>
      <c r="BL77" s="22"/>
      <c r="BM77" s="96" t="e">
        <f t="shared" si="62"/>
        <v>#DIV/0!</v>
      </c>
      <c r="BN77" s="22"/>
      <c r="BO77" s="22"/>
    </row>
    <row r="78" spans="1:67">
      <c r="A78" s="61" t="s">
        <v>29</v>
      </c>
      <c r="B78" s="61" t="s">
        <v>29</v>
      </c>
      <c r="C78" s="109" t="s">
        <v>300</v>
      </c>
      <c r="D78" s="22" t="s">
        <v>114</v>
      </c>
      <c r="E78" s="33" t="s">
        <v>114</v>
      </c>
      <c r="F78" s="33" t="s">
        <v>232</v>
      </c>
      <c r="G78" s="33" t="s">
        <v>232</v>
      </c>
      <c r="H78" s="22" t="s">
        <v>223</v>
      </c>
      <c r="I78" s="110">
        <v>10</v>
      </c>
      <c r="J78" s="111"/>
      <c r="K78" s="111"/>
      <c r="L78" s="29"/>
      <c r="M78" s="22"/>
      <c r="N78" s="22"/>
      <c r="O78" s="29"/>
      <c r="P78" s="22"/>
      <c r="Q78" s="22"/>
      <c r="R78" s="29"/>
      <c r="S78" s="38"/>
      <c r="T78" s="38"/>
      <c r="U78" s="38"/>
      <c r="V78" s="38"/>
      <c r="W78" s="38"/>
      <c r="X78" s="38"/>
      <c r="Y78" s="22"/>
      <c r="Z78" s="22"/>
      <c r="AA78" s="29"/>
      <c r="AB78" s="22"/>
      <c r="AC78" s="22"/>
      <c r="AD78" s="29"/>
      <c r="AE78" s="22"/>
      <c r="AF78" s="22"/>
      <c r="AG78" s="29"/>
      <c r="AH78" s="22"/>
      <c r="AI78" s="22"/>
      <c r="AJ78" s="29"/>
      <c r="AK78" s="22"/>
      <c r="AL78" s="22"/>
      <c r="AM78" s="29"/>
      <c r="AN78" s="22"/>
      <c r="AO78" s="22"/>
      <c r="AP78" s="29"/>
      <c r="AQ78" s="22"/>
      <c r="AR78" s="22"/>
      <c r="AS78" s="29"/>
      <c r="AT78" s="22"/>
      <c r="AU78" s="22"/>
      <c r="AV78" s="29"/>
      <c r="AW78" s="38"/>
      <c r="AX78" s="38">
        <v>4928</v>
      </c>
      <c r="AY78" s="29" t="e">
        <f>AX78/AW78-1</f>
        <v>#DIV/0!</v>
      </c>
      <c r="AZ78" s="38">
        <f>AW78+AT78</f>
        <v>0</v>
      </c>
      <c r="BA78" s="38">
        <f>AX78+AU78</f>
        <v>4928</v>
      </c>
      <c r="BB78" s="29" t="e">
        <f>BA78/AZ78-1</f>
        <v>#DIV/0!</v>
      </c>
      <c r="BC78" s="38"/>
      <c r="BD78" s="38"/>
      <c r="BE78" s="29" t="e">
        <f t="shared" si="58"/>
        <v>#DIV/0!</v>
      </c>
      <c r="BF78" s="38">
        <f t="shared" si="59"/>
        <v>0</v>
      </c>
      <c r="BG78" s="38">
        <f t="shared" si="60"/>
        <v>4928</v>
      </c>
      <c r="BH78" s="29" t="e">
        <f t="shared" si="61"/>
        <v>#DIV/0!</v>
      </c>
      <c r="BI78" s="102"/>
      <c r="BJ78" s="85"/>
      <c r="BK78" s="22"/>
      <c r="BL78" s="22"/>
      <c r="BM78" s="96">
        <f t="shared" si="62"/>
        <v>4.9279999999999997E-2</v>
      </c>
      <c r="BN78" s="22"/>
      <c r="BO78" s="22"/>
    </row>
    <row r="79" spans="1:67">
      <c r="A79" s="80" t="s">
        <v>29</v>
      </c>
      <c r="B79" s="80" t="s">
        <v>29</v>
      </c>
      <c r="C79" s="81" t="s">
        <v>36</v>
      </c>
      <c r="D79" s="33"/>
      <c r="E79" s="33"/>
      <c r="F79" s="33"/>
      <c r="G79" s="33"/>
      <c r="H79" s="33"/>
      <c r="I79" s="93">
        <f t="shared" ref="I79:K79" si="63">SUBTOTAL(9,I3:I74)</f>
        <v>1441.88</v>
      </c>
      <c r="J79" s="22">
        <f t="shared" si="63"/>
        <v>757967.7</v>
      </c>
      <c r="K79" s="22">
        <f t="shared" si="63"/>
        <v>1062811.5</v>
      </c>
      <c r="L79" s="29">
        <f>K79/J79-1</f>
        <v>0.40218573957703002</v>
      </c>
      <c r="M79" s="22">
        <f t="shared" ref="M79:Q79" si="64">SUBTOTAL(9,M3:M74)</f>
        <v>650701</v>
      </c>
      <c r="N79" s="22">
        <f t="shared" si="64"/>
        <v>653921.1</v>
      </c>
      <c r="O79" s="29">
        <f>N79/M79-1</f>
        <v>4.9486630572259703E-3</v>
      </c>
      <c r="P79" s="22">
        <f t="shared" si="64"/>
        <v>1408668.7</v>
      </c>
      <c r="Q79" s="22">
        <f t="shared" si="64"/>
        <v>1716732.6</v>
      </c>
      <c r="R79" s="29">
        <f>Q79/P79-1</f>
        <v>0.21869152058251901</v>
      </c>
      <c r="S79" s="22">
        <f t="shared" ref="S79:W79" si="65">SUBTOTAL(9,S3:S74)</f>
        <v>834107.08</v>
      </c>
      <c r="T79" s="22">
        <f t="shared" si="65"/>
        <v>1262815.5</v>
      </c>
      <c r="U79" s="29">
        <f>T79/S79-1</f>
        <v>0.51397288223473603</v>
      </c>
      <c r="V79" s="22">
        <f t="shared" si="65"/>
        <v>2242775.7799999998</v>
      </c>
      <c r="W79" s="22">
        <f t="shared" si="65"/>
        <v>2979548.1</v>
      </c>
      <c r="X79" s="29">
        <f>W79/V79-1</f>
        <v>0.32850912987833297</v>
      </c>
      <c r="Y79" s="22">
        <f t="shared" ref="Y79:AC79" si="66">SUBTOTAL(9,Y3:Y74)</f>
        <v>1174295.3999999999</v>
      </c>
      <c r="Z79" s="22">
        <f t="shared" si="66"/>
        <v>591900.56000000006</v>
      </c>
      <c r="AA79" s="29">
        <f>Z79/Y79-1</f>
        <v>-0.495952585695218</v>
      </c>
      <c r="AB79" s="22">
        <f t="shared" si="66"/>
        <v>3417071.18</v>
      </c>
      <c r="AC79" s="22">
        <f t="shared" si="66"/>
        <v>3571448.66</v>
      </c>
      <c r="AD79" s="29">
        <f>AC79/AB79-1</f>
        <v>4.5178303836210999E-2</v>
      </c>
      <c r="AE79" s="22">
        <f t="shared" ref="AE79:AI79" si="67">SUBTOTAL(9,AE3:AE74)</f>
        <v>841508.5</v>
      </c>
      <c r="AF79" s="22">
        <f t="shared" si="67"/>
        <v>1004931.65</v>
      </c>
      <c r="AG79" s="29">
        <f>AF79/AE79-1</f>
        <v>0.19420261352083801</v>
      </c>
      <c r="AH79" s="22">
        <f t="shared" si="67"/>
        <v>4258579.68</v>
      </c>
      <c r="AI79" s="22">
        <f t="shared" si="67"/>
        <v>4576380.3099999996</v>
      </c>
      <c r="AJ79" s="29">
        <f>AI79/AH79-1</f>
        <v>7.4625967782760802E-2</v>
      </c>
      <c r="AK79" s="22">
        <f t="shared" ref="AK79:AO79" si="68">SUBTOTAL(9,AK3:AK74)</f>
        <v>1079235.6000000001</v>
      </c>
      <c r="AL79" s="22">
        <f t="shared" si="68"/>
        <v>1527170.63</v>
      </c>
      <c r="AM79" s="29">
        <f>AL79/AK79-1</f>
        <v>0.4150484194554</v>
      </c>
      <c r="AN79" s="22">
        <f t="shared" si="68"/>
        <v>5337815.28</v>
      </c>
      <c r="AO79" s="22">
        <f t="shared" si="68"/>
        <v>6103550.9400000004</v>
      </c>
      <c r="AP79" s="29">
        <f>AO79/AN79-1</f>
        <v>0.14345488178826599</v>
      </c>
      <c r="AQ79" s="22">
        <f>SUBTOTAL(9,AQ3:AQ74)</f>
        <v>767814</v>
      </c>
      <c r="AR79" s="22">
        <f t="shared" ref="AR79:AU79" si="69">SUBTOTAL(9,AR3:AR75)</f>
        <v>1057782.99</v>
      </c>
      <c r="AS79" s="29">
        <f>AR79/AQ79-1</f>
        <v>0.37765525244395098</v>
      </c>
      <c r="AT79" s="22">
        <f t="shared" si="69"/>
        <v>6105629.2800000003</v>
      </c>
      <c r="AU79" s="22">
        <f t="shared" si="69"/>
        <v>7161333.9299999997</v>
      </c>
      <c r="AV79" s="29">
        <f>AU79/AT79-1</f>
        <v>0.172906772027273</v>
      </c>
      <c r="AW79" s="22">
        <f>SUBTOTAL(9,AW3:AW75)</f>
        <v>611076.9</v>
      </c>
      <c r="AX79" s="22">
        <f t="shared" ref="AX79:BA79" si="70">SUBTOTAL(9,AX3:AX78)</f>
        <v>976642.51</v>
      </c>
      <c r="AY79" s="29">
        <f>AX79/AW79-1</f>
        <v>0.59823176101076603</v>
      </c>
      <c r="AZ79" s="22">
        <f t="shared" si="70"/>
        <v>6716706.1799999997</v>
      </c>
      <c r="BA79" s="22">
        <f t="shared" si="70"/>
        <v>8137976.4400000004</v>
      </c>
      <c r="BB79" s="29">
        <f>BA79/AZ79-1</f>
        <v>0.21160226782467301</v>
      </c>
      <c r="BC79" s="22">
        <f t="shared" ref="BC79:BG79" si="71">SUBTOTAL(9,BC3:BC78)</f>
        <v>1467492.09</v>
      </c>
      <c r="BD79" s="22">
        <f t="shared" si="71"/>
        <v>781228.93</v>
      </c>
      <c r="BE79" s="29">
        <f t="shared" si="58"/>
        <v>-0.46764351554358302</v>
      </c>
      <c r="BF79" s="22">
        <f t="shared" si="71"/>
        <v>8184198.2699999996</v>
      </c>
      <c r="BG79" s="22">
        <f t="shared" si="71"/>
        <v>8919205.3699999992</v>
      </c>
      <c r="BH79" s="29">
        <f t="shared" si="61"/>
        <v>8.9808075971747003E-2</v>
      </c>
      <c r="BI79" s="95">
        <v>2289433.89</v>
      </c>
      <c r="BJ79" s="95">
        <v>1909912.36</v>
      </c>
      <c r="BK79" s="95">
        <v>2428025.2200000002</v>
      </c>
      <c r="BL79" s="95">
        <v>15040266.74</v>
      </c>
      <c r="BM79" s="96">
        <f t="shared" si="62"/>
        <v>0.61858166907093504</v>
      </c>
      <c r="BN79" s="22"/>
      <c r="BO79" s="22"/>
    </row>
  </sheetData>
  <mergeCells count="42">
    <mergeCell ref="S1:T1"/>
    <mergeCell ref="V1:W1"/>
    <mergeCell ref="U1:U2"/>
    <mergeCell ref="X1:X2"/>
    <mergeCell ref="AA1:AA2"/>
    <mergeCell ref="AD1:AD2"/>
    <mergeCell ref="AN1:AO1"/>
    <mergeCell ref="Y1:Z1"/>
    <mergeCell ref="AB1:AC1"/>
    <mergeCell ref="AE1:AF1"/>
    <mergeCell ref="AH1:AI1"/>
    <mergeCell ref="AK1:AL1"/>
    <mergeCell ref="AG1:AG2"/>
    <mergeCell ref="AJ1:AJ2"/>
    <mergeCell ref="H1:H2"/>
    <mergeCell ref="I1:I2"/>
    <mergeCell ref="L1:L2"/>
    <mergeCell ref="O1:O2"/>
    <mergeCell ref="R1:R2"/>
    <mergeCell ref="J1:K1"/>
    <mergeCell ref="M1:N1"/>
    <mergeCell ref="P1:Q1"/>
    <mergeCell ref="C1:C2"/>
    <mergeCell ref="D1:D2"/>
    <mergeCell ref="E1:E2"/>
    <mergeCell ref="F1:F2"/>
    <mergeCell ref="G1:G2"/>
    <mergeCell ref="BB1:BB2"/>
    <mergeCell ref="BE1:BE2"/>
    <mergeCell ref="BH1:BH2"/>
    <mergeCell ref="BM1:BM2"/>
    <mergeCell ref="AM1:AM2"/>
    <mergeCell ref="AP1:AP2"/>
    <mergeCell ref="AS1:AS2"/>
    <mergeCell ref="AV1:AV2"/>
    <mergeCell ref="AY1:AY2"/>
    <mergeCell ref="BC1:BD1"/>
    <mergeCell ref="BF1:BG1"/>
    <mergeCell ref="AQ1:AR1"/>
    <mergeCell ref="AT1:AU1"/>
    <mergeCell ref="AW1:AX1"/>
    <mergeCell ref="AZ1:BA1"/>
  </mergeCells>
  <phoneticPr fontId="32" type="noConversion"/>
  <pageMargins left="0.75" right="0.75" top="1" bottom="1" header="0.5" footer="0.5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tabColor rgb="FF00B050"/>
  </sheetPr>
  <dimension ref="A1:BO35"/>
  <sheetViews>
    <sheetView workbookViewId="0">
      <pane xSplit="9" ySplit="2" topLeftCell="J3" activePane="bottomRight" state="frozen"/>
      <selection pane="topRight"/>
      <selection pane="bottomLeft"/>
      <selection pane="bottomRight" activeCell="E34" sqref="A1:BO35"/>
    </sheetView>
  </sheetViews>
  <sheetFormatPr baseColWidth="10" defaultColWidth="9" defaultRowHeight="14"/>
  <cols>
    <col min="1" max="1" width="5.1640625" style="40" customWidth="1"/>
    <col min="2" max="2" width="5.33203125" customWidth="1"/>
    <col min="3" max="3" width="25.33203125" style="76" customWidth="1"/>
    <col min="4" max="5" width="8.83203125" customWidth="1"/>
    <col min="6" max="6" width="7.5" customWidth="1"/>
    <col min="7" max="7" width="7.1640625" hidden="1" customWidth="1"/>
    <col min="8" max="8" width="7.1640625" customWidth="1"/>
    <col min="9" max="9" width="11.1640625" customWidth="1"/>
    <col min="10" max="12" width="10.83203125" style="19" customWidth="1"/>
    <col min="13" max="14" width="9.5" style="77" customWidth="1"/>
    <col min="15" max="15" width="9.5" style="20" customWidth="1"/>
    <col min="16" max="17" width="9.5" style="50" customWidth="1"/>
    <col min="18" max="18" width="9.5" style="20" customWidth="1"/>
    <col min="19" max="24" width="9.83203125" style="20" customWidth="1"/>
    <col min="25" max="30" width="9.33203125" style="20" customWidth="1"/>
    <col min="31" max="35" width="11.6640625" style="20" customWidth="1"/>
    <col min="36" max="36" width="7.5" style="20" customWidth="1"/>
    <col min="37" max="38" width="11.83203125" style="77" customWidth="1"/>
    <col min="39" max="39" width="7.5" style="20" customWidth="1"/>
    <col min="40" max="42" width="11.83203125" style="20" customWidth="1"/>
    <col min="43" max="45" width="9.83203125" style="20" customWidth="1"/>
    <col min="46" max="47" width="11.1640625" style="20" customWidth="1"/>
    <col min="48" max="48" width="9.83203125" style="20" customWidth="1"/>
    <col min="49" max="50" width="9.6640625" style="77" customWidth="1"/>
    <col min="51" max="51" width="9.6640625" style="20" customWidth="1"/>
    <col min="52" max="53" width="9.6640625" style="77" customWidth="1"/>
    <col min="54" max="54" width="9.6640625" style="20" customWidth="1"/>
    <col min="55" max="60" width="11.1640625" style="20" customWidth="1"/>
    <col min="61" max="61" width="11.83203125" style="97" hidden="1" customWidth="1"/>
    <col min="62" max="64" width="11.83203125" style="20" hidden="1" customWidth="1"/>
    <col min="65" max="65" width="9.33203125" style="20" customWidth="1"/>
    <col min="66" max="66" width="9" style="20" customWidth="1"/>
  </cols>
  <sheetData>
    <row r="1" spans="1:67" ht="14.25" customHeight="1">
      <c r="B1" s="192" t="s">
        <v>45</v>
      </c>
      <c r="C1" s="219" t="s">
        <v>161</v>
      </c>
      <c r="D1" s="207" t="s">
        <v>47</v>
      </c>
      <c r="E1" s="193" t="s">
        <v>48</v>
      </c>
      <c r="F1" s="193" t="s">
        <v>49</v>
      </c>
      <c r="G1" s="196" t="s">
        <v>50</v>
      </c>
      <c r="H1" s="221" t="s">
        <v>51</v>
      </c>
      <c r="I1" s="223" t="s">
        <v>38</v>
      </c>
      <c r="J1" s="205" t="s">
        <v>3</v>
      </c>
      <c r="K1" s="206"/>
      <c r="L1" s="203" t="s">
        <v>4</v>
      </c>
      <c r="M1" s="197" t="s">
        <v>5</v>
      </c>
      <c r="N1" s="197"/>
      <c r="O1" s="196" t="s">
        <v>4</v>
      </c>
      <c r="P1" s="225" t="s">
        <v>39</v>
      </c>
      <c r="Q1" s="225"/>
      <c r="R1" s="196" t="s">
        <v>4</v>
      </c>
      <c r="S1" s="197" t="s">
        <v>6</v>
      </c>
      <c r="T1" s="197"/>
      <c r="U1" s="196" t="s">
        <v>4</v>
      </c>
      <c r="V1" s="197" t="s">
        <v>7</v>
      </c>
      <c r="W1" s="197"/>
      <c r="X1" s="196" t="s">
        <v>4</v>
      </c>
      <c r="Y1" s="197" t="s">
        <v>8</v>
      </c>
      <c r="Z1" s="197"/>
      <c r="AA1" s="196" t="s">
        <v>4</v>
      </c>
      <c r="AB1" s="197" t="s">
        <v>9</v>
      </c>
      <c r="AC1" s="197"/>
      <c r="AD1" s="196" t="s">
        <v>4</v>
      </c>
      <c r="AE1" s="197" t="s">
        <v>10</v>
      </c>
      <c r="AF1" s="197"/>
      <c r="AG1" s="196" t="s">
        <v>4</v>
      </c>
      <c r="AH1" s="197" t="s">
        <v>11</v>
      </c>
      <c r="AI1" s="197"/>
      <c r="AJ1" s="196" t="s">
        <v>4</v>
      </c>
      <c r="AK1" s="197" t="s">
        <v>12</v>
      </c>
      <c r="AL1" s="197"/>
      <c r="AM1" s="196" t="s">
        <v>4</v>
      </c>
      <c r="AN1" s="197" t="s">
        <v>13</v>
      </c>
      <c r="AO1" s="197"/>
      <c r="AP1" s="196" t="s">
        <v>4</v>
      </c>
      <c r="AQ1" s="197" t="s">
        <v>14</v>
      </c>
      <c r="AR1" s="197"/>
      <c r="AS1" s="196" t="s">
        <v>4</v>
      </c>
      <c r="AT1" s="197" t="s">
        <v>15</v>
      </c>
      <c r="AU1" s="197"/>
      <c r="AV1" s="187" t="s">
        <v>4</v>
      </c>
      <c r="AW1" s="197" t="s">
        <v>16</v>
      </c>
      <c r="AX1" s="197"/>
      <c r="AY1" s="196" t="s">
        <v>4</v>
      </c>
      <c r="AZ1" s="197" t="s">
        <v>17</v>
      </c>
      <c r="BA1" s="197"/>
      <c r="BB1" s="187" t="s">
        <v>4</v>
      </c>
      <c r="BC1" s="191" t="s">
        <v>18</v>
      </c>
      <c r="BD1" s="192"/>
      <c r="BE1" s="187" t="s">
        <v>4</v>
      </c>
      <c r="BF1" s="191" t="s">
        <v>19</v>
      </c>
      <c r="BG1" s="192"/>
      <c r="BH1" s="187" t="s">
        <v>4</v>
      </c>
      <c r="BI1" s="78" t="s">
        <v>40</v>
      </c>
      <c r="BJ1" s="78" t="s">
        <v>41</v>
      </c>
      <c r="BK1" s="78" t="s">
        <v>42</v>
      </c>
      <c r="BL1" s="78" t="s">
        <v>133</v>
      </c>
      <c r="BM1" s="203" t="s">
        <v>211</v>
      </c>
    </row>
    <row r="2" spans="1:67" ht="14.25" customHeight="1">
      <c r="B2" s="192"/>
      <c r="C2" s="219"/>
      <c r="D2" s="207"/>
      <c r="E2" s="220"/>
      <c r="F2" s="220"/>
      <c r="G2" s="196"/>
      <c r="H2" s="222"/>
      <c r="I2" s="224"/>
      <c r="J2" s="63" t="s">
        <v>21</v>
      </c>
      <c r="K2" s="64" t="s">
        <v>22</v>
      </c>
      <c r="L2" s="204"/>
      <c r="M2" s="35" t="s">
        <v>21</v>
      </c>
      <c r="N2" s="35" t="s">
        <v>22</v>
      </c>
      <c r="O2" s="196"/>
      <c r="P2" s="65" t="s">
        <v>21</v>
      </c>
      <c r="Q2" s="65" t="s">
        <v>22</v>
      </c>
      <c r="R2" s="196"/>
      <c r="S2" s="35" t="s">
        <v>21</v>
      </c>
      <c r="T2" s="35" t="s">
        <v>22</v>
      </c>
      <c r="U2" s="196"/>
      <c r="V2" s="35" t="s">
        <v>21</v>
      </c>
      <c r="W2" s="35" t="s">
        <v>22</v>
      </c>
      <c r="X2" s="196"/>
      <c r="Y2" s="35" t="s">
        <v>21</v>
      </c>
      <c r="Z2" s="35" t="s">
        <v>22</v>
      </c>
      <c r="AA2" s="196"/>
      <c r="AB2" s="35" t="s">
        <v>21</v>
      </c>
      <c r="AC2" s="35" t="s">
        <v>22</v>
      </c>
      <c r="AD2" s="196"/>
      <c r="AE2" s="35" t="s">
        <v>21</v>
      </c>
      <c r="AF2" s="35" t="s">
        <v>22</v>
      </c>
      <c r="AG2" s="196"/>
      <c r="AH2" s="35" t="s">
        <v>21</v>
      </c>
      <c r="AI2" s="35" t="s">
        <v>22</v>
      </c>
      <c r="AJ2" s="196"/>
      <c r="AK2" s="35" t="s">
        <v>21</v>
      </c>
      <c r="AL2" s="35" t="s">
        <v>22</v>
      </c>
      <c r="AM2" s="196"/>
      <c r="AN2" s="35" t="s">
        <v>21</v>
      </c>
      <c r="AO2" s="35" t="s">
        <v>22</v>
      </c>
      <c r="AP2" s="196"/>
      <c r="AQ2" s="35" t="s">
        <v>21</v>
      </c>
      <c r="AR2" s="35" t="s">
        <v>22</v>
      </c>
      <c r="AS2" s="196"/>
      <c r="AT2" s="35" t="s">
        <v>21</v>
      </c>
      <c r="AU2" s="35" t="s">
        <v>22</v>
      </c>
      <c r="AV2" s="187"/>
      <c r="AW2" s="35" t="s">
        <v>21</v>
      </c>
      <c r="AX2" s="35" t="s">
        <v>22</v>
      </c>
      <c r="AY2" s="196"/>
      <c r="AZ2" s="35" t="s">
        <v>21</v>
      </c>
      <c r="BA2" s="35" t="s">
        <v>22</v>
      </c>
      <c r="BB2" s="187"/>
      <c r="BC2" s="35" t="s">
        <v>21</v>
      </c>
      <c r="BD2" s="35" t="s">
        <v>22</v>
      </c>
      <c r="BE2" s="187"/>
      <c r="BF2" s="35" t="s">
        <v>21</v>
      </c>
      <c r="BG2" s="35" t="s">
        <v>22</v>
      </c>
      <c r="BH2" s="187"/>
      <c r="BI2" s="22" t="s">
        <v>21</v>
      </c>
      <c r="BJ2" s="22" t="s">
        <v>21</v>
      </c>
      <c r="BK2" s="22" t="s">
        <v>21</v>
      </c>
      <c r="BL2" s="22" t="s">
        <v>21</v>
      </c>
      <c r="BM2" s="218"/>
      <c r="BN2" s="20" t="s">
        <v>52</v>
      </c>
      <c r="BO2" t="s">
        <v>53</v>
      </c>
    </row>
    <row r="3" spans="1:67" ht="14.25" customHeight="1">
      <c r="A3" s="42" t="s">
        <v>30</v>
      </c>
      <c r="B3" s="69" t="s">
        <v>30</v>
      </c>
      <c r="C3" s="179" t="s">
        <v>301</v>
      </c>
      <c r="D3" s="78" t="s">
        <v>61</v>
      </c>
      <c r="E3" s="78" t="s">
        <v>61</v>
      </c>
      <c r="F3" s="78" t="s">
        <v>302</v>
      </c>
      <c r="G3" s="78" t="s">
        <v>303</v>
      </c>
      <c r="H3" s="78" t="s">
        <v>304</v>
      </c>
      <c r="I3" s="78">
        <v>40</v>
      </c>
      <c r="J3" s="22">
        <v>32537</v>
      </c>
      <c r="K3" s="22"/>
      <c r="L3" s="92">
        <f>K3/J3-1</f>
        <v>-1</v>
      </c>
      <c r="M3" s="22">
        <v>22586</v>
      </c>
      <c r="N3" s="22">
        <v>32655</v>
      </c>
      <c r="O3" s="92">
        <f>N3/M3-1</f>
        <v>0.44580713716461501</v>
      </c>
      <c r="P3" s="61">
        <f>M3+J3</f>
        <v>55123</v>
      </c>
      <c r="Q3" s="61">
        <f>N3+K3</f>
        <v>32655</v>
      </c>
      <c r="R3" s="92">
        <f>Q3/P3-1</f>
        <v>-0.40759755455980301</v>
      </c>
      <c r="S3" s="39">
        <v>37044</v>
      </c>
      <c r="T3" s="39">
        <v>44580</v>
      </c>
      <c r="U3" s="92">
        <f>T3/S3-1</f>
        <v>0.20343375445416301</v>
      </c>
      <c r="V3" s="38">
        <f>S3+P3</f>
        <v>92167</v>
      </c>
      <c r="W3" s="38">
        <f>T3+Q3</f>
        <v>77235</v>
      </c>
      <c r="X3" s="92">
        <f>W3/V3-1</f>
        <v>-0.162010263977346</v>
      </c>
      <c r="Y3" s="39">
        <v>10726</v>
      </c>
      <c r="Z3" s="39">
        <v>10654</v>
      </c>
      <c r="AA3" s="92">
        <f>Z3/Y3-1</f>
        <v>-6.7126608241655497E-3</v>
      </c>
      <c r="AB3" s="39">
        <f>V3+Y3</f>
        <v>102893</v>
      </c>
      <c r="AC3" s="39">
        <f>W3+Z3</f>
        <v>87889</v>
      </c>
      <c r="AD3" s="92">
        <f>AC3/AB3-1</f>
        <v>-0.145821387266383</v>
      </c>
      <c r="AE3" s="101"/>
      <c r="AF3" s="101">
        <v>21384</v>
      </c>
      <c r="AG3" s="92" t="e">
        <f>AF3/AE3-1</f>
        <v>#DIV/0!</v>
      </c>
      <c r="AH3" s="101">
        <f>AE3+AB3</f>
        <v>102893</v>
      </c>
      <c r="AI3" s="101">
        <f>AF3+AC3</f>
        <v>109273</v>
      </c>
      <c r="AJ3" s="92">
        <f>AI3/AH3-1</f>
        <v>6.2006161740837597E-2</v>
      </c>
      <c r="AK3" s="22">
        <v>10055</v>
      </c>
      <c r="AL3" s="22">
        <v>32633</v>
      </c>
      <c r="AM3" s="92">
        <f>AL3/AK3-1</f>
        <v>2.2454500248632501</v>
      </c>
      <c r="AN3" s="101">
        <f>AK3+AH3</f>
        <v>112948</v>
      </c>
      <c r="AO3" s="101">
        <f>AL3+AI3</f>
        <v>141906</v>
      </c>
      <c r="AP3" s="92">
        <f>AO3/AN3-1</f>
        <v>0.25638346849877802</v>
      </c>
      <c r="AQ3" s="22">
        <v>35569</v>
      </c>
      <c r="AR3" s="22">
        <v>26738</v>
      </c>
      <c r="AS3" s="92">
        <f>AR3/AQ3-1</f>
        <v>-0.248277994883185</v>
      </c>
      <c r="AT3" s="22">
        <f>AQ3+AN3</f>
        <v>148517</v>
      </c>
      <c r="AU3" s="22">
        <f>AR3+AO3</f>
        <v>168644</v>
      </c>
      <c r="AV3" s="92">
        <f>AU3/AT3-1</f>
        <v>0.13551983947965601</v>
      </c>
      <c r="AW3" s="22">
        <v>22906</v>
      </c>
      <c r="AX3" s="22"/>
      <c r="AY3" s="92">
        <f>AX3/AW3-1</f>
        <v>-1</v>
      </c>
      <c r="AZ3" s="22">
        <f>AW3+AT3</f>
        <v>171423</v>
      </c>
      <c r="BA3" s="22">
        <f>AX3+AU3</f>
        <v>168644</v>
      </c>
      <c r="BB3" s="92">
        <f>BA3/AZ3-1</f>
        <v>-1.6211360202539899E-2</v>
      </c>
      <c r="BC3" s="101">
        <v>45152</v>
      </c>
      <c r="BD3" s="101">
        <v>10128</v>
      </c>
      <c r="BE3" s="92">
        <f>BD3/BC3-1</f>
        <v>-0.77569099929128305</v>
      </c>
      <c r="BF3" s="101">
        <f>BC3+AZ3</f>
        <v>216575</v>
      </c>
      <c r="BG3" s="101">
        <f>BD3+BA3</f>
        <v>178772</v>
      </c>
      <c r="BH3" s="92">
        <f>BG3/BF3-1</f>
        <v>-0.17454923236754</v>
      </c>
      <c r="BI3" s="39">
        <v>106673</v>
      </c>
      <c r="BJ3" s="28">
        <v>87898</v>
      </c>
      <c r="BK3" s="101">
        <v>71108</v>
      </c>
      <c r="BL3" s="22">
        <v>482254</v>
      </c>
      <c r="BM3" s="29">
        <f>BG3/10000/I3</f>
        <v>0.44692999999999999</v>
      </c>
    </row>
    <row r="4" spans="1:67" ht="14.25" customHeight="1">
      <c r="A4" s="42" t="s">
        <v>30</v>
      </c>
      <c r="B4" s="69" t="s">
        <v>30</v>
      </c>
      <c r="C4" s="179" t="s">
        <v>305</v>
      </c>
      <c r="D4" s="78" t="s">
        <v>61</v>
      </c>
      <c r="E4" s="78" t="s">
        <v>61</v>
      </c>
      <c r="F4" s="78" t="s">
        <v>302</v>
      </c>
      <c r="G4" s="78" t="s">
        <v>303</v>
      </c>
      <c r="H4" s="78" t="s">
        <v>304</v>
      </c>
      <c r="I4" s="78">
        <v>30</v>
      </c>
      <c r="J4" s="22">
        <v>10000</v>
      </c>
      <c r="K4" s="22">
        <v>10000</v>
      </c>
      <c r="L4" s="92">
        <f t="shared" ref="L4:L33" si="0">K4/J4-1</f>
        <v>0</v>
      </c>
      <c r="M4" s="22">
        <v>20000</v>
      </c>
      <c r="N4" s="22">
        <v>10000</v>
      </c>
      <c r="O4" s="92">
        <f t="shared" ref="O4:O33" si="1">N4/M4-1</f>
        <v>-0.5</v>
      </c>
      <c r="P4" s="61">
        <f t="shared" ref="P4:P33" si="2">M4+J4</f>
        <v>30000</v>
      </c>
      <c r="Q4" s="61">
        <f t="shared" ref="Q4:Q33" si="3">N4+K4</f>
        <v>20000</v>
      </c>
      <c r="R4" s="92">
        <f t="shared" ref="R4:R33" si="4">Q4/P4-1</f>
        <v>-0.33333333333333298</v>
      </c>
      <c r="S4" s="39"/>
      <c r="T4" s="39">
        <v>10000</v>
      </c>
      <c r="U4" s="92" t="e">
        <f t="shared" ref="U4:U33" si="5">T4/S4-1</f>
        <v>#DIV/0!</v>
      </c>
      <c r="V4" s="38">
        <f t="shared" ref="V4:V33" si="6">S4+P4</f>
        <v>30000</v>
      </c>
      <c r="W4" s="38">
        <f t="shared" ref="W4:W33" si="7">T4+Q4</f>
        <v>30000</v>
      </c>
      <c r="X4" s="92">
        <f t="shared" ref="X4:X33" si="8">W4/V4-1</f>
        <v>0</v>
      </c>
      <c r="Y4" s="39">
        <v>10000</v>
      </c>
      <c r="Z4" s="39">
        <v>5763</v>
      </c>
      <c r="AA4" s="92">
        <f t="shared" ref="AA4:AA33" si="9">Z4/Y4-1</f>
        <v>-0.42370000000000002</v>
      </c>
      <c r="AB4" s="39">
        <f t="shared" ref="AB4:AB33" si="10">V4+Y4</f>
        <v>40000</v>
      </c>
      <c r="AC4" s="39">
        <f t="shared" ref="AC4:AC33" si="11">W4+Z4</f>
        <v>35763</v>
      </c>
      <c r="AD4" s="92">
        <f t="shared" ref="AD4:AD33" si="12">AC4/AB4-1</f>
        <v>-0.10592500000000001</v>
      </c>
      <c r="AE4" s="101"/>
      <c r="AF4" s="101">
        <v>2159</v>
      </c>
      <c r="AG4" s="92" t="e">
        <f t="shared" ref="AG4:AG33" si="13">AF4/AE4-1</f>
        <v>#DIV/0!</v>
      </c>
      <c r="AH4" s="101">
        <f t="shared" ref="AH4:AH33" si="14">AE4+AB4</f>
        <v>40000</v>
      </c>
      <c r="AI4" s="101">
        <f t="shared" ref="AI4:AI33" si="15">AF4+AC4</f>
        <v>37922</v>
      </c>
      <c r="AJ4" s="92">
        <f t="shared" ref="AJ4:AJ33" si="16">AI4/AH4-1</f>
        <v>-5.19500000000001E-2</v>
      </c>
      <c r="AK4" s="22"/>
      <c r="AL4" s="22"/>
      <c r="AM4" s="92" t="e">
        <f t="shared" ref="AM4:AM33" si="17">AL4/AK4-1</f>
        <v>#DIV/0!</v>
      </c>
      <c r="AN4" s="101">
        <f t="shared" ref="AN4:AN33" si="18">AK4+AH4</f>
        <v>40000</v>
      </c>
      <c r="AO4" s="101">
        <f t="shared" ref="AO4:AO33" si="19">AL4+AI4</f>
        <v>37922</v>
      </c>
      <c r="AP4" s="92">
        <f t="shared" ref="AP4:AP33" si="20">AO4/AN4-1</f>
        <v>-5.19500000000001E-2</v>
      </c>
      <c r="AQ4" s="22">
        <v>30000</v>
      </c>
      <c r="AR4" s="22">
        <v>14886</v>
      </c>
      <c r="AS4" s="92">
        <f t="shared" ref="AS4:AS33" si="21">AR4/AQ4-1</f>
        <v>-0.50380000000000003</v>
      </c>
      <c r="AT4" s="22">
        <f t="shared" ref="AT4:AT33" si="22">AQ4+AN4</f>
        <v>70000</v>
      </c>
      <c r="AU4" s="22">
        <f t="shared" ref="AU4:AU33" si="23">AR4+AO4</f>
        <v>52808</v>
      </c>
      <c r="AV4" s="92">
        <f t="shared" ref="AV4:AV33" si="24">AU4/AT4-1</f>
        <v>-0.24560000000000001</v>
      </c>
      <c r="AW4" s="22">
        <v>20000</v>
      </c>
      <c r="AX4" s="22">
        <v>5654</v>
      </c>
      <c r="AY4" s="92">
        <f t="shared" ref="AY4:AY33" si="25">AX4/AW4-1</f>
        <v>-0.71730000000000005</v>
      </c>
      <c r="AZ4" s="22">
        <f t="shared" ref="AZ4:AZ33" si="26">AW4+AT4</f>
        <v>90000</v>
      </c>
      <c r="BA4" s="22">
        <f t="shared" ref="BA4:BA33" si="27">AX4+AU4</f>
        <v>58462</v>
      </c>
      <c r="BB4" s="92">
        <f t="shared" ref="BB4:BB33" si="28">BA4/AZ4-1</f>
        <v>-0.35042222222222202</v>
      </c>
      <c r="BC4" s="101"/>
      <c r="BD4" s="101"/>
      <c r="BE4" s="92" t="e">
        <f t="shared" ref="BE4:BE35" si="29">BD4/BC4-1</f>
        <v>#DIV/0!</v>
      </c>
      <c r="BF4" s="101">
        <f t="shared" ref="BF4:BF34" si="30">BC4+AZ4</f>
        <v>90000</v>
      </c>
      <c r="BG4" s="101">
        <f t="shared" ref="BG4:BG34" si="31">BD4+BA4</f>
        <v>58462</v>
      </c>
      <c r="BH4" s="92">
        <f t="shared" ref="BH4:BH35" si="32">BG4/BF4-1</f>
        <v>-0.35042222222222202</v>
      </c>
      <c r="BI4" s="39">
        <v>60000</v>
      </c>
      <c r="BJ4" s="28">
        <v>20000</v>
      </c>
      <c r="BK4" s="101"/>
      <c r="BL4" s="22">
        <v>170000</v>
      </c>
      <c r="BM4" s="29">
        <f t="shared" ref="BM4:BM35" si="33">BG4/10000/I4</f>
        <v>0.19487333333333301</v>
      </c>
    </row>
    <row r="5" spans="1:67" ht="14.25" customHeight="1">
      <c r="A5" s="42" t="s">
        <v>30</v>
      </c>
      <c r="B5" s="69" t="s">
        <v>30</v>
      </c>
      <c r="C5" s="79" t="s">
        <v>306</v>
      </c>
      <c r="D5" s="78" t="s">
        <v>61</v>
      </c>
      <c r="E5" s="78" t="s">
        <v>56</v>
      </c>
      <c r="F5" s="78" t="s">
        <v>307</v>
      </c>
      <c r="G5" s="78" t="s">
        <v>307</v>
      </c>
      <c r="H5" s="78" t="s">
        <v>308</v>
      </c>
      <c r="I5" s="78">
        <v>100</v>
      </c>
      <c r="J5" s="22"/>
      <c r="K5" s="22">
        <v>200000</v>
      </c>
      <c r="L5" s="92" t="e">
        <f t="shared" si="0"/>
        <v>#DIV/0!</v>
      </c>
      <c r="M5" s="22"/>
      <c r="N5" s="22"/>
      <c r="O5" s="92" t="e">
        <f t="shared" si="1"/>
        <v>#DIV/0!</v>
      </c>
      <c r="P5" s="61">
        <f t="shared" si="2"/>
        <v>0</v>
      </c>
      <c r="Q5" s="61">
        <f t="shared" si="3"/>
        <v>200000</v>
      </c>
      <c r="R5" s="92" t="e">
        <f t="shared" si="4"/>
        <v>#DIV/0!</v>
      </c>
      <c r="S5" s="39">
        <v>250000</v>
      </c>
      <c r="T5" s="39">
        <f>200000+20000</f>
        <v>220000</v>
      </c>
      <c r="U5" s="92">
        <f t="shared" si="5"/>
        <v>-0.12</v>
      </c>
      <c r="V5" s="38">
        <f t="shared" si="6"/>
        <v>250000</v>
      </c>
      <c r="W5" s="38">
        <f t="shared" si="7"/>
        <v>420000</v>
      </c>
      <c r="X5" s="92">
        <f t="shared" si="8"/>
        <v>0.68</v>
      </c>
      <c r="Y5" s="39"/>
      <c r="Z5" s="39">
        <v>250000</v>
      </c>
      <c r="AA5" s="92" t="e">
        <f t="shared" si="9"/>
        <v>#DIV/0!</v>
      </c>
      <c r="AB5" s="39">
        <f t="shared" si="10"/>
        <v>250000</v>
      </c>
      <c r="AC5" s="39">
        <f t="shared" si="11"/>
        <v>670000</v>
      </c>
      <c r="AD5" s="92">
        <f t="shared" si="12"/>
        <v>1.68</v>
      </c>
      <c r="AE5" s="101"/>
      <c r="AF5" s="101"/>
      <c r="AG5" s="92" t="e">
        <f t="shared" si="13"/>
        <v>#DIV/0!</v>
      </c>
      <c r="AH5" s="101">
        <f t="shared" si="14"/>
        <v>250000</v>
      </c>
      <c r="AI5" s="101">
        <f t="shared" si="15"/>
        <v>670000</v>
      </c>
      <c r="AJ5" s="92">
        <f t="shared" si="16"/>
        <v>1.68</v>
      </c>
      <c r="AK5" s="22"/>
      <c r="AL5" s="22">
        <f>200000+20000</f>
        <v>220000</v>
      </c>
      <c r="AM5" s="92" t="e">
        <f t="shared" si="17"/>
        <v>#DIV/0!</v>
      </c>
      <c r="AN5" s="101">
        <f t="shared" si="18"/>
        <v>250000</v>
      </c>
      <c r="AO5" s="101">
        <f t="shared" si="19"/>
        <v>890000</v>
      </c>
      <c r="AP5" s="92">
        <f t="shared" si="20"/>
        <v>2.56</v>
      </c>
      <c r="AQ5" s="22"/>
      <c r="AR5" s="22"/>
      <c r="AS5" s="92" t="e">
        <f t="shared" si="21"/>
        <v>#DIV/0!</v>
      </c>
      <c r="AT5" s="22">
        <f t="shared" si="22"/>
        <v>250000</v>
      </c>
      <c r="AU5" s="22">
        <f t="shared" si="23"/>
        <v>890000</v>
      </c>
      <c r="AV5" s="92">
        <f t="shared" si="24"/>
        <v>2.56</v>
      </c>
      <c r="AW5" s="22">
        <v>250000</v>
      </c>
      <c r="AX5" s="22"/>
      <c r="AY5" s="92">
        <f t="shared" si="25"/>
        <v>-1</v>
      </c>
      <c r="AZ5" s="22">
        <f t="shared" si="26"/>
        <v>500000</v>
      </c>
      <c r="BA5" s="22">
        <f t="shared" si="27"/>
        <v>890000</v>
      </c>
      <c r="BB5" s="92">
        <f t="shared" si="28"/>
        <v>0.78</v>
      </c>
      <c r="BC5" s="101">
        <v>250000</v>
      </c>
      <c r="BD5" s="101"/>
      <c r="BE5" s="92">
        <f t="shared" si="29"/>
        <v>-1</v>
      </c>
      <c r="BF5" s="101">
        <f t="shared" si="30"/>
        <v>750000</v>
      </c>
      <c r="BG5" s="101">
        <f t="shared" si="31"/>
        <v>890000</v>
      </c>
      <c r="BH5" s="92">
        <f t="shared" si="32"/>
        <v>0.18666666666666701</v>
      </c>
      <c r="BI5" s="39"/>
      <c r="BJ5" s="28">
        <v>250000</v>
      </c>
      <c r="BK5" s="101"/>
      <c r="BL5" s="22">
        <v>1000000</v>
      </c>
      <c r="BM5" s="29">
        <f t="shared" si="33"/>
        <v>0.89</v>
      </c>
      <c r="BO5">
        <v>40000</v>
      </c>
    </row>
    <row r="6" spans="1:67" ht="14.25" customHeight="1">
      <c r="A6" s="42" t="s">
        <v>30</v>
      </c>
      <c r="B6" s="69" t="s">
        <v>30</v>
      </c>
      <c r="C6" s="179" t="s">
        <v>309</v>
      </c>
      <c r="D6" s="78" t="s">
        <v>61</v>
      </c>
      <c r="E6" s="78" t="s">
        <v>61</v>
      </c>
      <c r="F6" s="78" t="s">
        <v>307</v>
      </c>
      <c r="G6" s="78" t="s">
        <v>307</v>
      </c>
      <c r="H6" s="78" t="s">
        <v>308</v>
      </c>
      <c r="I6" s="78">
        <v>30</v>
      </c>
      <c r="J6" s="22">
        <v>12244</v>
      </c>
      <c r="K6" s="22">
        <v>8690</v>
      </c>
      <c r="L6" s="92">
        <f t="shared" si="0"/>
        <v>-0.29026461940542297</v>
      </c>
      <c r="M6" s="22"/>
      <c r="N6" s="22"/>
      <c r="O6" s="92" t="e">
        <f t="shared" si="1"/>
        <v>#DIV/0!</v>
      </c>
      <c r="P6" s="61">
        <f t="shared" si="2"/>
        <v>12244</v>
      </c>
      <c r="Q6" s="61">
        <f t="shared" si="3"/>
        <v>8690</v>
      </c>
      <c r="R6" s="92">
        <f t="shared" si="4"/>
        <v>-0.29026461940542297</v>
      </c>
      <c r="S6" s="39"/>
      <c r="T6" s="39">
        <v>5307</v>
      </c>
      <c r="U6" s="92" t="e">
        <f t="shared" si="5"/>
        <v>#DIV/0!</v>
      </c>
      <c r="V6" s="38">
        <f t="shared" si="6"/>
        <v>12244</v>
      </c>
      <c r="W6" s="38">
        <f t="shared" si="7"/>
        <v>13997</v>
      </c>
      <c r="X6" s="92">
        <f t="shared" si="8"/>
        <v>0.143172165958837</v>
      </c>
      <c r="Y6" s="39"/>
      <c r="Z6" s="39"/>
      <c r="AA6" s="92" t="e">
        <f t="shared" si="9"/>
        <v>#DIV/0!</v>
      </c>
      <c r="AB6" s="39">
        <f t="shared" si="10"/>
        <v>12244</v>
      </c>
      <c r="AC6" s="39">
        <f t="shared" si="11"/>
        <v>13997</v>
      </c>
      <c r="AD6" s="92">
        <f t="shared" si="12"/>
        <v>0.143172165958837</v>
      </c>
      <c r="AE6" s="101">
        <v>5295</v>
      </c>
      <c r="AF6" s="101">
        <v>1701</v>
      </c>
      <c r="AG6" s="92">
        <f t="shared" si="13"/>
        <v>-0.678753541076487</v>
      </c>
      <c r="AH6" s="101">
        <f t="shared" si="14"/>
        <v>17539</v>
      </c>
      <c r="AI6" s="101">
        <f t="shared" si="15"/>
        <v>15698</v>
      </c>
      <c r="AJ6" s="92">
        <f t="shared" si="16"/>
        <v>-0.10496607560294199</v>
      </c>
      <c r="AK6" s="22">
        <v>5337</v>
      </c>
      <c r="AL6" s="22">
        <v>9051</v>
      </c>
      <c r="AM6" s="92">
        <f t="shared" si="17"/>
        <v>0.69589657110736403</v>
      </c>
      <c r="AN6" s="101">
        <f t="shared" si="18"/>
        <v>22876</v>
      </c>
      <c r="AO6" s="101">
        <f t="shared" si="19"/>
        <v>24749</v>
      </c>
      <c r="AP6" s="92">
        <f t="shared" si="20"/>
        <v>8.1876202133239998E-2</v>
      </c>
      <c r="AQ6" s="22"/>
      <c r="AR6" s="22">
        <v>5556</v>
      </c>
      <c r="AS6" s="92" t="e">
        <f t="shared" si="21"/>
        <v>#DIV/0!</v>
      </c>
      <c r="AT6" s="22">
        <f t="shared" si="22"/>
        <v>22876</v>
      </c>
      <c r="AU6" s="22">
        <f t="shared" si="23"/>
        <v>30305</v>
      </c>
      <c r="AV6" s="92">
        <f t="shared" si="24"/>
        <v>0.32475083056478399</v>
      </c>
      <c r="AW6" s="22"/>
      <c r="AX6" s="22"/>
      <c r="AY6" s="92" t="e">
        <f t="shared" si="25"/>
        <v>#DIV/0!</v>
      </c>
      <c r="AZ6" s="22">
        <f t="shared" si="26"/>
        <v>22876</v>
      </c>
      <c r="BA6" s="22">
        <f t="shared" si="27"/>
        <v>30305</v>
      </c>
      <c r="BB6" s="92">
        <f t="shared" si="28"/>
        <v>0.32475083056478399</v>
      </c>
      <c r="BC6" s="101">
        <v>11878</v>
      </c>
      <c r="BD6" s="101"/>
      <c r="BE6" s="92">
        <f t="shared" si="29"/>
        <v>-1</v>
      </c>
      <c r="BF6" s="101">
        <f t="shared" si="30"/>
        <v>34754</v>
      </c>
      <c r="BG6" s="101">
        <f t="shared" si="31"/>
        <v>30305</v>
      </c>
      <c r="BH6" s="92">
        <f t="shared" si="32"/>
        <v>-0.12801404154917401</v>
      </c>
      <c r="BI6" s="39"/>
      <c r="BJ6" s="28">
        <v>6702</v>
      </c>
      <c r="BK6" s="101"/>
      <c r="BL6" s="22">
        <v>41456</v>
      </c>
      <c r="BM6" s="29">
        <f t="shared" si="33"/>
        <v>0.101016666666667</v>
      </c>
    </row>
    <row r="7" spans="1:67" ht="14.25" customHeight="1">
      <c r="A7" s="42" t="s">
        <v>30</v>
      </c>
      <c r="B7" s="69" t="s">
        <v>30</v>
      </c>
      <c r="C7" s="79" t="s">
        <v>310</v>
      </c>
      <c r="D7" s="78" t="s">
        <v>61</v>
      </c>
      <c r="E7" s="78" t="s">
        <v>61</v>
      </c>
      <c r="F7" s="78" t="s">
        <v>311</v>
      </c>
      <c r="G7" s="78" t="s">
        <v>311</v>
      </c>
      <c r="H7" s="78" t="s">
        <v>308</v>
      </c>
      <c r="I7" s="78">
        <v>20</v>
      </c>
      <c r="J7" s="22"/>
      <c r="K7" s="22">
        <v>49260</v>
      </c>
      <c r="L7" s="92" t="e">
        <f t="shared" si="0"/>
        <v>#DIV/0!</v>
      </c>
      <c r="M7" s="22"/>
      <c r="N7" s="22"/>
      <c r="O7" s="92" t="e">
        <f t="shared" si="1"/>
        <v>#DIV/0!</v>
      </c>
      <c r="P7" s="61">
        <f t="shared" si="2"/>
        <v>0</v>
      </c>
      <c r="Q7" s="61">
        <f t="shared" si="3"/>
        <v>49260</v>
      </c>
      <c r="R7" s="92" t="e">
        <f t="shared" si="4"/>
        <v>#DIV/0!</v>
      </c>
      <c r="S7" s="39"/>
      <c r="T7" s="39">
        <v>16510</v>
      </c>
      <c r="U7" s="92" t="e">
        <f t="shared" si="5"/>
        <v>#DIV/0!</v>
      </c>
      <c r="V7" s="38">
        <f t="shared" si="6"/>
        <v>0</v>
      </c>
      <c r="W7" s="38">
        <f t="shared" si="7"/>
        <v>65770</v>
      </c>
      <c r="X7" s="92" t="e">
        <f t="shared" si="8"/>
        <v>#DIV/0!</v>
      </c>
      <c r="Y7" s="39">
        <v>12370</v>
      </c>
      <c r="Z7" s="39"/>
      <c r="AA7" s="92">
        <f t="shared" si="9"/>
        <v>-1</v>
      </c>
      <c r="AB7" s="39">
        <f t="shared" si="10"/>
        <v>12370</v>
      </c>
      <c r="AC7" s="39">
        <f t="shared" si="11"/>
        <v>65770</v>
      </c>
      <c r="AD7" s="92">
        <f t="shared" si="12"/>
        <v>4.3168957154405803</v>
      </c>
      <c r="AE7" s="101">
        <v>4996</v>
      </c>
      <c r="AF7" s="101">
        <v>16510</v>
      </c>
      <c r="AG7" s="92">
        <f t="shared" si="13"/>
        <v>2.3046437149719798</v>
      </c>
      <c r="AH7" s="101">
        <f t="shared" si="14"/>
        <v>17366</v>
      </c>
      <c r="AI7" s="101">
        <f t="shared" si="15"/>
        <v>82280</v>
      </c>
      <c r="AJ7" s="92">
        <f t="shared" si="16"/>
        <v>3.73799378095128</v>
      </c>
      <c r="AK7" s="22"/>
      <c r="AL7" s="22"/>
      <c r="AM7" s="92" t="e">
        <f t="shared" si="17"/>
        <v>#DIV/0!</v>
      </c>
      <c r="AN7" s="101">
        <f t="shared" si="18"/>
        <v>17366</v>
      </c>
      <c r="AO7" s="101">
        <f t="shared" si="19"/>
        <v>82280</v>
      </c>
      <c r="AP7" s="92">
        <f t="shared" si="20"/>
        <v>3.73799378095128</v>
      </c>
      <c r="AQ7" s="22"/>
      <c r="AR7" s="22"/>
      <c r="AS7" s="92" t="e">
        <f t="shared" si="21"/>
        <v>#DIV/0!</v>
      </c>
      <c r="AT7" s="22">
        <f t="shared" si="22"/>
        <v>17366</v>
      </c>
      <c r="AU7" s="22">
        <f t="shared" si="23"/>
        <v>82280</v>
      </c>
      <c r="AV7" s="92">
        <f t="shared" si="24"/>
        <v>3.73799378095128</v>
      </c>
      <c r="AW7" s="22"/>
      <c r="AX7" s="22"/>
      <c r="AY7" s="92" t="e">
        <f t="shared" si="25"/>
        <v>#DIV/0!</v>
      </c>
      <c r="AZ7" s="22">
        <f t="shared" si="26"/>
        <v>17366</v>
      </c>
      <c r="BA7" s="22">
        <f t="shared" si="27"/>
        <v>82280</v>
      </c>
      <c r="BB7" s="92">
        <f t="shared" si="28"/>
        <v>3.73799378095128</v>
      </c>
      <c r="BC7" s="101"/>
      <c r="BD7" s="101">
        <v>9829</v>
      </c>
      <c r="BE7" s="92" t="e">
        <f t="shared" si="29"/>
        <v>#DIV/0!</v>
      </c>
      <c r="BF7" s="101">
        <f t="shared" si="30"/>
        <v>17366</v>
      </c>
      <c r="BG7" s="101">
        <f t="shared" si="31"/>
        <v>92109</v>
      </c>
      <c r="BH7" s="92">
        <f t="shared" si="32"/>
        <v>4.3039847978809203</v>
      </c>
      <c r="BI7" s="39">
        <v>26066</v>
      </c>
      <c r="BJ7" s="28">
        <v>10065</v>
      </c>
      <c r="BK7" s="101"/>
      <c r="BL7" s="22">
        <v>53497</v>
      </c>
      <c r="BM7" s="29">
        <f t="shared" si="33"/>
        <v>0.46054499999999998</v>
      </c>
    </row>
    <row r="8" spans="1:67" ht="14.25" customHeight="1">
      <c r="A8" s="42" t="s">
        <v>30</v>
      </c>
      <c r="B8" s="69" t="s">
        <v>30</v>
      </c>
      <c r="C8" s="79" t="s">
        <v>312</v>
      </c>
      <c r="D8" s="78" t="s">
        <v>61</v>
      </c>
      <c r="E8" s="78" t="s">
        <v>56</v>
      </c>
      <c r="F8" s="78" t="s">
        <v>302</v>
      </c>
      <c r="G8" s="78" t="s">
        <v>313</v>
      </c>
      <c r="H8" s="78" t="s">
        <v>314</v>
      </c>
      <c r="I8" s="78">
        <v>40</v>
      </c>
      <c r="J8" s="22">
        <v>20000</v>
      </c>
      <c r="K8" s="22">
        <f>30000+30000</f>
        <v>60000</v>
      </c>
      <c r="L8" s="92">
        <f t="shared" si="0"/>
        <v>2</v>
      </c>
      <c r="M8" s="22">
        <v>30000</v>
      </c>
      <c r="N8" s="22">
        <v>60000</v>
      </c>
      <c r="O8" s="92">
        <f t="shared" si="1"/>
        <v>1</v>
      </c>
      <c r="P8" s="61">
        <f t="shared" si="2"/>
        <v>50000</v>
      </c>
      <c r="Q8" s="61">
        <f t="shared" si="3"/>
        <v>120000</v>
      </c>
      <c r="R8" s="92">
        <f t="shared" si="4"/>
        <v>1.4</v>
      </c>
      <c r="S8" s="39"/>
      <c r="T8" s="39">
        <f>11533+80000</f>
        <v>91533</v>
      </c>
      <c r="U8" s="92" t="e">
        <f t="shared" si="5"/>
        <v>#DIV/0!</v>
      </c>
      <c r="V8" s="38">
        <f t="shared" si="6"/>
        <v>50000</v>
      </c>
      <c r="W8" s="38">
        <f t="shared" si="7"/>
        <v>211533</v>
      </c>
      <c r="X8" s="92">
        <f t="shared" si="8"/>
        <v>3.2306599999999999</v>
      </c>
      <c r="Y8" s="39">
        <v>30000</v>
      </c>
      <c r="Z8" s="39">
        <v>40000</v>
      </c>
      <c r="AA8" s="92">
        <f t="shared" si="9"/>
        <v>0.33333333333333298</v>
      </c>
      <c r="AB8" s="39">
        <f t="shared" si="10"/>
        <v>80000</v>
      </c>
      <c r="AC8" s="39">
        <f t="shared" si="11"/>
        <v>251533</v>
      </c>
      <c r="AD8" s="92">
        <f t="shared" si="12"/>
        <v>2.1441625000000002</v>
      </c>
      <c r="AE8" s="101">
        <v>20000</v>
      </c>
      <c r="AF8" s="101">
        <v>40000</v>
      </c>
      <c r="AG8" s="92">
        <f t="shared" si="13"/>
        <v>1</v>
      </c>
      <c r="AH8" s="101">
        <f t="shared" si="14"/>
        <v>100000</v>
      </c>
      <c r="AI8" s="101">
        <f t="shared" si="15"/>
        <v>291533</v>
      </c>
      <c r="AJ8" s="92">
        <f t="shared" si="16"/>
        <v>1.91533</v>
      </c>
      <c r="AK8" s="22"/>
      <c r="AL8" s="22">
        <v>50000</v>
      </c>
      <c r="AM8" s="92" t="e">
        <f t="shared" si="17"/>
        <v>#DIV/0!</v>
      </c>
      <c r="AN8" s="101">
        <f t="shared" si="18"/>
        <v>100000</v>
      </c>
      <c r="AO8" s="101">
        <f t="shared" si="19"/>
        <v>341533</v>
      </c>
      <c r="AP8" s="92">
        <f t="shared" si="20"/>
        <v>2.41533</v>
      </c>
      <c r="AQ8" s="22"/>
      <c r="AR8" s="22">
        <v>20000</v>
      </c>
      <c r="AS8" s="92" t="e">
        <f t="shared" si="21"/>
        <v>#DIV/0!</v>
      </c>
      <c r="AT8" s="22">
        <f t="shared" si="22"/>
        <v>100000</v>
      </c>
      <c r="AU8" s="22">
        <f t="shared" si="23"/>
        <v>361533</v>
      </c>
      <c r="AV8" s="92">
        <f t="shared" si="24"/>
        <v>2.6153300000000002</v>
      </c>
      <c r="AW8" s="22"/>
      <c r="AX8" s="22">
        <v>30000</v>
      </c>
      <c r="AY8" s="92" t="e">
        <f t="shared" si="25"/>
        <v>#DIV/0!</v>
      </c>
      <c r="AZ8" s="22">
        <f t="shared" si="26"/>
        <v>100000</v>
      </c>
      <c r="BA8" s="22">
        <f t="shared" si="27"/>
        <v>391533</v>
      </c>
      <c r="BB8" s="92">
        <f t="shared" si="28"/>
        <v>2.91533</v>
      </c>
      <c r="BC8" s="101">
        <v>91900</v>
      </c>
      <c r="BD8" s="101">
        <f>30000+20000</f>
        <v>50000</v>
      </c>
      <c r="BE8" s="92">
        <f t="shared" si="29"/>
        <v>-0.45593035908596302</v>
      </c>
      <c r="BF8" s="101">
        <f t="shared" si="30"/>
        <v>191900</v>
      </c>
      <c r="BG8" s="101">
        <f t="shared" si="31"/>
        <v>441533</v>
      </c>
      <c r="BH8" s="92">
        <f t="shared" si="32"/>
        <v>1.3008494007295499</v>
      </c>
      <c r="BI8" s="39">
        <v>70000</v>
      </c>
      <c r="BJ8" s="28">
        <v>110000</v>
      </c>
      <c r="BK8" s="101">
        <v>120000</v>
      </c>
      <c r="BL8" s="22">
        <v>491900</v>
      </c>
      <c r="BM8" s="29">
        <f t="shared" si="33"/>
        <v>1.1038325</v>
      </c>
    </row>
    <row r="9" spans="1:67" ht="14.25" customHeight="1">
      <c r="A9" s="42" t="s">
        <v>30</v>
      </c>
      <c r="B9" s="69" t="s">
        <v>30</v>
      </c>
      <c r="C9" s="79" t="s">
        <v>315</v>
      </c>
      <c r="D9" s="78" t="s">
        <v>61</v>
      </c>
      <c r="E9" s="78" t="s">
        <v>61</v>
      </c>
      <c r="F9" s="78" t="s">
        <v>307</v>
      </c>
      <c r="G9" s="78" t="s">
        <v>307</v>
      </c>
      <c r="H9" s="78" t="s">
        <v>314</v>
      </c>
      <c r="I9" s="78">
        <v>10</v>
      </c>
      <c r="J9" s="22">
        <v>10000</v>
      </c>
      <c r="K9" s="22"/>
      <c r="L9" s="92">
        <f t="shared" si="0"/>
        <v>-1</v>
      </c>
      <c r="M9" s="22"/>
      <c r="N9" s="22">
        <v>12145</v>
      </c>
      <c r="O9" s="92" t="e">
        <f t="shared" si="1"/>
        <v>#DIV/0!</v>
      </c>
      <c r="P9" s="61">
        <f t="shared" si="2"/>
        <v>10000</v>
      </c>
      <c r="Q9" s="61">
        <f t="shared" si="3"/>
        <v>12145</v>
      </c>
      <c r="R9" s="92">
        <f t="shared" si="4"/>
        <v>0.2145</v>
      </c>
      <c r="S9" s="39">
        <v>20000</v>
      </c>
      <c r="T9" s="39">
        <v>15398</v>
      </c>
      <c r="U9" s="92">
        <f t="shared" si="5"/>
        <v>-0.2301</v>
      </c>
      <c r="V9" s="38">
        <f t="shared" si="6"/>
        <v>30000</v>
      </c>
      <c r="W9" s="38">
        <f t="shared" si="7"/>
        <v>27543</v>
      </c>
      <c r="X9" s="92">
        <f t="shared" si="8"/>
        <v>-8.1900000000000001E-2</v>
      </c>
      <c r="Y9" s="39"/>
      <c r="Z9" s="39"/>
      <c r="AA9" s="92" t="e">
        <f t="shared" si="9"/>
        <v>#DIV/0!</v>
      </c>
      <c r="AB9" s="39">
        <f t="shared" si="10"/>
        <v>30000</v>
      </c>
      <c r="AC9" s="39">
        <f t="shared" si="11"/>
        <v>27543</v>
      </c>
      <c r="AD9" s="92">
        <f t="shared" si="12"/>
        <v>-8.1900000000000001E-2</v>
      </c>
      <c r="AE9" s="101">
        <v>10000</v>
      </c>
      <c r="AF9" s="101">
        <v>6777</v>
      </c>
      <c r="AG9" s="92">
        <f t="shared" si="13"/>
        <v>-0.32229999999999998</v>
      </c>
      <c r="AH9" s="101">
        <f t="shared" si="14"/>
        <v>40000</v>
      </c>
      <c r="AI9" s="101">
        <f t="shared" si="15"/>
        <v>34320</v>
      </c>
      <c r="AJ9" s="92">
        <f t="shared" si="16"/>
        <v>-0.14199999999999999</v>
      </c>
      <c r="AK9" s="22"/>
      <c r="AL9" s="22"/>
      <c r="AM9" s="92" t="e">
        <f t="shared" si="17"/>
        <v>#DIV/0!</v>
      </c>
      <c r="AN9" s="101">
        <f t="shared" si="18"/>
        <v>40000</v>
      </c>
      <c r="AO9" s="101">
        <f t="shared" si="19"/>
        <v>34320</v>
      </c>
      <c r="AP9" s="92">
        <f t="shared" si="20"/>
        <v>-0.14199999999999999</v>
      </c>
      <c r="AQ9" s="22"/>
      <c r="AR9" s="22">
        <v>4441</v>
      </c>
      <c r="AS9" s="92" t="e">
        <f t="shared" si="21"/>
        <v>#DIV/0!</v>
      </c>
      <c r="AT9" s="22">
        <f t="shared" si="22"/>
        <v>40000</v>
      </c>
      <c r="AU9" s="22">
        <f t="shared" si="23"/>
        <v>38761</v>
      </c>
      <c r="AV9" s="92">
        <f t="shared" si="24"/>
        <v>-3.0974999999999999E-2</v>
      </c>
      <c r="AW9" s="22"/>
      <c r="AX9" s="22">
        <v>2259</v>
      </c>
      <c r="AY9" s="92" t="e">
        <f t="shared" si="25"/>
        <v>#DIV/0!</v>
      </c>
      <c r="AZ9" s="22">
        <f t="shared" si="26"/>
        <v>40000</v>
      </c>
      <c r="BA9" s="22">
        <f t="shared" si="27"/>
        <v>41020</v>
      </c>
      <c r="BB9" s="92">
        <f t="shared" si="28"/>
        <v>2.5500000000000099E-2</v>
      </c>
      <c r="BC9" s="101"/>
      <c r="BD9" s="101"/>
      <c r="BE9" s="92" t="e">
        <f t="shared" si="29"/>
        <v>#DIV/0!</v>
      </c>
      <c r="BF9" s="101">
        <f t="shared" si="30"/>
        <v>40000</v>
      </c>
      <c r="BG9" s="101">
        <f t="shared" si="31"/>
        <v>41020</v>
      </c>
      <c r="BH9" s="92">
        <f t="shared" si="32"/>
        <v>2.5500000000000099E-2</v>
      </c>
      <c r="BI9" s="39"/>
      <c r="BJ9" s="28"/>
      <c r="BK9" s="101"/>
      <c r="BL9" s="22">
        <v>40000</v>
      </c>
      <c r="BM9" s="29">
        <f t="shared" si="33"/>
        <v>0.41020000000000001</v>
      </c>
    </row>
    <row r="10" spans="1:67" ht="14.25" customHeight="1">
      <c r="A10" s="42" t="s">
        <v>30</v>
      </c>
      <c r="B10" s="69" t="s">
        <v>30</v>
      </c>
      <c r="C10" s="79" t="s">
        <v>316</v>
      </c>
      <c r="D10" s="78" t="s">
        <v>56</v>
      </c>
      <c r="E10" s="78" t="s">
        <v>56</v>
      </c>
      <c r="F10" s="78" t="s">
        <v>302</v>
      </c>
      <c r="G10" s="78" t="s">
        <v>317</v>
      </c>
      <c r="H10" s="78" t="s">
        <v>314</v>
      </c>
      <c r="I10" s="78">
        <v>180</v>
      </c>
      <c r="J10" s="22"/>
      <c r="K10" s="22">
        <v>179439</v>
      </c>
      <c r="L10" s="92" t="e">
        <f t="shared" si="0"/>
        <v>#DIV/0!</v>
      </c>
      <c r="M10" s="22">
        <v>246787</v>
      </c>
      <c r="N10" s="22"/>
      <c r="O10" s="92">
        <f t="shared" si="1"/>
        <v>-1</v>
      </c>
      <c r="P10" s="61">
        <f t="shared" si="2"/>
        <v>246787</v>
      </c>
      <c r="Q10" s="61">
        <f t="shared" si="3"/>
        <v>179439</v>
      </c>
      <c r="R10" s="92">
        <f t="shared" si="4"/>
        <v>-0.272899301827082</v>
      </c>
      <c r="S10" s="39"/>
      <c r="T10" s="39">
        <v>185346</v>
      </c>
      <c r="U10" s="92" t="e">
        <f t="shared" si="5"/>
        <v>#DIV/0!</v>
      </c>
      <c r="V10" s="38">
        <f t="shared" si="6"/>
        <v>246787</v>
      </c>
      <c r="W10" s="38">
        <f t="shared" si="7"/>
        <v>364785</v>
      </c>
      <c r="X10" s="92">
        <f t="shared" si="8"/>
        <v>0.47813701694173499</v>
      </c>
      <c r="Y10" s="39">
        <v>188927</v>
      </c>
      <c r="Z10" s="39">
        <v>428097</v>
      </c>
      <c r="AA10" s="92">
        <f t="shared" si="9"/>
        <v>1.26593869589842</v>
      </c>
      <c r="AB10" s="39">
        <f t="shared" si="10"/>
        <v>435714</v>
      </c>
      <c r="AC10" s="39">
        <f t="shared" si="11"/>
        <v>792882</v>
      </c>
      <c r="AD10" s="92">
        <f t="shared" si="12"/>
        <v>0.81973037359368806</v>
      </c>
      <c r="AE10" s="101">
        <v>97716</v>
      </c>
      <c r="AF10" s="101">
        <v>312244</v>
      </c>
      <c r="AG10" s="92">
        <f t="shared" si="13"/>
        <v>2.1954234721028301</v>
      </c>
      <c r="AH10" s="101">
        <f t="shared" si="14"/>
        <v>533430</v>
      </c>
      <c r="AI10" s="101">
        <f t="shared" si="15"/>
        <v>1105126</v>
      </c>
      <c r="AJ10" s="92">
        <f t="shared" si="16"/>
        <v>1.0717357478956899</v>
      </c>
      <c r="AK10" s="22">
        <v>80416</v>
      </c>
      <c r="AL10" s="22">
        <f>146030+50000</f>
        <v>196030</v>
      </c>
      <c r="AM10" s="92">
        <f t="shared" si="17"/>
        <v>1.4376989653800201</v>
      </c>
      <c r="AN10" s="101">
        <f t="shared" si="18"/>
        <v>613846</v>
      </c>
      <c r="AO10" s="101">
        <f t="shared" si="19"/>
        <v>1301156</v>
      </c>
      <c r="AP10" s="92">
        <f t="shared" si="20"/>
        <v>1.11967822548326</v>
      </c>
      <c r="AQ10" s="22">
        <v>106060</v>
      </c>
      <c r="AR10" s="22">
        <v>162621</v>
      </c>
      <c r="AS10" s="92">
        <f t="shared" si="21"/>
        <v>0.53329247595700502</v>
      </c>
      <c r="AT10" s="22">
        <f t="shared" si="22"/>
        <v>719906</v>
      </c>
      <c r="AU10" s="22">
        <f t="shared" si="23"/>
        <v>1463777</v>
      </c>
      <c r="AV10" s="92">
        <f t="shared" si="24"/>
        <v>1.03328906829503</v>
      </c>
      <c r="AW10" s="22">
        <v>101699</v>
      </c>
      <c r="AX10" s="22">
        <v>147977</v>
      </c>
      <c r="AY10" s="92">
        <f t="shared" si="25"/>
        <v>0.45504872220965797</v>
      </c>
      <c r="AZ10" s="22">
        <f t="shared" si="26"/>
        <v>821605</v>
      </c>
      <c r="BA10" s="22">
        <f t="shared" si="27"/>
        <v>1611754</v>
      </c>
      <c r="BB10" s="92">
        <f t="shared" si="28"/>
        <v>0.961713962305487</v>
      </c>
      <c r="BC10" s="101">
        <v>457030</v>
      </c>
      <c r="BD10" s="101">
        <v>78519</v>
      </c>
      <c r="BE10" s="92">
        <f t="shared" si="29"/>
        <v>-0.82819727370194496</v>
      </c>
      <c r="BF10" s="101">
        <f t="shared" si="30"/>
        <v>1278635</v>
      </c>
      <c r="BG10" s="101">
        <f t="shared" si="31"/>
        <v>1690273</v>
      </c>
      <c r="BH10" s="92">
        <f t="shared" si="32"/>
        <v>0.32193550153092998</v>
      </c>
      <c r="BI10" s="39"/>
      <c r="BJ10" s="28">
        <v>389940</v>
      </c>
      <c r="BK10" s="101">
        <v>350334</v>
      </c>
      <c r="BL10" s="22">
        <v>2018909</v>
      </c>
      <c r="BM10" s="29">
        <f t="shared" si="33"/>
        <v>0.93904055555555599</v>
      </c>
      <c r="BO10">
        <v>50000</v>
      </c>
    </row>
    <row r="11" spans="1:67" ht="14.25" customHeight="1">
      <c r="A11" s="42" t="s">
        <v>30</v>
      </c>
      <c r="B11" s="69" t="s">
        <v>30</v>
      </c>
      <c r="C11" s="79" t="s">
        <v>318</v>
      </c>
      <c r="D11" s="78" t="s">
        <v>84</v>
      </c>
      <c r="E11" s="78" t="s">
        <v>84</v>
      </c>
      <c r="F11" s="78" t="s">
        <v>302</v>
      </c>
      <c r="G11" s="78" t="s">
        <v>317</v>
      </c>
      <c r="H11" s="78" t="s">
        <v>314</v>
      </c>
      <c r="I11" s="78">
        <v>60</v>
      </c>
      <c r="J11" s="22">
        <v>38390</v>
      </c>
      <c r="K11" s="22">
        <f>8920+-4500</f>
        <v>4420</v>
      </c>
      <c r="L11" s="92">
        <f t="shared" si="0"/>
        <v>-0.88486585048189603</v>
      </c>
      <c r="M11" s="22">
        <v>30026</v>
      </c>
      <c r="N11" s="22">
        <f>9790+23840</f>
        <v>33630</v>
      </c>
      <c r="O11" s="92">
        <f t="shared" si="1"/>
        <v>0.120029307933125</v>
      </c>
      <c r="P11" s="61">
        <f t="shared" si="2"/>
        <v>68416</v>
      </c>
      <c r="Q11" s="61">
        <f t="shared" si="3"/>
        <v>38050</v>
      </c>
      <c r="R11" s="92">
        <f t="shared" si="4"/>
        <v>-0.44384354536950399</v>
      </c>
      <c r="S11" s="39">
        <v>43778</v>
      </c>
      <c r="T11" s="39">
        <v>82867</v>
      </c>
      <c r="U11" s="92">
        <f t="shared" si="5"/>
        <v>0.89289140664260602</v>
      </c>
      <c r="V11" s="38">
        <f t="shared" si="6"/>
        <v>112194</v>
      </c>
      <c r="W11" s="38">
        <f t="shared" si="7"/>
        <v>120917</v>
      </c>
      <c r="X11" s="92">
        <f t="shared" si="8"/>
        <v>7.7749255753427199E-2</v>
      </c>
      <c r="Y11" s="39">
        <v>22130</v>
      </c>
      <c r="Z11" s="39">
        <v>41129.25</v>
      </c>
      <c r="AA11" s="92">
        <f t="shared" si="9"/>
        <v>0.85852914595571606</v>
      </c>
      <c r="AB11" s="39">
        <f t="shared" si="10"/>
        <v>134324</v>
      </c>
      <c r="AC11" s="39">
        <f t="shared" si="11"/>
        <v>162046.25</v>
      </c>
      <c r="AD11" s="92">
        <f t="shared" si="12"/>
        <v>0.206383445996248</v>
      </c>
      <c r="AE11" s="101">
        <v>67490</v>
      </c>
      <c r="AF11" s="101">
        <v>28685.200000000001</v>
      </c>
      <c r="AG11" s="92">
        <f t="shared" si="13"/>
        <v>-0.57497110683064201</v>
      </c>
      <c r="AH11" s="101">
        <f t="shared" si="14"/>
        <v>201814</v>
      </c>
      <c r="AI11" s="101">
        <f t="shared" si="15"/>
        <v>190731.45</v>
      </c>
      <c r="AJ11" s="92">
        <f t="shared" si="16"/>
        <v>-5.4914673907657502E-2</v>
      </c>
      <c r="AK11" s="22">
        <v>45250</v>
      </c>
      <c r="AL11" s="22">
        <f>25600+40505.7</f>
        <v>66105.7</v>
      </c>
      <c r="AM11" s="92">
        <f t="shared" si="17"/>
        <v>0.46089944751381201</v>
      </c>
      <c r="AN11" s="101">
        <f t="shared" si="18"/>
        <v>247064</v>
      </c>
      <c r="AO11" s="101">
        <f t="shared" si="19"/>
        <v>256837.15</v>
      </c>
      <c r="AP11" s="92">
        <f t="shared" si="20"/>
        <v>3.9557159278567497E-2</v>
      </c>
      <c r="AQ11" s="22">
        <v>19180</v>
      </c>
      <c r="AR11" s="22">
        <f>34206+13421</f>
        <v>47627</v>
      </c>
      <c r="AS11" s="92">
        <f t="shared" si="21"/>
        <v>1.4831595411887399</v>
      </c>
      <c r="AT11" s="22">
        <f t="shared" si="22"/>
        <v>266244</v>
      </c>
      <c r="AU11" s="22">
        <f t="shared" si="23"/>
        <v>304464.15000000002</v>
      </c>
      <c r="AV11" s="92">
        <f t="shared" si="24"/>
        <v>0.14355309415423401</v>
      </c>
      <c r="AW11" s="22">
        <v>53110</v>
      </c>
      <c r="AX11" s="22">
        <f>16880+2625</f>
        <v>19505</v>
      </c>
      <c r="AY11" s="92">
        <f t="shared" si="25"/>
        <v>-0.63274336283185795</v>
      </c>
      <c r="AZ11" s="22">
        <f t="shared" si="26"/>
        <v>319354</v>
      </c>
      <c r="BA11" s="22">
        <f t="shared" si="27"/>
        <v>323969.15000000002</v>
      </c>
      <c r="BB11" s="92">
        <f t="shared" si="28"/>
        <v>1.44515177514608E-2</v>
      </c>
      <c r="BC11" s="101">
        <v>49884</v>
      </c>
      <c r="BD11" s="101">
        <v>41886</v>
      </c>
      <c r="BE11" s="92">
        <f t="shared" si="29"/>
        <v>-0.16033197017079601</v>
      </c>
      <c r="BF11" s="101">
        <f t="shared" si="30"/>
        <v>369238</v>
      </c>
      <c r="BG11" s="101">
        <f t="shared" si="31"/>
        <v>365855.15</v>
      </c>
      <c r="BH11" s="92">
        <f t="shared" si="32"/>
        <v>-9.1617059999240507E-3</v>
      </c>
      <c r="BI11" s="39">
        <v>70019</v>
      </c>
      <c r="BJ11" s="28">
        <v>21875</v>
      </c>
      <c r="BK11" s="101">
        <v>76406</v>
      </c>
      <c r="BL11" s="22">
        <v>537538</v>
      </c>
      <c r="BM11" s="29">
        <f t="shared" si="33"/>
        <v>0.60975858333333299</v>
      </c>
    </row>
    <row r="12" spans="1:67" ht="14.25" customHeight="1">
      <c r="A12" s="42" t="s">
        <v>30</v>
      </c>
      <c r="B12" s="69" t="s">
        <v>30</v>
      </c>
      <c r="C12" s="98" t="s">
        <v>319</v>
      </c>
      <c r="D12" s="78" t="s">
        <v>84</v>
      </c>
      <c r="E12" s="78" t="s">
        <v>84</v>
      </c>
      <c r="F12" s="78" t="s">
        <v>302</v>
      </c>
      <c r="G12" s="78" t="s">
        <v>317</v>
      </c>
      <c r="H12" s="78" t="s">
        <v>314</v>
      </c>
      <c r="I12" s="78"/>
      <c r="J12" s="22"/>
      <c r="K12" s="22"/>
      <c r="L12" s="92" t="e">
        <f t="shared" si="0"/>
        <v>#DIV/0!</v>
      </c>
      <c r="M12" s="22">
        <v>-4100</v>
      </c>
      <c r="N12" s="22"/>
      <c r="O12" s="92">
        <f t="shared" si="1"/>
        <v>-1</v>
      </c>
      <c r="P12" s="61">
        <f t="shared" si="2"/>
        <v>-4100</v>
      </c>
      <c r="Q12" s="61">
        <f t="shared" si="3"/>
        <v>0</v>
      </c>
      <c r="R12" s="92">
        <f t="shared" si="4"/>
        <v>-1</v>
      </c>
      <c r="S12" s="39"/>
      <c r="T12" s="39"/>
      <c r="U12" s="92" t="e">
        <f t="shared" si="5"/>
        <v>#DIV/0!</v>
      </c>
      <c r="V12" s="38">
        <f t="shared" si="6"/>
        <v>-4100</v>
      </c>
      <c r="W12" s="38">
        <f t="shared" si="7"/>
        <v>0</v>
      </c>
      <c r="X12" s="92">
        <f t="shared" si="8"/>
        <v>-1</v>
      </c>
      <c r="Y12" s="39"/>
      <c r="Z12" s="39"/>
      <c r="AA12" s="92" t="e">
        <f t="shared" si="9"/>
        <v>#DIV/0!</v>
      </c>
      <c r="AB12" s="39">
        <f t="shared" si="10"/>
        <v>-4100</v>
      </c>
      <c r="AC12" s="39">
        <f t="shared" si="11"/>
        <v>0</v>
      </c>
      <c r="AD12" s="92">
        <f t="shared" si="12"/>
        <v>-1</v>
      </c>
      <c r="AE12" s="101"/>
      <c r="AF12" s="101"/>
      <c r="AG12" s="92" t="e">
        <f t="shared" si="13"/>
        <v>#DIV/0!</v>
      </c>
      <c r="AH12" s="101">
        <f t="shared" si="14"/>
        <v>-4100</v>
      </c>
      <c r="AI12" s="101">
        <f t="shared" si="15"/>
        <v>0</v>
      </c>
      <c r="AJ12" s="92">
        <f t="shared" si="16"/>
        <v>-1</v>
      </c>
      <c r="AK12" s="22"/>
      <c r="AL12" s="22"/>
      <c r="AM12" s="92" t="e">
        <f t="shared" si="17"/>
        <v>#DIV/0!</v>
      </c>
      <c r="AN12" s="101">
        <f t="shared" si="18"/>
        <v>-4100</v>
      </c>
      <c r="AO12" s="101">
        <f t="shared" si="19"/>
        <v>0</v>
      </c>
      <c r="AP12" s="92">
        <f t="shared" si="20"/>
        <v>-1</v>
      </c>
      <c r="AQ12" s="22"/>
      <c r="AR12" s="22"/>
      <c r="AS12" s="92" t="e">
        <f t="shared" si="21"/>
        <v>#DIV/0!</v>
      </c>
      <c r="AT12" s="22">
        <f t="shared" si="22"/>
        <v>-4100</v>
      </c>
      <c r="AU12" s="22">
        <f t="shared" si="23"/>
        <v>0</v>
      </c>
      <c r="AV12" s="92">
        <f t="shared" si="24"/>
        <v>-1</v>
      </c>
      <c r="AW12" s="22"/>
      <c r="AX12" s="22"/>
      <c r="AY12" s="92" t="e">
        <f t="shared" si="25"/>
        <v>#DIV/0!</v>
      </c>
      <c r="AZ12" s="22">
        <f t="shared" si="26"/>
        <v>-4100</v>
      </c>
      <c r="BA12" s="22">
        <f t="shared" si="27"/>
        <v>0</v>
      </c>
      <c r="BB12" s="92">
        <f t="shared" si="28"/>
        <v>-1</v>
      </c>
      <c r="BC12" s="101"/>
      <c r="BD12" s="101"/>
      <c r="BE12" s="92" t="e">
        <f t="shared" si="29"/>
        <v>#DIV/0!</v>
      </c>
      <c r="BF12" s="101">
        <f t="shared" si="30"/>
        <v>-4100</v>
      </c>
      <c r="BG12" s="101">
        <f t="shared" si="31"/>
        <v>0</v>
      </c>
      <c r="BH12" s="92">
        <f t="shared" si="32"/>
        <v>-1</v>
      </c>
      <c r="BI12" s="39"/>
      <c r="BJ12" s="28"/>
      <c r="BK12" s="101"/>
      <c r="BL12" s="22">
        <v>-4100</v>
      </c>
      <c r="BM12" s="29" t="e">
        <f t="shared" si="33"/>
        <v>#DIV/0!</v>
      </c>
    </row>
    <row r="13" spans="1:67" ht="14.25" customHeight="1">
      <c r="A13" s="42" t="s">
        <v>30</v>
      </c>
      <c r="B13" s="69" t="s">
        <v>30</v>
      </c>
      <c r="C13" s="79" t="s">
        <v>320</v>
      </c>
      <c r="D13" s="78" t="s">
        <v>65</v>
      </c>
      <c r="E13" s="78" t="s">
        <v>65</v>
      </c>
      <c r="F13" s="78" t="s">
        <v>321</v>
      </c>
      <c r="G13" s="78" t="s">
        <v>321</v>
      </c>
      <c r="H13" s="78" t="s">
        <v>308</v>
      </c>
      <c r="I13" s="78">
        <v>80</v>
      </c>
      <c r="J13" s="22">
        <v>80326</v>
      </c>
      <c r="K13" s="22">
        <v>23324</v>
      </c>
      <c r="L13" s="92">
        <f t="shared" si="0"/>
        <v>-0.70963324452854604</v>
      </c>
      <c r="M13" s="22">
        <v>5033</v>
      </c>
      <c r="N13" s="22">
        <v>21751</v>
      </c>
      <c r="O13" s="92">
        <f t="shared" si="1"/>
        <v>3.3216769322471702</v>
      </c>
      <c r="P13" s="61">
        <f t="shared" si="2"/>
        <v>85359</v>
      </c>
      <c r="Q13" s="61">
        <f t="shared" si="3"/>
        <v>45075</v>
      </c>
      <c r="R13" s="92">
        <f t="shared" si="4"/>
        <v>-0.47193617544722899</v>
      </c>
      <c r="S13" s="39">
        <v>50000</v>
      </c>
      <c r="T13" s="39">
        <v>23844</v>
      </c>
      <c r="U13" s="92">
        <f t="shared" si="5"/>
        <v>-0.52312000000000003</v>
      </c>
      <c r="V13" s="38">
        <f t="shared" si="6"/>
        <v>135359</v>
      </c>
      <c r="W13" s="38">
        <f t="shared" si="7"/>
        <v>68919</v>
      </c>
      <c r="X13" s="92">
        <f t="shared" si="8"/>
        <v>-0.49084286970205199</v>
      </c>
      <c r="Y13" s="39"/>
      <c r="Z13" s="39"/>
      <c r="AA13" s="92" t="e">
        <f t="shared" si="9"/>
        <v>#DIV/0!</v>
      </c>
      <c r="AB13" s="39">
        <f t="shared" si="10"/>
        <v>135359</v>
      </c>
      <c r="AC13" s="39">
        <f t="shared" si="11"/>
        <v>68919</v>
      </c>
      <c r="AD13" s="92">
        <f t="shared" si="12"/>
        <v>-0.49084286970205199</v>
      </c>
      <c r="AE13" s="101">
        <v>18721</v>
      </c>
      <c r="AF13" s="101">
        <v>34862</v>
      </c>
      <c r="AG13" s="92">
        <f t="shared" si="13"/>
        <v>0.86218684899310905</v>
      </c>
      <c r="AH13" s="101">
        <f t="shared" si="14"/>
        <v>154080</v>
      </c>
      <c r="AI13" s="101">
        <f t="shared" si="15"/>
        <v>103781</v>
      </c>
      <c r="AJ13" s="92">
        <f t="shared" si="16"/>
        <v>-0.32644730010384199</v>
      </c>
      <c r="AK13" s="22"/>
      <c r="AL13" s="22"/>
      <c r="AM13" s="92" t="e">
        <f t="shared" si="17"/>
        <v>#DIV/0!</v>
      </c>
      <c r="AN13" s="101">
        <f t="shared" si="18"/>
        <v>154080</v>
      </c>
      <c r="AO13" s="101">
        <f t="shared" si="19"/>
        <v>103781</v>
      </c>
      <c r="AP13" s="92">
        <f t="shared" si="20"/>
        <v>-0.32644730010384199</v>
      </c>
      <c r="AQ13" s="22">
        <v>25918</v>
      </c>
      <c r="AR13" s="22">
        <v>10900</v>
      </c>
      <c r="AS13" s="92">
        <f t="shared" si="21"/>
        <v>-0.579442858245235</v>
      </c>
      <c r="AT13" s="22">
        <f t="shared" si="22"/>
        <v>179998</v>
      </c>
      <c r="AU13" s="22">
        <f t="shared" si="23"/>
        <v>114681</v>
      </c>
      <c r="AV13" s="92">
        <f t="shared" si="24"/>
        <v>-0.36287625418060199</v>
      </c>
      <c r="AW13" s="22">
        <v>50000</v>
      </c>
      <c r="AX13" s="22">
        <v>17800</v>
      </c>
      <c r="AY13" s="92">
        <f t="shared" si="25"/>
        <v>-0.64400000000000002</v>
      </c>
      <c r="AZ13" s="22">
        <f t="shared" si="26"/>
        <v>229998</v>
      </c>
      <c r="BA13" s="22">
        <f t="shared" si="27"/>
        <v>132481</v>
      </c>
      <c r="BB13" s="92">
        <f t="shared" si="28"/>
        <v>-0.42399064339689901</v>
      </c>
      <c r="BC13" s="101">
        <v>13006</v>
      </c>
      <c r="BD13" s="101">
        <v>30085</v>
      </c>
      <c r="BE13" s="92">
        <f t="shared" si="29"/>
        <v>1.31316315546671</v>
      </c>
      <c r="BF13" s="101">
        <f t="shared" si="30"/>
        <v>243004</v>
      </c>
      <c r="BG13" s="101">
        <f t="shared" si="31"/>
        <v>162566</v>
      </c>
      <c r="BH13" s="92">
        <f t="shared" si="32"/>
        <v>-0.33101512732300697</v>
      </c>
      <c r="BI13" s="39"/>
      <c r="BJ13" s="28">
        <v>110000</v>
      </c>
      <c r="BK13" s="101">
        <v>100023</v>
      </c>
      <c r="BL13" s="22">
        <v>453027</v>
      </c>
      <c r="BM13" s="29">
        <f t="shared" si="33"/>
        <v>0.20320750000000001</v>
      </c>
      <c r="BO13">
        <v>34862</v>
      </c>
    </row>
    <row r="14" spans="1:67" ht="14.25" customHeight="1">
      <c r="A14" s="42" t="s">
        <v>30</v>
      </c>
      <c r="B14" s="69" t="s">
        <v>30</v>
      </c>
      <c r="C14" s="98" t="s">
        <v>322</v>
      </c>
      <c r="D14" s="78" t="s">
        <v>61</v>
      </c>
      <c r="E14" s="78" t="s">
        <v>61</v>
      </c>
      <c r="F14" s="78" t="s">
        <v>307</v>
      </c>
      <c r="G14" s="78" t="s">
        <v>307</v>
      </c>
      <c r="H14" s="78" t="s">
        <v>308</v>
      </c>
      <c r="I14" s="78">
        <v>30</v>
      </c>
      <c r="J14" s="22">
        <v>11054</v>
      </c>
      <c r="K14" s="22"/>
      <c r="L14" s="92">
        <f t="shared" si="0"/>
        <v>-1</v>
      </c>
      <c r="M14" s="22"/>
      <c r="N14" s="22"/>
      <c r="O14" s="92" t="e">
        <f t="shared" si="1"/>
        <v>#DIV/0!</v>
      </c>
      <c r="P14" s="61">
        <f t="shared" si="2"/>
        <v>11054</v>
      </c>
      <c r="Q14" s="61">
        <f t="shared" si="3"/>
        <v>0</v>
      </c>
      <c r="R14" s="92">
        <f t="shared" si="4"/>
        <v>-1</v>
      </c>
      <c r="S14" s="39"/>
      <c r="T14" s="39"/>
      <c r="U14" s="92" t="e">
        <f t="shared" si="5"/>
        <v>#DIV/0!</v>
      </c>
      <c r="V14" s="38">
        <f t="shared" si="6"/>
        <v>11054</v>
      </c>
      <c r="W14" s="38">
        <f t="shared" si="7"/>
        <v>0</v>
      </c>
      <c r="X14" s="92">
        <f t="shared" si="8"/>
        <v>-1</v>
      </c>
      <c r="Y14" s="39">
        <v>9650</v>
      </c>
      <c r="Z14" s="39"/>
      <c r="AA14" s="92">
        <f t="shared" si="9"/>
        <v>-1</v>
      </c>
      <c r="AB14" s="39">
        <f t="shared" si="10"/>
        <v>20704</v>
      </c>
      <c r="AC14" s="39">
        <f t="shared" si="11"/>
        <v>0</v>
      </c>
      <c r="AD14" s="92">
        <f t="shared" si="12"/>
        <v>-1</v>
      </c>
      <c r="AE14" s="101"/>
      <c r="AF14" s="101"/>
      <c r="AG14" s="92" t="e">
        <f t="shared" si="13"/>
        <v>#DIV/0!</v>
      </c>
      <c r="AH14" s="101">
        <f t="shared" si="14"/>
        <v>20704</v>
      </c>
      <c r="AI14" s="101">
        <f t="shared" si="15"/>
        <v>0</v>
      </c>
      <c r="AJ14" s="92">
        <f t="shared" si="16"/>
        <v>-1</v>
      </c>
      <c r="AK14" s="22"/>
      <c r="AL14" s="22"/>
      <c r="AM14" s="92" t="e">
        <f t="shared" si="17"/>
        <v>#DIV/0!</v>
      </c>
      <c r="AN14" s="101">
        <f t="shared" si="18"/>
        <v>20704</v>
      </c>
      <c r="AO14" s="101">
        <f t="shared" si="19"/>
        <v>0</v>
      </c>
      <c r="AP14" s="92">
        <f t="shared" si="20"/>
        <v>-1</v>
      </c>
      <c r="AQ14" s="22"/>
      <c r="AR14" s="22"/>
      <c r="AS14" s="92" t="e">
        <f t="shared" si="21"/>
        <v>#DIV/0!</v>
      </c>
      <c r="AT14" s="22">
        <f t="shared" si="22"/>
        <v>20704</v>
      </c>
      <c r="AU14" s="22">
        <f t="shared" si="23"/>
        <v>0</v>
      </c>
      <c r="AV14" s="92">
        <f t="shared" si="24"/>
        <v>-1</v>
      </c>
      <c r="AW14" s="22"/>
      <c r="AX14" s="22"/>
      <c r="AY14" s="92" t="e">
        <f t="shared" si="25"/>
        <v>#DIV/0!</v>
      </c>
      <c r="AZ14" s="22">
        <f t="shared" si="26"/>
        <v>20704</v>
      </c>
      <c r="BA14" s="22">
        <f t="shared" si="27"/>
        <v>0</v>
      </c>
      <c r="BB14" s="92">
        <f t="shared" si="28"/>
        <v>-1</v>
      </c>
      <c r="BC14" s="101"/>
      <c r="BD14" s="101"/>
      <c r="BE14" s="92" t="e">
        <f t="shared" si="29"/>
        <v>#DIV/0!</v>
      </c>
      <c r="BF14" s="101">
        <f t="shared" si="30"/>
        <v>20704</v>
      </c>
      <c r="BG14" s="101">
        <f t="shared" si="31"/>
        <v>0</v>
      </c>
      <c r="BH14" s="92">
        <f t="shared" si="32"/>
        <v>-1</v>
      </c>
      <c r="BI14" s="39"/>
      <c r="BJ14" s="28"/>
      <c r="BK14" s="101"/>
      <c r="BL14" s="22">
        <v>20704</v>
      </c>
      <c r="BM14" s="29">
        <f t="shared" si="33"/>
        <v>0</v>
      </c>
    </row>
    <row r="15" spans="1:67" ht="14.25" customHeight="1">
      <c r="A15" s="42" t="s">
        <v>30</v>
      </c>
      <c r="B15" s="69" t="s">
        <v>30</v>
      </c>
      <c r="C15" s="81" t="s">
        <v>323</v>
      </c>
      <c r="D15" s="78" t="s">
        <v>88</v>
      </c>
      <c r="E15" s="78" t="s">
        <v>88</v>
      </c>
      <c r="F15" s="78" t="s">
        <v>302</v>
      </c>
      <c r="G15" s="78" t="s">
        <v>317</v>
      </c>
      <c r="H15" s="78"/>
      <c r="I15" s="78"/>
      <c r="J15" s="22">
        <v>106482</v>
      </c>
      <c r="K15" s="22">
        <v>179573.4</v>
      </c>
      <c r="L15" s="92">
        <f t="shared" si="0"/>
        <v>0.68642024004057001</v>
      </c>
      <c r="M15" s="22">
        <v>47216</v>
      </c>
      <c r="N15" s="22">
        <v>105249</v>
      </c>
      <c r="O15" s="92">
        <f t="shared" si="1"/>
        <v>1.22909606912911</v>
      </c>
      <c r="P15" s="61">
        <f t="shared" si="2"/>
        <v>153698</v>
      </c>
      <c r="Q15" s="61">
        <f t="shared" si="3"/>
        <v>284822.40000000002</v>
      </c>
      <c r="R15" s="92">
        <f t="shared" si="4"/>
        <v>0.85313016434826805</v>
      </c>
      <c r="S15" s="39">
        <v>137272</v>
      </c>
      <c r="T15" s="39">
        <f>84087+13980.32</f>
        <v>98067.32</v>
      </c>
      <c r="U15" s="92">
        <f t="shared" si="5"/>
        <v>-0.28559851972725703</v>
      </c>
      <c r="V15" s="38">
        <f t="shared" si="6"/>
        <v>290970</v>
      </c>
      <c r="W15" s="38">
        <f t="shared" si="7"/>
        <v>382889.72</v>
      </c>
      <c r="X15" s="92">
        <f t="shared" si="8"/>
        <v>0.31590789428463401</v>
      </c>
      <c r="Y15" s="39">
        <v>106839</v>
      </c>
      <c r="Z15" s="39">
        <v>26001</v>
      </c>
      <c r="AA15" s="92">
        <f t="shared" si="9"/>
        <v>-0.75663381349507197</v>
      </c>
      <c r="AB15" s="39">
        <f t="shared" si="10"/>
        <v>397809</v>
      </c>
      <c r="AC15" s="39">
        <f t="shared" si="11"/>
        <v>408890.72</v>
      </c>
      <c r="AD15" s="92">
        <f t="shared" si="12"/>
        <v>2.7856886093577699E-2</v>
      </c>
      <c r="AE15" s="101">
        <v>104179</v>
      </c>
      <c r="AF15" s="101">
        <v>145162</v>
      </c>
      <c r="AG15" s="92">
        <f t="shared" si="13"/>
        <v>0.393390222597644</v>
      </c>
      <c r="AH15" s="101">
        <f t="shared" si="14"/>
        <v>501988</v>
      </c>
      <c r="AI15" s="101">
        <f t="shared" si="15"/>
        <v>554052.72</v>
      </c>
      <c r="AJ15" s="92">
        <f t="shared" si="16"/>
        <v>0.103717060965601</v>
      </c>
      <c r="AK15" s="22">
        <v>94199.4</v>
      </c>
      <c r="AL15" s="22">
        <v>117019.56</v>
      </c>
      <c r="AM15" s="92">
        <f t="shared" si="17"/>
        <v>0.242253772317021</v>
      </c>
      <c r="AN15" s="101">
        <f t="shared" si="18"/>
        <v>596187.4</v>
      </c>
      <c r="AO15" s="101">
        <f t="shared" si="19"/>
        <v>671072.28</v>
      </c>
      <c r="AP15" s="92">
        <f t="shared" si="20"/>
        <v>0.12560627748925901</v>
      </c>
      <c r="AQ15" s="22">
        <v>85550</v>
      </c>
      <c r="AR15" s="22">
        <v>92805</v>
      </c>
      <c r="AS15" s="92">
        <f t="shared" si="21"/>
        <v>8.48042080654587E-2</v>
      </c>
      <c r="AT15" s="22">
        <f t="shared" si="22"/>
        <v>681737.4</v>
      </c>
      <c r="AU15" s="22">
        <f t="shared" si="23"/>
        <v>763877.28</v>
      </c>
      <c r="AV15" s="92">
        <f t="shared" si="24"/>
        <v>0.12048609919303201</v>
      </c>
      <c r="AW15" s="22">
        <v>113437.2</v>
      </c>
      <c r="AX15" s="22">
        <v>201219.76</v>
      </c>
      <c r="AY15" s="92">
        <f t="shared" si="25"/>
        <v>0.773842795837697</v>
      </c>
      <c r="AZ15" s="22">
        <f t="shared" si="26"/>
        <v>795174.6</v>
      </c>
      <c r="BA15" s="22">
        <f t="shared" si="27"/>
        <v>965097.04</v>
      </c>
      <c r="BB15" s="92">
        <f t="shared" si="28"/>
        <v>0.213691986640418</v>
      </c>
      <c r="BC15" s="101">
        <v>137063</v>
      </c>
      <c r="BD15" s="101">
        <v>114860.2</v>
      </c>
      <c r="BE15" s="92">
        <f t="shared" si="29"/>
        <v>-0.161989741943486</v>
      </c>
      <c r="BF15" s="101">
        <f t="shared" si="30"/>
        <v>932237.6</v>
      </c>
      <c r="BG15" s="101">
        <f t="shared" si="31"/>
        <v>1079957.24</v>
      </c>
      <c r="BH15" s="92">
        <f t="shared" si="32"/>
        <v>0.15845707145903601</v>
      </c>
      <c r="BI15" s="39">
        <v>172689</v>
      </c>
      <c r="BJ15" s="28">
        <v>124406.7</v>
      </c>
      <c r="BK15" s="101">
        <v>253098.7</v>
      </c>
      <c r="BL15" s="22">
        <v>1482432</v>
      </c>
      <c r="BM15" s="29" t="e">
        <f t="shared" si="33"/>
        <v>#DIV/0!</v>
      </c>
    </row>
    <row r="16" spans="1:67" ht="14.25" customHeight="1">
      <c r="A16" s="42" t="s">
        <v>30</v>
      </c>
      <c r="B16" s="69" t="s">
        <v>30</v>
      </c>
      <c r="C16" s="81" t="s">
        <v>324</v>
      </c>
      <c r="D16" s="78" t="s">
        <v>65</v>
      </c>
      <c r="E16" s="78" t="s">
        <v>65</v>
      </c>
      <c r="F16" s="78" t="s">
        <v>311</v>
      </c>
      <c r="G16" s="78" t="s">
        <v>311</v>
      </c>
      <c r="H16" s="78" t="s">
        <v>308</v>
      </c>
      <c r="I16" s="78">
        <v>80</v>
      </c>
      <c r="J16" s="22">
        <v>199467</v>
      </c>
      <c r="K16" s="22">
        <v>33384</v>
      </c>
      <c r="L16" s="92">
        <f t="shared" si="0"/>
        <v>-0.83263396952879398</v>
      </c>
      <c r="M16" s="22">
        <v>16962</v>
      </c>
      <c r="N16" s="22">
        <v>18012</v>
      </c>
      <c r="O16" s="92">
        <f t="shared" si="1"/>
        <v>6.1903077467279702E-2</v>
      </c>
      <c r="P16" s="61">
        <f t="shared" si="2"/>
        <v>216429</v>
      </c>
      <c r="Q16" s="61">
        <f t="shared" si="3"/>
        <v>51396</v>
      </c>
      <c r="R16" s="92">
        <f t="shared" si="4"/>
        <v>-0.76252720291642995</v>
      </c>
      <c r="S16" s="39">
        <v>21823</v>
      </c>
      <c r="T16" s="39">
        <v>12509</v>
      </c>
      <c r="U16" s="92">
        <f t="shared" si="5"/>
        <v>-0.42679741557072798</v>
      </c>
      <c r="V16" s="38">
        <f t="shared" si="6"/>
        <v>238252</v>
      </c>
      <c r="W16" s="38">
        <f t="shared" si="7"/>
        <v>63905</v>
      </c>
      <c r="X16" s="92">
        <f t="shared" si="8"/>
        <v>-0.73177559894565403</v>
      </c>
      <c r="Y16" s="39">
        <v>37539</v>
      </c>
      <c r="Z16" s="39">
        <v>14479</v>
      </c>
      <c r="AA16" s="92">
        <f t="shared" si="9"/>
        <v>-0.61429446708756197</v>
      </c>
      <c r="AB16" s="39">
        <f t="shared" si="10"/>
        <v>275791</v>
      </c>
      <c r="AC16" s="39">
        <f t="shared" si="11"/>
        <v>78384</v>
      </c>
      <c r="AD16" s="92">
        <f t="shared" si="12"/>
        <v>-0.71578477905370397</v>
      </c>
      <c r="AE16" s="101">
        <v>98292</v>
      </c>
      <c r="AF16" s="101">
        <f>17747+33866</f>
        <v>51613</v>
      </c>
      <c r="AG16" s="92">
        <f t="shared" si="13"/>
        <v>-0.47490131445082001</v>
      </c>
      <c r="AH16" s="101">
        <f t="shared" si="14"/>
        <v>374083</v>
      </c>
      <c r="AI16" s="101">
        <f t="shared" si="15"/>
        <v>129997</v>
      </c>
      <c r="AJ16" s="92">
        <f t="shared" si="16"/>
        <v>-0.65249155935982095</v>
      </c>
      <c r="AK16" s="22"/>
      <c r="AL16" s="22">
        <v>12263</v>
      </c>
      <c r="AM16" s="92" t="e">
        <f t="shared" si="17"/>
        <v>#DIV/0!</v>
      </c>
      <c r="AN16" s="101">
        <f t="shared" si="18"/>
        <v>374083</v>
      </c>
      <c r="AO16" s="101">
        <f t="shared" si="19"/>
        <v>142260</v>
      </c>
      <c r="AP16" s="92">
        <f t="shared" si="20"/>
        <v>-0.61971006434400899</v>
      </c>
      <c r="AQ16" s="22">
        <v>21043</v>
      </c>
      <c r="AR16" s="22">
        <v>53011</v>
      </c>
      <c r="AS16" s="92">
        <f t="shared" si="21"/>
        <v>1.51917502257283</v>
      </c>
      <c r="AT16" s="22">
        <f t="shared" si="22"/>
        <v>395126</v>
      </c>
      <c r="AU16" s="22">
        <f t="shared" si="23"/>
        <v>195271</v>
      </c>
      <c r="AV16" s="92">
        <f t="shared" si="24"/>
        <v>-0.505800681301661</v>
      </c>
      <c r="AW16" s="22">
        <v>28974</v>
      </c>
      <c r="AX16" s="22">
        <v>58711</v>
      </c>
      <c r="AY16" s="92">
        <f t="shared" si="25"/>
        <v>1.0263339545799699</v>
      </c>
      <c r="AZ16" s="22">
        <f t="shared" si="26"/>
        <v>424100</v>
      </c>
      <c r="BA16" s="22">
        <f t="shared" si="27"/>
        <v>253982</v>
      </c>
      <c r="BB16" s="92">
        <f t="shared" si="28"/>
        <v>-0.401127092666824</v>
      </c>
      <c r="BC16" s="101">
        <v>55387</v>
      </c>
      <c r="BD16" s="101">
        <v>18338</v>
      </c>
      <c r="BE16" s="92">
        <f t="shared" si="29"/>
        <v>-0.66891147742250001</v>
      </c>
      <c r="BF16" s="101">
        <f t="shared" si="30"/>
        <v>479487</v>
      </c>
      <c r="BG16" s="101">
        <f t="shared" si="31"/>
        <v>272320</v>
      </c>
      <c r="BH16" s="92">
        <f t="shared" si="32"/>
        <v>-0.43205968045014798</v>
      </c>
      <c r="BI16" s="39">
        <v>1903</v>
      </c>
      <c r="BJ16" s="28">
        <v>102468</v>
      </c>
      <c r="BK16" s="101">
        <v>297008</v>
      </c>
      <c r="BL16" s="22">
        <v>880866</v>
      </c>
      <c r="BM16" s="29">
        <f t="shared" si="33"/>
        <v>0.34039999999999998</v>
      </c>
      <c r="BN16" s="20">
        <v>45659</v>
      </c>
      <c r="BO16">
        <v>33866</v>
      </c>
    </row>
    <row r="17" spans="1:67" ht="14.25" customHeight="1">
      <c r="A17" s="42" t="s">
        <v>30</v>
      </c>
      <c r="B17" s="69" t="s">
        <v>30</v>
      </c>
      <c r="C17" s="81" t="s">
        <v>325</v>
      </c>
      <c r="D17" s="78" t="s">
        <v>102</v>
      </c>
      <c r="E17" s="78" t="s">
        <v>102</v>
      </c>
      <c r="F17" s="78" t="s">
        <v>311</v>
      </c>
      <c r="G17" s="78" t="s">
        <v>311</v>
      </c>
      <c r="H17" s="78" t="s">
        <v>308</v>
      </c>
      <c r="I17" s="78">
        <v>30</v>
      </c>
      <c r="J17" s="22">
        <v>17565</v>
      </c>
      <c r="K17" s="22"/>
      <c r="L17" s="92">
        <f t="shared" si="0"/>
        <v>-1</v>
      </c>
      <c r="M17" s="22">
        <v>11220</v>
      </c>
      <c r="N17" s="22"/>
      <c r="O17" s="92">
        <f t="shared" si="1"/>
        <v>-1</v>
      </c>
      <c r="P17" s="61">
        <f t="shared" si="2"/>
        <v>28785</v>
      </c>
      <c r="Q17" s="61">
        <f t="shared" si="3"/>
        <v>0</v>
      </c>
      <c r="R17" s="92">
        <f t="shared" si="4"/>
        <v>-1</v>
      </c>
      <c r="S17" s="39"/>
      <c r="T17" s="39"/>
      <c r="U17" s="92" t="e">
        <f t="shared" si="5"/>
        <v>#DIV/0!</v>
      </c>
      <c r="V17" s="38">
        <f t="shared" si="6"/>
        <v>28785</v>
      </c>
      <c r="W17" s="38">
        <f t="shared" si="7"/>
        <v>0</v>
      </c>
      <c r="X17" s="92">
        <f t="shared" si="8"/>
        <v>-1</v>
      </c>
      <c r="Y17" s="39"/>
      <c r="Z17" s="39"/>
      <c r="AA17" s="92" t="e">
        <f t="shared" si="9"/>
        <v>#DIV/0!</v>
      </c>
      <c r="AB17" s="39">
        <f t="shared" si="10"/>
        <v>28785</v>
      </c>
      <c r="AC17" s="39">
        <f t="shared" si="11"/>
        <v>0</v>
      </c>
      <c r="AD17" s="92">
        <f t="shared" si="12"/>
        <v>-1</v>
      </c>
      <c r="AE17" s="101">
        <v>24500</v>
      </c>
      <c r="AF17" s="101"/>
      <c r="AG17" s="92">
        <f t="shared" si="13"/>
        <v>-1</v>
      </c>
      <c r="AH17" s="101">
        <f t="shared" si="14"/>
        <v>53285</v>
      </c>
      <c r="AI17" s="101">
        <f t="shared" si="15"/>
        <v>0</v>
      </c>
      <c r="AJ17" s="92">
        <f t="shared" si="16"/>
        <v>-1</v>
      </c>
      <c r="AK17" s="22">
        <v>5320</v>
      </c>
      <c r="AL17" s="22">
        <v>5700</v>
      </c>
      <c r="AM17" s="92">
        <f t="shared" si="17"/>
        <v>7.1428571428571397E-2</v>
      </c>
      <c r="AN17" s="101">
        <f t="shared" si="18"/>
        <v>58605</v>
      </c>
      <c r="AO17" s="101">
        <f t="shared" si="19"/>
        <v>5700</v>
      </c>
      <c r="AP17" s="92">
        <f t="shared" si="20"/>
        <v>-0.902738674174558</v>
      </c>
      <c r="AQ17" s="22"/>
      <c r="AR17" s="22"/>
      <c r="AS17" s="92" t="e">
        <f t="shared" si="21"/>
        <v>#DIV/0!</v>
      </c>
      <c r="AT17" s="22">
        <f t="shared" si="22"/>
        <v>58605</v>
      </c>
      <c r="AU17" s="22">
        <f t="shared" si="23"/>
        <v>5700</v>
      </c>
      <c r="AV17" s="92">
        <f t="shared" si="24"/>
        <v>-0.902738674174558</v>
      </c>
      <c r="AW17" s="22"/>
      <c r="AX17" s="22">
        <v>10808</v>
      </c>
      <c r="AY17" s="92" t="e">
        <f t="shared" si="25"/>
        <v>#DIV/0!</v>
      </c>
      <c r="AZ17" s="22">
        <f t="shared" si="26"/>
        <v>58605</v>
      </c>
      <c r="BA17" s="22">
        <f t="shared" si="27"/>
        <v>16508</v>
      </c>
      <c r="BB17" s="92">
        <f t="shared" si="28"/>
        <v>-0.71831754969712502</v>
      </c>
      <c r="BC17" s="101">
        <v>10808</v>
      </c>
      <c r="BD17" s="101"/>
      <c r="BE17" s="92">
        <f t="shared" si="29"/>
        <v>-1</v>
      </c>
      <c r="BF17" s="101">
        <f t="shared" si="30"/>
        <v>69413</v>
      </c>
      <c r="BG17" s="101">
        <f t="shared" si="31"/>
        <v>16508</v>
      </c>
      <c r="BH17" s="92">
        <f t="shared" si="32"/>
        <v>-0.76217711379712705</v>
      </c>
      <c r="BI17" s="39">
        <v>19050</v>
      </c>
      <c r="BJ17" s="28">
        <v>27500</v>
      </c>
      <c r="BK17" s="101">
        <v>31561</v>
      </c>
      <c r="BL17" s="22">
        <v>147524</v>
      </c>
      <c r="BM17" s="29">
        <f t="shared" si="33"/>
        <v>5.5026666666666703E-2</v>
      </c>
    </row>
    <row r="18" spans="1:67" ht="14.25" customHeight="1">
      <c r="A18" s="42" t="s">
        <v>30</v>
      </c>
      <c r="B18" s="69" t="s">
        <v>30</v>
      </c>
      <c r="C18" s="99" t="s">
        <v>326</v>
      </c>
      <c r="D18" s="78" t="s">
        <v>102</v>
      </c>
      <c r="E18" s="78" t="s">
        <v>102</v>
      </c>
      <c r="F18" s="78" t="s">
        <v>307</v>
      </c>
      <c r="G18" s="78" t="s">
        <v>307</v>
      </c>
      <c r="H18" s="78" t="s">
        <v>314</v>
      </c>
      <c r="I18" s="78">
        <v>30</v>
      </c>
      <c r="J18" s="22">
        <v>10000</v>
      </c>
      <c r="K18" s="22">
        <v>20000</v>
      </c>
      <c r="L18" s="92">
        <f t="shared" si="0"/>
        <v>1</v>
      </c>
      <c r="M18" s="22">
        <v>20000</v>
      </c>
      <c r="N18" s="22"/>
      <c r="O18" s="92">
        <f t="shared" si="1"/>
        <v>-1</v>
      </c>
      <c r="P18" s="61">
        <f t="shared" si="2"/>
        <v>30000</v>
      </c>
      <c r="Q18" s="61">
        <f t="shared" si="3"/>
        <v>20000</v>
      </c>
      <c r="R18" s="92">
        <f t="shared" si="4"/>
        <v>-0.33333333333333298</v>
      </c>
      <c r="S18" s="39">
        <v>10000</v>
      </c>
      <c r="T18" s="39">
        <v>10000</v>
      </c>
      <c r="U18" s="92">
        <f t="shared" si="5"/>
        <v>0</v>
      </c>
      <c r="V18" s="38">
        <f t="shared" si="6"/>
        <v>40000</v>
      </c>
      <c r="W18" s="38">
        <f t="shared" si="7"/>
        <v>30000</v>
      </c>
      <c r="X18" s="92">
        <f t="shared" si="8"/>
        <v>-0.25</v>
      </c>
      <c r="Y18" s="39"/>
      <c r="Z18" s="39"/>
      <c r="AA18" s="92" t="e">
        <f t="shared" si="9"/>
        <v>#DIV/0!</v>
      </c>
      <c r="AB18" s="39">
        <f t="shared" si="10"/>
        <v>40000</v>
      </c>
      <c r="AC18" s="39">
        <f t="shared" si="11"/>
        <v>30000</v>
      </c>
      <c r="AD18" s="92">
        <f t="shared" si="12"/>
        <v>-0.25</v>
      </c>
      <c r="AE18" s="101">
        <v>20000</v>
      </c>
      <c r="AF18" s="101">
        <v>20000</v>
      </c>
      <c r="AG18" s="92">
        <f t="shared" si="13"/>
        <v>0</v>
      </c>
      <c r="AH18" s="101">
        <f t="shared" si="14"/>
        <v>60000</v>
      </c>
      <c r="AI18" s="101">
        <f t="shared" si="15"/>
        <v>50000</v>
      </c>
      <c r="AJ18" s="92">
        <f t="shared" si="16"/>
        <v>-0.16666666666666699</v>
      </c>
      <c r="AK18" s="22"/>
      <c r="AL18" s="22">
        <v>10000</v>
      </c>
      <c r="AM18" s="92" t="e">
        <f t="shared" si="17"/>
        <v>#DIV/0!</v>
      </c>
      <c r="AN18" s="101">
        <f t="shared" si="18"/>
        <v>60000</v>
      </c>
      <c r="AO18" s="101">
        <f t="shared" si="19"/>
        <v>60000</v>
      </c>
      <c r="AP18" s="92">
        <f t="shared" si="20"/>
        <v>0</v>
      </c>
      <c r="AQ18" s="22">
        <v>20000</v>
      </c>
      <c r="AR18" s="22"/>
      <c r="AS18" s="92">
        <f t="shared" si="21"/>
        <v>-1</v>
      </c>
      <c r="AT18" s="22">
        <f t="shared" si="22"/>
        <v>80000</v>
      </c>
      <c r="AU18" s="22">
        <f t="shared" si="23"/>
        <v>60000</v>
      </c>
      <c r="AV18" s="92">
        <f t="shared" si="24"/>
        <v>-0.25</v>
      </c>
      <c r="AW18" s="22"/>
      <c r="AX18" s="22"/>
      <c r="AY18" s="92" t="e">
        <f t="shared" si="25"/>
        <v>#DIV/0!</v>
      </c>
      <c r="AZ18" s="22">
        <f t="shared" si="26"/>
        <v>80000</v>
      </c>
      <c r="BA18" s="22">
        <f t="shared" si="27"/>
        <v>60000</v>
      </c>
      <c r="BB18" s="92">
        <f t="shared" si="28"/>
        <v>-0.25</v>
      </c>
      <c r="BC18" s="101"/>
      <c r="BD18" s="101"/>
      <c r="BE18" s="92" t="e">
        <f t="shared" si="29"/>
        <v>#DIV/0!</v>
      </c>
      <c r="BF18" s="101">
        <f t="shared" si="30"/>
        <v>80000</v>
      </c>
      <c r="BG18" s="101">
        <f t="shared" si="31"/>
        <v>60000</v>
      </c>
      <c r="BH18" s="92">
        <f t="shared" si="32"/>
        <v>-0.25</v>
      </c>
      <c r="BI18" s="39"/>
      <c r="BJ18" s="28"/>
      <c r="BK18" s="101">
        <v>10000</v>
      </c>
      <c r="BL18" s="22">
        <v>90000</v>
      </c>
      <c r="BM18" s="29">
        <f t="shared" si="33"/>
        <v>0.2</v>
      </c>
    </row>
    <row r="19" spans="1:67" ht="14.25" customHeight="1">
      <c r="A19" s="42" t="s">
        <v>30</v>
      </c>
      <c r="B19" s="69" t="s">
        <v>30</v>
      </c>
      <c r="C19" s="99" t="s">
        <v>327</v>
      </c>
      <c r="D19" s="78" t="s">
        <v>102</v>
      </c>
      <c r="E19" s="78" t="s">
        <v>102</v>
      </c>
      <c r="F19" s="78" t="s">
        <v>302</v>
      </c>
      <c r="G19" s="78" t="s">
        <v>317</v>
      </c>
      <c r="H19" s="78" t="s">
        <v>314</v>
      </c>
      <c r="I19" s="78">
        <v>30</v>
      </c>
      <c r="J19" s="22">
        <v>40000</v>
      </c>
      <c r="K19" s="22">
        <v>20000</v>
      </c>
      <c r="L19" s="92">
        <f t="shared" si="0"/>
        <v>-0.5</v>
      </c>
      <c r="M19" s="22"/>
      <c r="N19" s="22">
        <v>40000</v>
      </c>
      <c r="O19" s="92" t="e">
        <f t="shared" si="1"/>
        <v>#DIV/0!</v>
      </c>
      <c r="P19" s="61">
        <f t="shared" si="2"/>
        <v>40000</v>
      </c>
      <c r="Q19" s="61">
        <f t="shared" si="3"/>
        <v>60000</v>
      </c>
      <c r="R19" s="92">
        <f t="shared" si="4"/>
        <v>0.5</v>
      </c>
      <c r="S19" s="39">
        <v>20000</v>
      </c>
      <c r="T19" s="39"/>
      <c r="U19" s="92">
        <f t="shared" si="5"/>
        <v>-1</v>
      </c>
      <c r="V19" s="38">
        <f t="shared" si="6"/>
        <v>60000</v>
      </c>
      <c r="W19" s="38">
        <f t="shared" si="7"/>
        <v>60000</v>
      </c>
      <c r="X19" s="92">
        <f t="shared" si="8"/>
        <v>0</v>
      </c>
      <c r="Y19" s="39">
        <v>10000</v>
      </c>
      <c r="Z19" s="39">
        <v>30000</v>
      </c>
      <c r="AA19" s="92">
        <f t="shared" si="9"/>
        <v>2</v>
      </c>
      <c r="AB19" s="39">
        <f t="shared" si="10"/>
        <v>70000</v>
      </c>
      <c r="AC19" s="39">
        <f t="shared" si="11"/>
        <v>90000</v>
      </c>
      <c r="AD19" s="92">
        <f t="shared" si="12"/>
        <v>0.28571428571428598</v>
      </c>
      <c r="AE19" s="101"/>
      <c r="AF19" s="101">
        <v>60568</v>
      </c>
      <c r="AG19" s="92" t="e">
        <f t="shared" si="13"/>
        <v>#DIV/0!</v>
      </c>
      <c r="AH19" s="101">
        <f t="shared" si="14"/>
        <v>70000</v>
      </c>
      <c r="AI19" s="101">
        <f t="shared" si="15"/>
        <v>150568</v>
      </c>
      <c r="AJ19" s="92">
        <f t="shared" si="16"/>
        <v>1.1509714285714301</v>
      </c>
      <c r="AK19" s="22"/>
      <c r="AL19" s="22"/>
      <c r="AM19" s="92" t="e">
        <f t="shared" si="17"/>
        <v>#DIV/0!</v>
      </c>
      <c r="AN19" s="101">
        <f t="shared" si="18"/>
        <v>70000</v>
      </c>
      <c r="AO19" s="101">
        <f t="shared" si="19"/>
        <v>150568</v>
      </c>
      <c r="AP19" s="92">
        <f t="shared" si="20"/>
        <v>1.1509714285714301</v>
      </c>
      <c r="AQ19" s="22">
        <v>20000</v>
      </c>
      <c r="AR19" s="22"/>
      <c r="AS19" s="92">
        <f t="shared" si="21"/>
        <v>-1</v>
      </c>
      <c r="AT19" s="22">
        <f t="shared" si="22"/>
        <v>90000</v>
      </c>
      <c r="AU19" s="22">
        <f t="shared" si="23"/>
        <v>150568</v>
      </c>
      <c r="AV19" s="92">
        <f t="shared" si="24"/>
        <v>0.67297777777777801</v>
      </c>
      <c r="AW19" s="22">
        <v>20000</v>
      </c>
      <c r="AX19" s="22"/>
      <c r="AY19" s="92">
        <f t="shared" si="25"/>
        <v>-1</v>
      </c>
      <c r="AZ19" s="22">
        <f t="shared" si="26"/>
        <v>110000</v>
      </c>
      <c r="BA19" s="22">
        <f t="shared" si="27"/>
        <v>150568</v>
      </c>
      <c r="BB19" s="92">
        <f t="shared" si="28"/>
        <v>0.36880000000000002</v>
      </c>
      <c r="BC19" s="101"/>
      <c r="BD19" s="101">
        <v>9121</v>
      </c>
      <c r="BE19" s="92" t="e">
        <f t="shared" si="29"/>
        <v>#DIV/0!</v>
      </c>
      <c r="BF19" s="101">
        <f t="shared" si="30"/>
        <v>110000</v>
      </c>
      <c r="BG19" s="101">
        <f t="shared" si="31"/>
        <v>159689</v>
      </c>
      <c r="BH19" s="92">
        <f t="shared" si="32"/>
        <v>0.45171818181818202</v>
      </c>
      <c r="BI19" s="39"/>
      <c r="BJ19" s="28">
        <v>21000</v>
      </c>
      <c r="BK19" s="101">
        <v>45000</v>
      </c>
      <c r="BL19" s="22">
        <v>176000</v>
      </c>
      <c r="BM19" s="29">
        <f t="shared" si="33"/>
        <v>0.53229666666666697</v>
      </c>
    </row>
    <row r="20" spans="1:67" ht="14.25" customHeight="1">
      <c r="A20" s="42" t="s">
        <v>30</v>
      </c>
      <c r="B20" s="69" t="s">
        <v>30</v>
      </c>
      <c r="C20" s="99" t="s">
        <v>328</v>
      </c>
      <c r="D20" s="78" t="s">
        <v>79</v>
      </c>
      <c r="E20" s="78" t="s">
        <v>79</v>
      </c>
      <c r="F20" s="78" t="s">
        <v>302</v>
      </c>
      <c r="G20" s="78" t="s">
        <v>317</v>
      </c>
      <c r="H20" s="78" t="s">
        <v>314</v>
      </c>
      <c r="I20" s="78"/>
      <c r="J20" s="22"/>
      <c r="K20" s="22">
        <v>54440.36</v>
      </c>
      <c r="L20" s="92" t="e">
        <f t="shared" si="0"/>
        <v>#DIV/0!</v>
      </c>
      <c r="M20" s="22">
        <v>10797.73</v>
      </c>
      <c r="N20" s="22">
        <v>29508.02</v>
      </c>
      <c r="O20" s="92">
        <f t="shared" si="1"/>
        <v>1.7327984678261099</v>
      </c>
      <c r="P20" s="61">
        <f t="shared" si="2"/>
        <v>10797.73</v>
      </c>
      <c r="Q20" s="61">
        <f t="shared" si="3"/>
        <v>83948.38</v>
      </c>
      <c r="R20" s="92">
        <f t="shared" si="4"/>
        <v>6.7746322606696001</v>
      </c>
      <c r="S20" s="39">
        <v>56823.31</v>
      </c>
      <c r="T20" s="39">
        <v>3457.13</v>
      </c>
      <c r="U20" s="92">
        <f t="shared" si="5"/>
        <v>-0.93916000317475301</v>
      </c>
      <c r="V20" s="38">
        <f t="shared" si="6"/>
        <v>67621.039999999994</v>
      </c>
      <c r="W20" s="38">
        <f t="shared" si="7"/>
        <v>87405.51</v>
      </c>
      <c r="X20" s="92">
        <f t="shared" si="8"/>
        <v>0.29257861162738702</v>
      </c>
      <c r="Y20" s="39">
        <v>14596</v>
      </c>
      <c r="Z20" s="39">
        <v>11403.76</v>
      </c>
      <c r="AA20" s="92">
        <f t="shared" si="9"/>
        <v>-0.21870649493011801</v>
      </c>
      <c r="AB20" s="39">
        <f t="shared" si="10"/>
        <v>82217.039999999994</v>
      </c>
      <c r="AC20" s="39">
        <f t="shared" si="11"/>
        <v>98809.27</v>
      </c>
      <c r="AD20" s="92">
        <f t="shared" si="12"/>
        <v>0.20181011138323601</v>
      </c>
      <c r="AE20" s="101">
        <v>41660.410000000003</v>
      </c>
      <c r="AF20" s="101">
        <f>51243.95+10000</f>
        <v>61243.95</v>
      </c>
      <c r="AG20" s="92">
        <f t="shared" si="13"/>
        <v>0.47007554654406902</v>
      </c>
      <c r="AH20" s="101">
        <f t="shared" si="14"/>
        <v>123877.45</v>
      </c>
      <c r="AI20" s="101">
        <f t="shared" si="15"/>
        <v>160053.22</v>
      </c>
      <c r="AJ20" s="92">
        <f t="shared" si="16"/>
        <v>0.29202869448798002</v>
      </c>
      <c r="AK20" s="22">
        <v>92552.98</v>
      </c>
      <c r="AL20" s="22">
        <v>46338.06</v>
      </c>
      <c r="AM20" s="92">
        <f t="shared" si="17"/>
        <v>-0.49933475939942701</v>
      </c>
      <c r="AN20" s="101">
        <f t="shared" si="18"/>
        <v>216430.43</v>
      </c>
      <c r="AO20" s="101">
        <f t="shared" si="19"/>
        <v>206391.28</v>
      </c>
      <c r="AP20" s="92">
        <f t="shared" si="20"/>
        <v>-4.6385113220908901E-2</v>
      </c>
      <c r="AQ20" s="22">
        <v>79159.98</v>
      </c>
      <c r="AR20" s="22">
        <v>161520.60999999999</v>
      </c>
      <c r="AS20" s="92">
        <f t="shared" si="21"/>
        <v>1.0404326782295801</v>
      </c>
      <c r="AT20" s="22">
        <f t="shared" si="22"/>
        <v>295590.40999999997</v>
      </c>
      <c r="AU20" s="22">
        <f t="shared" si="23"/>
        <v>367911.89</v>
      </c>
      <c r="AV20" s="92">
        <f t="shared" si="24"/>
        <v>0.24466788350812901</v>
      </c>
      <c r="AW20" s="22"/>
      <c r="AX20" s="22"/>
      <c r="AY20" s="92" t="e">
        <f t="shared" si="25"/>
        <v>#DIV/0!</v>
      </c>
      <c r="AZ20" s="22">
        <f t="shared" si="26"/>
        <v>295590.40999999997</v>
      </c>
      <c r="BA20" s="22">
        <f t="shared" si="27"/>
        <v>367911.89</v>
      </c>
      <c r="BB20" s="92">
        <f t="shared" si="28"/>
        <v>0.24466788350812901</v>
      </c>
      <c r="BC20" s="101">
        <v>37043.760000000002</v>
      </c>
      <c r="BD20" s="101"/>
      <c r="BE20" s="92">
        <f t="shared" si="29"/>
        <v>-1</v>
      </c>
      <c r="BF20" s="101">
        <f t="shared" si="30"/>
        <v>332634.17</v>
      </c>
      <c r="BG20" s="101">
        <f t="shared" si="31"/>
        <v>367911.89</v>
      </c>
      <c r="BH20" s="92">
        <f t="shared" si="32"/>
        <v>0.106055610582641</v>
      </c>
      <c r="BI20" s="39">
        <v>78063.570000000007</v>
      </c>
      <c r="BJ20" s="28">
        <v>186738.72</v>
      </c>
      <c r="BK20" s="101">
        <v>130096.34</v>
      </c>
      <c r="BL20" s="22">
        <v>727532.8</v>
      </c>
      <c r="BM20" s="29" t="e">
        <f t="shared" si="33"/>
        <v>#DIV/0!</v>
      </c>
      <c r="BN20" s="20">
        <v>10000</v>
      </c>
      <c r="BO20">
        <v>10000</v>
      </c>
    </row>
    <row r="21" spans="1:67" ht="14.25" customHeight="1">
      <c r="A21" s="42" t="s">
        <v>30</v>
      </c>
      <c r="B21" s="69" t="s">
        <v>30</v>
      </c>
      <c r="C21" s="84" t="s">
        <v>329</v>
      </c>
      <c r="D21" s="78" t="s">
        <v>65</v>
      </c>
      <c r="E21" s="78" t="s">
        <v>65</v>
      </c>
      <c r="F21" s="78" t="s">
        <v>321</v>
      </c>
      <c r="G21" s="78" t="s">
        <v>321</v>
      </c>
      <c r="H21" s="78" t="s">
        <v>308</v>
      </c>
      <c r="I21" s="78">
        <v>0</v>
      </c>
      <c r="J21" s="22"/>
      <c r="K21" s="22"/>
      <c r="L21" s="92" t="e">
        <f t="shared" si="0"/>
        <v>#DIV/0!</v>
      </c>
      <c r="M21" s="22"/>
      <c r="N21" s="22"/>
      <c r="O21" s="92" t="e">
        <f t="shared" si="1"/>
        <v>#DIV/0!</v>
      </c>
      <c r="P21" s="61">
        <f t="shared" si="2"/>
        <v>0</v>
      </c>
      <c r="Q21" s="61">
        <f t="shared" si="3"/>
        <v>0</v>
      </c>
      <c r="R21" s="92" t="e">
        <f t="shared" si="4"/>
        <v>#DIV/0!</v>
      </c>
      <c r="S21" s="39"/>
      <c r="T21" s="39"/>
      <c r="U21" s="92" t="e">
        <f t="shared" si="5"/>
        <v>#DIV/0!</v>
      </c>
      <c r="V21" s="38">
        <f t="shared" si="6"/>
        <v>0</v>
      </c>
      <c r="W21" s="38">
        <f t="shared" si="7"/>
        <v>0</v>
      </c>
      <c r="X21" s="92" t="e">
        <f t="shared" si="8"/>
        <v>#DIV/0!</v>
      </c>
      <c r="Y21" s="39"/>
      <c r="Z21" s="39"/>
      <c r="AA21" s="92" t="e">
        <f t="shared" si="9"/>
        <v>#DIV/0!</v>
      </c>
      <c r="AB21" s="39">
        <f t="shared" si="10"/>
        <v>0</v>
      </c>
      <c r="AC21" s="39">
        <f t="shared" si="11"/>
        <v>0</v>
      </c>
      <c r="AD21" s="92" t="e">
        <f t="shared" si="12"/>
        <v>#DIV/0!</v>
      </c>
      <c r="AE21" s="101">
        <v>48949</v>
      </c>
      <c r="AF21" s="101"/>
      <c r="AG21" s="92">
        <f t="shared" si="13"/>
        <v>-1</v>
      </c>
      <c r="AH21" s="101">
        <f t="shared" si="14"/>
        <v>48949</v>
      </c>
      <c r="AI21" s="101">
        <f t="shared" si="15"/>
        <v>0</v>
      </c>
      <c r="AJ21" s="92">
        <f t="shared" si="16"/>
        <v>-1</v>
      </c>
      <c r="AK21" s="22"/>
      <c r="AL21" s="22"/>
      <c r="AM21" s="92" t="e">
        <f t="shared" si="17"/>
        <v>#DIV/0!</v>
      </c>
      <c r="AN21" s="101">
        <f t="shared" si="18"/>
        <v>48949</v>
      </c>
      <c r="AO21" s="101">
        <f t="shared" si="19"/>
        <v>0</v>
      </c>
      <c r="AP21" s="92">
        <f t="shared" si="20"/>
        <v>-1</v>
      </c>
      <c r="AQ21" s="22"/>
      <c r="AR21" s="22"/>
      <c r="AS21" s="92" t="e">
        <f t="shared" si="21"/>
        <v>#DIV/0!</v>
      </c>
      <c r="AT21" s="22">
        <f t="shared" si="22"/>
        <v>48949</v>
      </c>
      <c r="AU21" s="22">
        <f t="shared" si="23"/>
        <v>0</v>
      </c>
      <c r="AV21" s="92">
        <f t="shared" si="24"/>
        <v>-1</v>
      </c>
      <c r="AW21" s="22"/>
      <c r="AX21" s="22"/>
      <c r="AY21" s="92" t="e">
        <f t="shared" si="25"/>
        <v>#DIV/0!</v>
      </c>
      <c r="AZ21" s="22">
        <f t="shared" si="26"/>
        <v>48949</v>
      </c>
      <c r="BA21" s="22">
        <f t="shared" si="27"/>
        <v>0</v>
      </c>
      <c r="BB21" s="92">
        <f t="shared" si="28"/>
        <v>-1</v>
      </c>
      <c r="BC21" s="101"/>
      <c r="BD21" s="101">
        <v>3200</v>
      </c>
      <c r="BE21" s="92" t="e">
        <f t="shared" si="29"/>
        <v>#DIV/0!</v>
      </c>
      <c r="BF21" s="101">
        <f t="shared" si="30"/>
        <v>48949</v>
      </c>
      <c r="BG21" s="101">
        <f t="shared" si="31"/>
        <v>3200</v>
      </c>
      <c r="BH21" s="92">
        <f t="shared" si="32"/>
        <v>-0.93462583505281005</v>
      </c>
      <c r="BI21" s="39"/>
      <c r="BJ21" s="28"/>
      <c r="BK21" s="101"/>
      <c r="BL21" s="22">
        <v>48949</v>
      </c>
      <c r="BM21" s="29" t="e">
        <f t="shared" si="33"/>
        <v>#DIV/0!</v>
      </c>
      <c r="BN21" s="20">
        <v>48949</v>
      </c>
    </row>
    <row r="22" spans="1:67" ht="14.25" customHeight="1">
      <c r="A22" s="42" t="s">
        <v>30</v>
      </c>
      <c r="B22" s="69" t="s">
        <v>30</v>
      </c>
      <c r="C22" s="84" t="s">
        <v>330</v>
      </c>
      <c r="D22" s="78" t="s">
        <v>65</v>
      </c>
      <c r="E22" s="78" t="s">
        <v>65</v>
      </c>
      <c r="F22" s="78" t="s">
        <v>331</v>
      </c>
      <c r="G22" s="78" t="s">
        <v>331</v>
      </c>
      <c r="H22" s="78" t="s">
        <v>304</v>
      </c>
      <c r="I22" s="78">
        <v>80</v>
      </c>
      <c r="J22" s="22">
        <v>198197</v>
      </c>
      <c r="K22" s="22">
        <v>57653</v>
      </c>
      <c r="L22" s="92">
        <f t="shared" si="0"/>
        <v>-0.70911265054465999</v>
      </c>
      <c r="M22" s="22">
        <v>22955</v>
      </c>
      <c r="N22" s="22">
        <v>38882</v>
      </c>
      <c r="O22" s="92">
        <f t="shared" si="1"/>
        <v>0.69383576562840299</v>
      </c>
      <c r="P22" s="61">
        <f t="shared" si="2"/>
        <v>221152</v>
      </c>
      <c r="Q22" s="61">
        <f t="shared" si="3"/>
        <v>96535</v>
      </c>
      <c r="R22" s="92">
        <f t="shared" si="4"/>
        <v>-0.56349026913615996</v>
      </c>
      <c r="S22" s="39">
        <v>13490</v>
      </c>
      <c r="T22" s="39">
        <v>55448</v>
      </c>
      <c r="U22" s="92">
        <f t="shared" si="5"/>
        <v>3.1103039288361698</v>
      </c>
      <c r="V22" s="38">
        <f t="shared" si="6"/>
        <v>234642</v>
      </c>
      <c r="W22" s="38">
        <f t="shared" si="7"/>
        <v>151983</v>
      </c>
      <c r="X22" s="92">
        <f t="shared" si="8"/>
        <v>-0.352277085943693</v>
      </c>
      <c r="Y22" s="39">
        <v>37102</v>
      </c>
      <c r="Z22" s="39">
        <v>26004</v>
      </c>
      <c r="AA22" s="92">
        <f t="shared" si="9"/>
        <v>-0.29912134116759198</v>
      </c>
      <c r="AB22" s="39">
        <f t="shared" si="10"/>
        <v>271744</v>
      </c>
      <c r="AC22" s="39">
        <f t="shared" si="11"/>
        <v>177987</v>
      </c>
      <c r="AD22" s="92">
        <f t="shared" si="12"/>
        <v>-0.34501957724917598</v>
      </c>
      <c r="AE22" s="101">
        <v>92010</v>
      </c>
      <c r="AF22" s="101">
        <f>3441+51497+26151</f>
        <v>81089</v>
      </c>
      <c r="AG22" s="92">
        <f t="shared" si="13"/>
        <v>-0.118693620258668</v>
      </c>
      <c r="AH22" s="101">
        <f t="shared" si="14"/>
        <v>363754</v>
      </c>
      <c r="AI22" s="101">
        <f t="shared" si="15"/>
        <v>259076</v>
      </c>
      <c r="AJ22" s="92">
        <f t="shared" si="16"/>
        <v>-0.28777140595017497</v>
      </c>
      <c r="AK22" s="22">
        <v>3173</v>
      </c>
      <c r="AL22" s="22">
        <f>4480+152569</f>
        <v>157049</v>
      </c>
      <c r="AM22" s="92">
        <f t="shared" si="17"/>
        <v>48.495430192247099</v>
      </c>
      <c r="AN22" s="101">
        <f t="shared" si="18"/>
        <v>366927</v>
      </c>
      <c r="AO22" s="101">
        <f t="shared" si="19"/>
        <v>416125</v>
      </c>
      <c r="AP22" s="92">
        <f t="shared" si="20"/>
        <v>0.13408116600849801</v>
      </c>
      <c r="AQ22" s="22">
        <v>50791</v>
      </c>
      <c r="AR22" s="22">
        <v>2560</v>
      </c>
      <c r="AS22" s="92">
        <f t="shared" si="21"/>
        <v>-0.949597369612727</v>
      </c>
      <c r="AT22" s="22">
        <f t="shared" si="22"/>
        <v>417718</v>
      </c>
      <c r="AU22" s="22">
        <f t="shared" si="23"/>
        <v>418685</v>
      </c>
      <c r="AV22" s="92">
        <f t="shared" si="24"/>
        <v>2.3149588957143098E-3</v>
      </c>
      <c r="AW22" s="22">
        <v>46822</v>
      </c>
      <c r="AX22" s="22">
        <f>21040+27726</f>
        <v>48766</v>
      </c>
      <c r="AY22" s="92">
        <f t="shared" si="25"/>
        <v>4.15189440861135E-2</v>
      </c>
      <c r="AZ22" s="22">
        <f t="shared" si="26"/>
        <v>464540</v>
      </c>
      <c r="BA22" s="22">
        <f t="shared" si="27"/>
        <v>467451</v>
      </c>
      <c r="BB22" s="92">
        <f t="shared" si="28"/>
        <v>6.2664140870538603E-3</v>
      </c>
      <c r="BC22" s="101">
        <v>42696</v>
      </c>
      <c r="BD22" s="101">
        <v>35244.5</v>
      </c>
      <c r="BE22" s="92">
        <f t="shared" si="29"/>
        <v>-0.17452454562488301</v>
      </c>
      <c r="BF22" s="101">
        <f t="shared" si="30"/>
        <v>507236</v>
      </c>
      <c r="BG22" s="101">
        <f t="shared" si="31"/>
        <v>502695.5</v>
      </c>
      <c r="BH22" s="92">
        <f t="shared" si="32"/>
        <v>-8.9514545497558808E-3</v>
      </c>
      <c r="BI22" s="39">
        <v>139827</v>
      </c>
      <c r="BJ22" s="28">
        <v>55709</v>
      </c>
      <c r="BK22" s="101">
        <v>155422</v>
      </c>
      <c r="BL22" s="22">
        <v>858194</v>
      </c>
      <c r="BM22" s="29">
        <f t="shared" si="33"/>
        <v>0.62836937500000001</v>
      </c>
      <c r="BN22" s="20">
        <v>34635</v>
      </c>
      <c r="BO22">
        <v>26151</v>
      </c>
    </row>
    <row r="23" spans="1:67" ht="14.25" customHeight="1">
      <c r="A23" s="42" t="s">
        <v>30</v>
      </c>
      <c r="B23" s="69" t="s">
        <v>30</v>
      </c>
      <c r="C23" s="99" t="s">
        <v>332</v>
      </c>
      <c r="D23" s="78" t="s">
        <v>61</v>
      </c>
      <c r="E23" s="78" t="s">
        <v>61</v>
      </c>
      <c r="F23" s="78" t="s">
        <v>307</v>
      </c>
      <c r="G23" s="78" t="s">
        <v>307</v>
      </c>
      <c r="H23" s="78" t="s">
        <v>308</v>
      </c>
      <c r="I23" s="78">
        <v>30</v>
      </c>
      <c r="J23" s="22">
        <v>25253</v>
      </c>
      <c r="K23" s="22"/>
      <c r="L23" s="92">
        <f t="shared" si="0"/>
        <v>-1</v>
      </c>
      <c r="M23" s="22"/>
      <c r="N23" s="22">
        <v>8054</v>
      </c>
      <c r="O23" s="92" t="e">
        <f t="shared" si="1"/>
        <v>#DIV/0!</v>
      </c>
      <c r="P23" s="61">
        <f t="shared" si="2"/>
        <v>25253</v>
      </c>
      <c r="Q23" s="61">
        <f t="shared" si="3"/>
        <v>8054</v>
      </c>
      <c r="R23" s="92">
        <f t="shared" si="4"/>
        <v>-0.68106759592919697</v>
      </c>
      <c r="S23" s="39">
        <v>10166</v>
      </c>
      <c r="T23" s="39"/>
      <c r="U23" s="92">
        <f t="shared" si="5"/>
        <v>-1</v>
      </c>
      <c r="V23" s="38">
        <f t="shared" si="6"/>
        <v>35419</v>
      </c>
      <c r="W23" s="38">
        <f t="shared" si="7"/>
        <v>8054</v>
      </c>
      <c r="X23" s="92">
        <f t="shared" si="8"/>
        <v>-0.77260792230159003</v>
      </c>
      <c r="Y23" s="39">
        <v>9194</v>
      </c>
      <c r="Z23" s="39"/>
      <c r="AA23" s="92">
        <f t="shared" si="9"/>
        <v>-1</v>
      </c>
      <c r="AB23" s="39">
        <f t="shared" si="10"/>
        <v>44613</v>
      </c>
      <c r="AC23" s="39">
        <f t="shared" si="11"/>
        <v>8054</v>
      </c>
      <c r="AD23" s="92">
        <f t="shared" si="12"/>
        <v>-0.81946966130948395</v>
      </c>
      <c r="AE23" s="101">
        <v>16472</v>
      </c>
      <c r="AF23" s="101"/>
      <c r="AG23" s="92">
        <f t="shared" si="13"/>
        <v>-1</v>
      </c>
      <c r="AH23" s="101">
        <f t="shared" si="14"/>
        <v>61085</v>
      </c>
      <c r="AI23" s="101">
        <f t="shared" si="15"/>
        <v>8054</v>
      </c>
      <c r="AJ23" s="92">
        <f t="shared" si="16"/>
        <v>-0.86815093721863001</v>
      </c>
      <c r="AK23" s="22">
        <v>23766</v>
      </c>
      <c r="AL23" s="22"/>
      <c r="AM23" s="92">
        <f t="shared" si="17"/>
        <v>-1</v>
      </c>
      <c r="AN23" s="101">
        <f t="shared" si="18"/>
        <v>84851</v>
      </c>
      <c r="AO23" s="101">
        <f t="shared" si="19"/>
        <v>8054</v>
      </c>
      <c r="AP23" s="92">
        <f t="shared" si="20"/>
        <v>-0.90508067082297206</v>
      </c>
      <c r="AQ23" s="22">
        <v>19411</v>
      </c>
      <c r="AR23" s="22">
        <v>4303</v>
      </c>
      <c r="AS23" s="92">
        <f t="shared" si="21"/>
        <v>-0.77832157024367599</v>
      </c>
      <c r="AT23" s="22">
        <f t="shared" si="22"/>
        <v>104262</v>
      </c>
      <c r="AU23" s="22">
        <f t="shared" si="23"/>
        <v>12357</v>
      </c>
      <c r="AV23" s="92">
        <f t="shared" si="24"/>
        <v>-0.88148126834321205</v>
      </c>
      <c r="AW23" s="22"/>
      <c r="AX23" s="22"/>
      <c r="AY23" s="92" t="e">
        <f t="shared" si="25"/>
        <v>#DIV/0!</v>
      </c>
      <c r="AZ23" s="22">
        <f t="shared" si="26"/>
        <v>104262</v>
      </c>
      <c r="BA23" s="22">
        <f t="shared" si="27"/>
        <v>12357</v>
      </c>
      <c r="BB23" s="92">
        <f t="shared" si="28"/>
        <v>-0.88148126834321205</v>
      </c>
      <c r="BC23" s="101">
        <v>2358</v>
      </c>
      <c r="BD23" s="101"/>
      <c r="BE23" s="92">
        <f t="shared" si="29"/>
        <v>-1</v>
      </c>
      <c r="BF23" s="101">
        <f t="shared" si="30"/>
        <v>106620</v>
      </c>
      <c r="BG23" s="101">
        <f t="shared" si="31"/>
        <v>12357</v>
      </c>
      <c r="BH23" s="92">
        <f t="shared" si="32"/>
        <v>-0.884102419808666</v>
      </c>
      <c r="BI23" s="39">
        <v>4176</v>
      </c>
      <c r="BJ23" s="28">
        <v>17786</v>
      </c>
      <c r="BK23" s="101">
        <v>1859</v>
      </c>
      <c r="BL23" s="22">
        <v>130441</v>
      </c>
      <c r="BM23" s="29">
        <f t="shared" si="33"/>
        <v>4.1189999999999997E-2</v>
      </c>
    </row>
    <row r="24" spans="1:67" ht="14.25" customHeight="1">
      <c r="A24" s="42" t="s">
        <v>30</v>
      </c>
      <c r="B24" s="69" t="s">
        <v>30</v>
      </c>
      <c r="C24" s="99" t="s">
        <v>333</v>
      </c>
      <c r="D24" s="78" t="s">
        <v>61</v>
      </c>
      <c r="E24" s="78" t="s">
        <v>61</v>
      </c>
      <c r="F24" s="78" t="s">
        <v>307</v>
      </c>
      <c r="G24" s="78" t="s">
        <v>307</v>
      </c>
      <c r="H24" s="78" t="s">
        <v>308</v>
      </c>
      <c r="I24" s="78">
        <v>30</v>
      </c>
      <c r="J24" s="22">
        <v>44290</v>
      </c>
      <c r="K24" s="22"/>
      <c r="L24" s="92">
        <f t="shared" si="0"/>
        <v>-1</v>
      </c>
      <c r="M24" s="22"/>
      <c r="N24" s="22"/>
      <c r="O24" s="92" t="e">
        <f t="shared" si="1"/>
        <v>#DIV/0!</v>
      </c>
      <c r="P24" s="61">
        <f t="shared" si="2"/>
        <v>44290</v>
      </c>
      <c r="Q24" s="61">
        <f t="shared" si="3"/>
        <v>0</v>
      </c>
      <c r="R24" s="92">
        <f t="shared" si="4"/>
        <v>-1</v>
      </c>
      <c r="S24" s="39">
        <v>11484</v>
      </c>
      <c r="T24" s="39">
        <v>9000</v>
      </c>
      <c r="U24" s="92">
        <f t="shared" si="5"/>
        <v>-0.21630094043887099</v>
      </c>
      <c r="V24" s="38">
        <f t="shared" si="6"/>
        <v>55774</v>
      </c>
      <c r="W24" s="38">
        <f t="shared" si="7"/>
        <v>9000</v>
      </c>
      <c r="X24" s="92">
        <f t="shared" si="8"/>
        <v>-0.83863448918851102</v>
      </c>
      <c r="Y24" s="39">
        <v>3652</v>
      </c>
      <c r="Z24" s="39"/>
      <c r="AA24" s="92">
        <f t="shared" si="9"/>
        <v>-1</v>
      </c>
      <c r="AB24" s="39">
        <f t="shared" si="10"/>
        <v>59426</v>
      </c>
      <c r="AC24" s="39">
        <f t="shared" si="11"/>
        <v>9000</v>
      </c>
      <c r="AD24" s="92">
        <f t="shared" si="12"/>
        <v>-0.848551139231986</v>
      </c>
      <c r="AE24" s="101"/>
      <c r="AF24" s="101">
        <v>17704</v>
      </c>
      <c r="AG24" s="92" t="e">
        <f t="shared" si="13"/>
        <v>#DIV/0!</v>
      </c>
      <c r="AH24" s="101">
        <f t="shared" si="14"/>
        <v>59426</v>
      </c>
      <c r="AI24" s="101">
        <f t="shared" si="15"/>
        <v>26704</v>
      </c>
      <c r="AJ24" s="92">
        <f t="shared" si="16"/>
        <v>-0.55063440245010598</v>
      </c>
      <c r="AK24" s="22">
        <v>6319</v>
      </c>
      <c r="AL24" s="22"/>
      <c r="AM24" s="92">
        <f t="shared" si="17"/>
        <v>-1</v>
      </c>
      <c r="AN24" s="101">
        <f t="shared" si="18"/>
        <v>65745</v>
      </c>
      <c r="AO24" s="101">
        <f t="shared" si="19"/>
        <v>26704</v>
      </c>
      <c r="AP24" s="92">
        <f t="shared" si="20"/>
        <v>-0.59382462544680203</v>
      </c>
      <c r="AQ24" s="22"/>
      <c r="AR24" s="22"/>
      <c r="AS24" s="92" t="e">
        <f t="shared" si="21"/>
        <v>#DIV/0!</v>
      </c>
      <c r="AT24" s="22">
        <f t="shared" si="22"/>
        <v>65745</v>
      </c>
      <c r="AU24" s="22">
        <f t="shared" si="23"/>
        <v>26704</v>
      </c>
      <c r="AV24" s="92">
        <f t="shared" si="24"/>
        <v>-0.59382462544680203</v>
      </c>
      <c r="AW24" s="22">
        <v>11439</v>
      </c>
      <c r="AX24" s="22">
        <v>5927</v>
      </c>
      <c r="AY24" s="92">
        <f t="shared" si="25"/>
        <v>-0.48186030247399197</v>
      </c>
      <c r="AZ24" s="22">
        <f t="shared" si="26"/>
        <v>77184</v>
      </c>
      <c r="BA24" s="22">
        <f t="shared" si="27"/>
        <v>32631</v>
      </c>
      <c r="BB24" s="92">
        <f t="shared" si="28"/>
        <v>-0.57723103233830897</v>
      </c>
      <c r="BC24" s="101">
        <v>20000</v>
      </c>
      <c r="BD24" s="101">
        <v>15873</v>
      </c>
      <c r="BE24" s="92">
        <f t="shared" si="29"/>
        <v>-0.20635000000000001</v>
      </c>
      <c r="BF24" s="101">
        <f t="shared" si="30"/>
        <v>97184</v>
      </c>
      <c r="BG24" s="101">
        <f t="shared" si="31"/>
        <v>48504</v>
      </c>
      <c r="BH24" s="92">
        <f t="shared" si="32"/>
        <v>-0.50090549884754698</v>
      </c>
      <c r="BI24" s="39"/>
      <c r="BJ24" s="28"/>
      <c r="BK24" s="101">
        <v>18807</v>
      </c>
      <c r="BL24" s="22">
        <v>115991</v>
      </c>
      <c r="BM24" s="29">
        <f t="shared" si="33"/>
        <v>0.16167999999999999</v>
      </c>
    </row>
    <row r="25" spans="1:67" ht="14.25" customHeight="1">
      <c r="A25" s="42" t="s">
        <v>30</v>
      </c>
      <c r="B25" s="69" t="s">
        <v>30</v>
      </c>
      <c r="C25" s="99" t="s">
        <v>334</v>
      </c>
      <c r="D25" s="78" t="s">
        <v>65</v>
      </c>
      <c r="E25" s="78" t="s">
        <v>65</v>
      </c>
      <c r="F25" s="78" t="s">
        <v>302</v>
      </c>
      <c r="G25" s="78" t="s">
        <v>303</v>
      </c>
      <c r="H25" s="78" t="s">
        <v>314</v>
      </c>
      <c r="I25" s="78">
        <v>30</v>
      </c>
      <c r="J25" s="22">
        <v>13315</v>
      </c>
      <c r="K25" s="22">
        <v>8525</v>
      </c>
      <c r="L25" s="92">
        <f t="shared" si="0"/>
        <v>-0.35974464889222701</v>
      </c>
      <c r="M25" s="22">
        <v>4203</v>
      </c>
      <c r="N25" s="22">
        <v>5014</v>
      </c>
      <c r="O25" s="92">
        <f t="shared" si="1"/>
        <v>0.19295741137282901</v>
      </c>
      <c r="P25" s="61">
        <f t="shared" si="2"/>
        <v>17518</v>
      </c>
      <c r="Q25" s="61">
        <f t="shared" si="3"/>
        <v>13539</v>
      </c>
      <c r="R25" s="92">
        <f t="shared" si="4"/>
        <v>-0.22713780111884899</v>
      </c>
      <c r="S25" s="39">
        <v>17227</v>
      </c>
      <c r="T25" s="39">
        <v>8116</v>
      </c>
      <c r="U25" s="92">
        <f t="shared" si="5"/>
        <v>-0.52887908515702098</v>
      </c>
      <c r="V25" s="38">
        <f t="shared" si="6"/>
        <v>34745</v>
      </c>
      <c r="W25" s="38">
        <f t="shared" si="7"/>
        <v>21655</v>
      </c>
      <c r="X25" s="92">
        <f t="shared" si="8"/>
        <v>-0.37674485537487401</v>
      </c>
      <c r="Y25" s="39">
        <v>5384</v>
      </c>
      <c r="Z25" s="39">
        <v>13951</v>
      </c>
      <c r="AA25" s="92">
        <f t="shared" si="9"/>
        <v>1.5911961367013401</v>
      </c>
      <c r="AB25" s="39">
        <f t="shared" si="10"/>
        <v>40129</v>
      </c>
      <c r="AC25" s="39">
        <f t="shared" si="11"/>
        <v>35606</v>
      </c>
      <c r="AD25" s="92">
        <f t="shared" si="12"/>
        <v>-0.112711505395101</v>
      </c>
      <c r="AE25" s="101">
        <v>29220</v>
      </c>
      <c r="AF25" s="101">
        <f>20450+33725</f>
        <v>54175</v>
      </c>
      <c r="AG25" s="92">
        <f t="shared" si="13"/>
        <v>0.85403832991102002</v>
      </c>
      <c r="AH25" s="101">
        <f t="shared" si="14"/>
        <v>69349</v>
      </c>
      <c r="AI25" s="101">
        <f t="shared" si="15"/>
        <v>89781</v>
      </c>
      <c r="AJ25" s="92">
        <f t="shared" si="16"/>
        <v>0.29462573360827099</v>
      </c>
      <c r="AK25" s="22">
        <v>18804</v>
      </c>
      <c r="AL25" s="22">
        <v>42855</v>
      </c>
      <c r="AM25" s="92">
        <f t="shared" si="17"/>
        <v>1.2790363752393099</v>
      </c>
      <c r="AN25" s="101">
        <f t="shared" si="18"/>
        <v>88153</v>
      </c>
      <c r="AO25" s="101">
        <f t="shared" si="19"/>
        <v>132636</v>
      </c>
      <c r="AP25" s="92">
        <f t="shared" si="20"/>
        <v>0.50461130080655203</v>
      </c>
      <c r="AQ25" s="22">
        <v>12513</v>
      </c>
      <c r="AR25" s="22">
        <v>38045</v>
      </c>
      <c r="AS25" s="92">
        <f t="shared" si="21"/>
        <v>2.0404379445376799</v>
      </c>
      <c r="AT25" s="22">
        <f t="shared" si="22"/>
        <v>100666</v>
      </c>
      <c r="AU25" s="22">
        <f t="shared" si="23"/>
        <v>170681</v>
      </c>
      <c r="AV25" s="92">
        <f t="shared" si="24"/>
        <v>0.69551785111159703</v>
      </c>
      <c r="AW25" s="22">
        <v>7756</v>
      </c>
      <c r="AX25" s="22">
        <v>30459</v>
      </c>
      <c r="AY25" s="92">
        <f t="shared" si="25"/>
        <v>2.9271531717380102</v>
      </c>
      <c r="AZ25" s="22">
        <f t="shared" si="26"/>
        <v>108422</v>
      </c>
      <c r="BA25" s="22">
        <f t="shared" si="27"/>
        <v>201140</v>
      </c>
      <c r="BB25" s="92">
        <f t="shared" si="28"/>
        <v>0.85515854715832595</v>
      </c>
      <c r="BC25" s="101">
        <v>41531</v>
      </c>
      <c r="BD25" s="101">
        <v>23024</v>
      </c>
      <c r="BE25" s="92">
        <f t="shared" si="29"/>
        <v>-0.44561893525318402</v>
      </c>
      <c r="BF25" s="101">
        <f t="shared" si="30"/>
        <v>149953</v>
      </c>
      <c r="BG25" s="101">
        <f t="shared" si="31"/>
        <v>224164</v>
      </c>
      <c r="BH25" s="92">
        <f t="shared" si="32"/>
        <v>0.49489506712103098</v>
      </c>
      <c r="BI25" s="39"/>
      <c r="BJ25" s="28">
        <v>5651</v>
      </c>
      <c r="BK25" s="101">
        <v>56416</v>
      </c>
      <c r="BL25" s="22">
        <v>212020</v>
      </c>
      <c r="BM25" s="29">
        <f t="shared" si="33"/>
        <v>0.74721333333333295</v>
      </c>
      <c r="BN25" s="20">
        <v>11238</v>
      </c>
      <c r="BO25">
        <v>33725</v>
      </c>
    </row>
    <row r="26" spans="1:67" ht="14.25" customHeight="1">
      <c r="A26" s="42" t="s">
        <v>30</v>
      </c>
      <c r="B26" s="69" t="s">
        <v>30</v>
      </c>
      <c r="C26" s="99" t="s">
        <v>335</v>
      </c>
      <c r="D26" s="78" t="s">
        <v>102</v>
      </c>
      <c r="E26" s="78" t="s">
        <v>102</v>
      </c>
      <c r="F26" s="78" t="s">
        <v>336</v>
      </c>
      <c r="G26" s="78" t="s">
        <v>336</v>
      </c>
      <c r="H26" s="78" t="s">
        <v>304</v>
      </c>
      <c r="I26" s="78">
        <v>120</v>
      </c>
      <c r="J26" s="22">
        <v>41589</v>
      </c>
      <c r="K26" s="22"/>
      <c r="L26" s="92">
        <f t="shared" si="0"/>
        <v>-1</v>
      </c>
      <c r="M26" s="22"/>
      <c r="N26" s="22"/>
      <c r="O26" s="92" t="e">
        <f t="shared" si="1"/>
        <v>#DIV/0!</v>
      </c>
      <c r="P26" s="61">
        <f t="shared" si="2"/>
        <v>41589</v>
      </c>
      <c r="Q26" s="61">
        <f t="shared" si="3"/>
        <v>0</v>
      </c>
      <c r="R26" s="92">
        <f t="shared" si="4"/>
        <v>-1</v>
      </c>
      <c r="S26" s="39"/>
      <c r="T26" s="39"/>
      <c r="U26" s="92" t="e">
        <f t="shared" si="5"/>
        <v>#DIV/0!</v>
      </c>
      <c r="V26" s="38">
        <f t="shared" si="6"/>
        <v>41589</v>
      </c>
      <c r="W26" s="38">
        <f t="shared" si="7"/>
        <v>0</v>
      </c>
      <c r="X26" s="92">
        <f t="shared" si="8"/>
        <v>-1</v>
      </c>
      <c r="Y26" s="39"/>
      <c r="Z26" s="39"/>
      <c r="AA26" s="92" t="e">
        <f t="shared" si="9"/>
        <v>#DIV/0!</v>
      </c>
      <c r="AB26" s="39">
        <f t="shared" si="10"/>
        <v>41589</v>
      </c>
      <c r="AC26" s="39">
        <f t="shared" si="11"/>
        <v>0</v>
      </c>
      <c r="AD26" s="92">
        <f t="shared" si="12"/>
        <v>-1</v>
      </c>
      <c r="AE26" s="101"/>
      <c r="AF26" s="101"/>
      <c r="AG26" s="92" t="e">
        <f t="shared" si="13"/>
        <v>#DIV/0!</v>
      </c>
      <c r="AH26" s="101">
        <f t="shared" si="14"/>
        <v>41589</v>
      </c>
      <c r="AI26" s="101">
        <f t="shared" si="15"/>
        <v>0</v>
      </c>
      <c r="AJ26" s="92">
        <f t="shared" si="16"/>
        <v>-1</v>
      </c>
      <c r="AK26" s="22"/>
      <c r="AL26" s="22"/>
      <c r="AM26" s="92" t="e">
        <f t="shared" si="17"/>
        <v>#DIV/0!</v>
      </c>
      <c r="AN26" s="101">
        <f t="shared" si="18"/>
        <v>41589</v>
      </c>
      <c r="AO26" s="101">
        <f t="shared" si="19"/>
        <v>0</v>
      </c>
      <c r="AP26" s="92">
        <f t="shared" si="20"/>
        <v>-1</v>
      </c>
      <c r="AQ26" s="22"/>
      <c r="AR26" s="22"/>
      <c r="AS26" s="92" t="e">
        <f t="shared" si="21"/>
        <v>#DIV/0!</v>
      </c>
      <c r="AT26" s="22">
        <f t="shared" si="22"/>
        <v>41589</v>
      </c>
      <c r="AU26" s="22">
        <f t="shared" si="23"/>
        <v>0</v>
      </c>
      <c r="AV26" s="92">
        <f t="shared" si="24"/>
        <v>-1</v>
      </c>
      <c r="AW26" s="22"/>
      <c r="AX26" s="22">
        <v>21000</v>
      </c>
      <c r="AY26" s="92" t="e">
        <f t="shared" si="25"/>
        <v>#DIV/0!</v>
      </c>
      <c r="AZ26" s="22">
        <f t="shared" si="26"/>
        <v>41589</v>
      </c>
      <c r="BA26" s="22">
        <f t="shared" si="27"/>
        <v>21000</v>
      </c>
      <c r="BB26" s="92">
        <f t="shared" si="28"/>
        <v>-0.49505878958378402</v>
      </c>
      <c r="BC26" s="101">
        <v>17800</v>
      </c>
      <c r="BD26" s="101"/>
      <c r="BE26" s="92">
        <f t="shared" si="29"/>
        <v>-1</v>
      </c>
      <c r="BF26" s="101">
        <f t="shared" si="30"/>
        <v>59389</v>
      </c>
      <c r="BG26" s="101">
        <f t="shared" si="31"/>
        <v>21000</v>
      </c>
      <c r="BH26" s="92">
        <f t="shared" si="32"/>
        <v>-0.64639916482850401</v>
      </c>
      <c r="BI26" s="39"/>
      <c r="BJ26" s="28"/>
      <c r="BK26" s="101"/>
      <c r="BL26" s="22">
        <v>59389</v>
      </c>
      <c r="BM26" s="29">
        <f t="shared" si="33"/>
        <v>1.7500000000000002E-2</v>
      </c>
    </row>
    <row r="27" spans="1:67" ht="14.25" customHeight="1">
      <c r="A27" s="42" t="s">
        <v>30</v>
      </c>
      <c r="B27" s="69" t="s">
        <v>30</v>
      </c>
      <c r="C27" s="99" t="s">
        <v>337</v>
      </c>
      <c r="D27" s="78" t="s">
        <v>102</v>
      </c>
      <c r="E27" s="78" t="s">
        <v>102</v>
      </c>
      <c r="F27" s="78" t="s">
        <v>336</v>
      </c>
      <c r="G27" s="78" t="s">
        <v>336</v>
      </c>
      <c r="H27" s="78" t="s">
        <v>304</v>
      </c>
      <c r="I27" s="78">
        <v>0</v>
      </c>
      <c r="J27" s="22">
        <v>28962</v>
      </c>
      <c r="K27" s="22">
        <v>19172</v>
      </c>
      <c r="L27" s="92">
        <f t="shared" si="0"/>
        <v>-0.33802914163386499</v>
      </c>
      <c r="M27" s="22">
        <v>790</v>
      </c>
      <c r="N27" s="22"/>
      <c r="O27" s="92">
        <f t="shared" si="1"/>
        <v>-1</v>
      </c>
      <c r="P27" s="61">
        <f t="shared" si="2"/>
        <v>29752</v>
      </c>
      <c r="Q27" s="61">
        <f t="shared" si="3"/>
        <v>19172</v>
      </c>
      <c r="R27" s="92">
        <f t="shared" si="4"/>
        <v>-0.35560634579188</v>
      </c>
      <c r="S27" s="39">
        <v>5710</v>
      </c>
      <c r="T27" s="39"/>
      <c r="U27" s="92">
        <f t="shared" si="5"/>
        <v>-1</v>
      </c>
      <c r="V27" s="38">
        <f t="shared" si="6"/>
        <v>35462</v>
      </c>
      <c r="W27" s="38">
        <f t="shared" si="7"/>
        <v>19172</v>
      </c>
      <c r="X27" s="92">
        <f t="shared" si="8"/>
        <v>-0.45936495403530497</v>
      </c>
      <c r="Y27" s="39"/>
      <c r="Z27" s="39">
        <v>5160</v>
      </c>
      <c r="AA27" s="92" t="e">
        <f t="shared" si="9"/>
        <v>#DIV/0!</v>
      </c>
      <c r="AB27" s="39">
        <f t="shared" si="10"/>
        <v>35462</v>
      </c>
      <c r="AC27" s="39">
        <f t="shared" si="11"/>
        <v>24332</v>
      </c>
      <c r="AD27" s="92">
        <f t="shared" si="12"/>
        <v>-0.31385708645874499</v>
      </c>
      <c r="AE27" s="101"/>
      <c r="AF27" s="101"/>
      <c r="AG27" s="92" t="e">
        <f t="shared" si="13"/>
        <v>#DIV/0!</v>
      </c>
      <c r="AH27" s="101">
        <f t="shared" si="14"/>
        <v>35462</v>
      </c>
      <c r="AI27" s="101">
        <f t="shared" si="15"/>
        <v>24332</v>
      </c>
      <c r="AJ27" s="92">
        <f t="shared" si="16"/>
        <v>-0.31385708645874499</v>
      </c>
      <c r="AK27" s="22">
        <v>3173</v>
      </c>
      <c r="AL27" s="22">
        <v>10808</v>
      </c>
      <c r="AM27" s="92">
        <f t="shared" si="17"/>
        <v>2.40624015127639</v>
      </c>
      <c r="AN27" s="101">
        <f t="shared" si="18"/>
        <v>38635</v>
      </c>
      <c r="AO27" s="101">
        <f t="shared" si="19"/>
        <v>35140</v>
      </c>
      <c r="AP27" s="92">
        <f t="shared" si="20"/>
        <v>-9.0462016306457907E-2</v>
      </c>
      <c r="AQ27" s="22">
        <v>3611</v>
      </c>
      <c r="AR27" s="22">
        <v>6500</v>
      </c>
      <c r="AS27" s="92">
        <f t="shared" si="21"/>
        <v>0.80005538631957895</v>
      </c>
      <c r="AT27" s="22">
        <f t="shared" si="22"/>
        <v>42246</v>
      </c>
      <c r="AU27" s="22">
        <f t="shared" si="23"/>
        <v>41640</v>
      </c>
      <c r="AV27" s="92">
        <f t="shared" si="24"/>
        <v>-1.4344553330492799E-2</v>
      </c>
      <c r="AW27" s="22"/>
      <c r="AX27" s="22"/>
      <c r="AY27" s="92" t="e">
        <f t="shared" si="25"/>
        <v>#DIV/0!</v>
      </c>
      <c r="AZ27" s="22">
        <f t="shared" si="26"/>
        <v>42246</v>
      </c>
      <c r="BA27" s="22">
        <f t="shared" si="27"/>
        <v>41640</v>
      </c>
      <c r="BB27" s="92">
        <f t="shared" si="28"/>
        <v>-1.4344553330492799E-2</v>
      </c>
      <c r="BC27" s="101">
        <v>5946</v>
      </c>
      <c r="BD27" s="101"/>
      <c r="BE27" s="92">
        <f t="shared" si="29"/>
        <v>-1</v>
      </c>
      <c r="BF27" s="101">
        <f t="shared" si="30"/>
        <v>48192</v>
      </c>
      <c r="BG27" s="101">
        <f t="shared" si="31"/>
        <v>41640</v>
      </c>
      <c r="BH27" s="92">
        <f t="shared" si="32"/>
        <v>-0.13595617529880499</v>
      </c>
      <c r="BI27" s="39">
        <v>13781</v>
      </c>
      <c r="BJ27" s="28">
        <v>7931</v>
      </c>
      <c r="BK27" s="101"/>
      <c r="BL27" s="22">
        <v>69904</v>
      </c>
      <c r="BM27" s="29" t="e">
        <f t="shared" si="33"/>
        <v>#DIV/0!</v>
      </c>
    </row>
    <row r="28" spans="1:67" ht="14.25" customHeight="1">
      <c r="A28" s="42" t="s">
        <v>30</v>
      </c>
      <c r="B28" s="69" t="s">
        <v>30</v>
      </c>
      <c r="C28" s="99" t="s">
        <v>338</v>
      </c>
      <c r="D28" s="78" t="s">
        <v>102</v>
      </c>
      <c r="E28" s="78" t="s">
        <v>102</v>
      </c>
      <c r="F28" s="78" t="s">
        <v>302</v>
      </c>
      <c r="G28" s="78" t="s">
        <v>317</v>
      </c>
      <c r="H28" s="78" t="s">
        <v>314</v>
      </c>
      <c r="I28" s="78"/>
      <c r="J28" s="22">
        <v>5339</v>
      </c>
      <c r="K28" s="22">
        <v>35308</v>
      </c>
      <c r="L28" s="92">
        <f t="shared" si="0"/>
        <v>5.6132234500842904</v>
      </c>
      <c r="M28" s="22">
        <v>10724</v>
      </c>
      <c r="N28" s="22"/>
      <c r="O28" s="92">
        <f t="shared" si="1"/>
        <v>-1</v>
      </c>
      <c r="P28" s="61">
        <f t="shared" si="2"/>
        <v>16063</v>
      </c>
      <c r="Q28" s="61">
        <f t="shared" si="3"/>
        <v>35308</v>
      </c>
      <c r="R28" s="92">
        <f t="shared" si="4"/>
        <v>1.19809500093382</v>
      </c>
      <c r="S28" s="39"/>
      <c r="T28" s="39"/>
      <c r="U28" s="92" t="e">
        <f t="shared" si="5"/>
        <v>#DIV/0!</v>
      </c>
      <c r="V28" s="38">
        <f t="shared" si="6"/>
        <v>16063</v>
      </c>
      <c r="W28" s="38">
        <f t="shared" si="7"/>
        <v>35308</v>
      </c>
      <c r="X28" s="92">
        <f t="shared" si="8"/>
        <v>1.19809500093382</v>
      </c>
      <c r="Y28" s="39">
        <v>1207</v>
      </c>
      <c r="Z28" s="39"/>
      <c r="AA28" s="92">
        <f t="shared" si="9"/>
        <v>-1</v>
      </c>
      <c r="AB28" s="39">
        <f t="shared" si="10"/>
        <v>17270</v>
      </c>
      <c r="AC28" s="39">
        <f t="shared" si="11"/>
        <v>35308</v>
      </c>
      <c r="AD28" s="92">
        <f t="shared" si="12"/>
        <v>1.0444701795020299</v>
      </c>
      <c r="AE28" s="101">
        <v>24500</v>
      </c>
      <c r="AF28" s="101"/>
      <c r="AG28" s="92">
        <f t="shared" si="13"/>
        <v>-1</v>
      </c>
      <c r="AH28" s="101">
        <f t="shared" si="14"/>
        <v>41770</v>
      </c>
      <c r="AI28" s="101">
        <f t="shared" si="15"/>
        <v>35308</v>
      </c>
      <c r="AJ28" s="92">
        <f t="shared" si="16"/>
        <v>-0.154704333253531</v>
      </c>
      <c r="AK28" s="22">
        <v>1692</v>
      </c>
      <c r="AL28" s="22"/>
      <c r="AM28" s="92">
        <f t="shared" si="17"/>
        <v>-1</v>
      </c>
      <c r="AN28" s="101">
        <f t="shared" si="18"/>
        <v>43462</v>
      </c>
      <c r="AO28" s="101">
        <f t="shared" si="19"/>
        <v>35308</v>
      </c>
      <c r="AP28" s="92">
        <f t="shared" si="20"/>
        <v>-0.187612166950439</v>
      </c>
      <c r="AQ28" s="22"/>
      <c r="AR28" s="22">
        <v>3173</v>
      </c>
      <c r="AS28" s="92" t="e">
        <f t="shared" si="21"/>
        <v>#DIV/0!</v>
      </c>
      <c r="AT28" s="22">
        <f t="shared" si="22"/>
        <v>43462</v>
      </c>
      <c r="AU28" s="22">
        <f t="shared" si="23"/>
        <v>38481</v>
      </c>
      <c r="AV28" s="92">
        <f t="shared" si="24"/>
        <v>-0.11460586259261001</v>
      </c>
      <c r="AW28" s="22"/>
      <c r="AX28" s="22"/>
      <c r="AY28" s="92" t="e">
        <f t="shared" si="25"/>
        <v>#DIV/0!</v>
      </c>
      <c r="AZ28" s="22">
        <f t="shared" si="26"/>
        <v>43462</v>
      </c>
      <c r="BA28" s="22">
        <f t="shared" si="27"/>
        <v>38481</v>
      </c>
      <c r="BB28" s="92">
        <f t="shared" si="28"/>
        <v>-0.11460586259261001</v>
      </c>
      <c r="BC28" s="101"/>
      <c r="BD28" s="101"/>
      <c r="BE28" s="92" t="e">
        <f t="shared" si="29"/>
        <v>#DIV/0!</v>
      </c>
      <c r="BF28" s="101">
        <f t="shared" si="30"/>
        <v>43462</v>
      </c>
      <c r="BG28" s="101">
        <f t="shared" si="31"/>
        <v>38481</v>
      </c>
      <c r="BH28" s="92">
        <f t="shared" si="32"/>
        <v>-0.11460586259261001</v>
      </c>
      <c r="BI28" s="39"/>
      <c r="BJ28" s="28"/>
      <c r="BK28" s="101"/>
      <c r="BL28" s="22">
        <v>43462</v>
      </c>
      <c r="BM28" s="29" t="e">
        <f t="shared" si="33"/>
        <v>#DIV/0!</v>
      </c>
    </row>
    <row r="29" spans="1:67" ht="14.25" customHeight="1">
      <c r="A29" s="42" t="s">
        <v>30</v>
      </c>
      <c r="B29" s="69" t="s">
        <v>30</v>
      </c>
      <c r="C29" s="99" t="s">
        <v>339</v>
      </c>
      <c r="D29" s="78" t="s">
        <v>61</v>
      </c>
      <c r="E29" s="78" t="s">
        <v>61</v>
      </c>
      <c r="F29" s="78" t="s">
        <v>302</v>
      </c>
      <c r="G29" s="78" t="s">
        <v>303</v>
      </c>
      <c r="H29" s="78" t="s">
        <v>304</v>
      </c>
      <c r="I29" s="78">
        <v>30</v>
      </c>
      <c r="J29" s="22"/>
      <c r="K29" s="22">
        <v>13405</v>
      </c>
      <c r="L29" s="92" t="e">
        <f t="shared" si="0"/>
        <v>#DIV/0!</v>
      </c>
      <c r="M29" s="22"/>
      <c r="N29" s="22">
        <v>10992</v>
      </c>
      <c r="O29" s="92" t="e">
        <f t="shared" si="1"/>
        <v>#DIV/0!</v>
      </c>
      <c r="P29" s="61">
        <f t="shared" si="2"/>
        <v>0</v>
      </c>
      <c r="Q29" s="61">
        <f t="shared" si="3"/>
        <v>24397</v>
      </c>
      <c r="R29" s="92" t="e">
        <f t="shared" si="4"/>
        <v>#DIV/0!</v>
      </c>
      <c r="S29" s="39"/>
      <c r="T29" s="39">
        <v>3990</v>
      </c>
      <c r="U29" s="92" t="e">
        <f t="shared" si="5"/>
        <v>#DIV/0!</v>
      </c>
      <c r="V29" s="38">
        <f t="shared" si="6"/>
        <v>0</v>
      </c>
      <c r="W29" s="38">
        <f t="shared" si="7"/>
        <v>28387</v>
      </c>
      <c r="X29" s="92" t="e">
        <f t="shared" si="8"/>
        <v>#DIV/0!</v>
      </c>
      <c r="Y29" s="39">
        <v>10134</v>
      </c>
      <c r="Z29" s="39">
        <v>25320</v>
      </c>
      <c r="AA29" s="92">
        <f t="shared" si="9"/>
        <v>1.4985198342214301</v>
      </c>
      <c r="AB29" s="39">
        <f t="shared" si="10"/>
        <v>10134</v>
      </c>
      <c r="AC29" s="39">
        <f t="shared" si="11"/>
        <v>53707</v>
      </c>
      <c r="AD29" s="92">
        <f t="shared" si="12"/>
        <v>4.2996842313005699</v>
      </c>
      <c r="AE29" s="101">
        <v>6473</v>
      </c>
      <c r="AF29" s="101">
        <v>4206</v>
      </c>
      <c r="AG29" s="92">
        <f t="shared" si="13"/>
        <v>-0.35022400741541798</v>
      </c>
      <c r="AH29" s="101">
        <f t="shared" si="14"/>
        <v>16607</v>
      </c>
      <c r="AI29" s="101">
        <f t="shared" si="15"/>
        <v>57913</v>
      </c>
      <c r="AJ29" s="92">
        <f t="shared" si="16"/>
        <v>2.48726440657554</v>
      </c>
      <c r="AK29" s="22">
        <v>6644</v>
      </c>
      <c r="AL29" s="22">
        <v>11402</v>
      </c>
      <c r="AM29" s="92">
        <f t="shared" si="17"/>
        <v>0.71613485851896397</v>
      </c>
      <c r="AN29" s="101">
        <f t="shared" si="18"/>
        <v>23251</v>
      </c>
      <c r="AO29" s="101">
        <f t="shared" si="19"/>
        <v>69315</v>
      </c>
      <c r="AP29" s="92">
        <f t="shared" si="20"/>
        <v>1.9811621005548199</v>
      </c>
      <c r="AQ29" s="22"/>
      <c r="AR29" s="22"/>
      <c r="AS29" s="92" t="e">
        <f t="shared" si="21"/>
        <v>#DIV/0!</v>
      </c>
      <c r="AT29" s="22">
        <f t="shared" si="22"/>
        <v>23251</v>
      </c>
      <c r="AU29" s="22">
        <f t="shared" si="23"/>
        <v>69315</v>
      </c>
      <c r="AV29" s="92">
        <f t="shared" si="24"/>
        <v>1.9811621005548199</v>
      </c>
      <c r="AW29" s="22"/>
      <c r="AX29" s="22"/>
      <c r="AY29" s="92" t="e">
        <f t="shared" si="25"/>
        <v>#DIV/0!</v>
      </c>
      <c r="AZ29" s="22">
        <f t="shared" si="26"/>
        <v>23251</v>
      </c>
      <c r="BA29" s="22">
        <f t="shared" si="27"/>
        <v>69315</v>
      </c>
      <c r="BB29" s="92">
        <f t="shared" si="28"/>
        <v>1.9811621005548199</v>
      </c>
      <c r="BC29" s="101">
        <v>15033</v>
      </c>
      <c r="BD29" s="101">
        <v>6809</v>
      </c>
      <c r="BE29" s="92">
        <f t="shared" si="29"/>
        <v>-0.54706312778553801</v>
      </c>
      <c r="BF29" s="101">
        <f t="shared" si="30"/>
        <v>38284</v>
      </c>
      <c r="BG29" s="101">
        <f t="shared" si="31"/>
        <v>76124</v>
      </c>
      <c r="BH29" s="92">
        <f t="shared" si="32"/>
        <v>0.98840246578205004</v>
      </c>
      <c r="BI29" s="39"/>
      <c r="BJ29" s="28">
        <v>1580</v>
      </c>
      <c r="BK29" s="101">
        <v>15123</v>
      </c>
      <c r="BL29" s="22">
        <v>54987</v>
      </c>
      <c r="BM29" s="29">
        <f t="shared" si="33"/>
        <v>0.25374666666666701</v>
      </c>
    </row>
    <row r="30" spans="1:67" ht="14.25" customHeight="1">
      <c r="A30" s="42" t="s">
        <v>30</v>
      </c>
      <c r="B30" s="69" t="s">
        <v>30</v>
      </c>
      <c r="C30" s="99" t="s">
        <v>340</v>
      </c>
      <c r="D30" s="78" t="s">
        <v>114</v>
      </c>
      <c r="E30" s="78" t="s">
        <v>114</v>
      </c>
      <c r="F30" s="78" t="s">
        <v>302</v>
      </c>
      <c r="G30" s="78" t="s">
        <v>317</v>
      </c>
      <c r="H30" s="78" t="s">
        <v>304</v>
      </c>
      <c r="I30" s="78"/>
      <c r="J30" s="22">
        <v>42263</v>
      </c>
      <c r="K30" s="22"/>
      <c r="L30" s="92">
        <f t="shared" si="0"/>
        <v>-1</v>
      </c>
      <c r="M30" s="22">
        <v>1790</v>
      </c>
      <c r="N30" s="22"/>
      <c r="O30" s="92">
        <f t="shared" si="1"/>
        <v>-1</v>
      </c>
      <c r="P30" s="61">
        <f t="shared" si="2"/>
        <v>44053</v>
      </c>
      <c r="Q30" s="61">
        <f t="shared" si="3"/>
        <v>0</v>
      </c>
      <c r="R30" s="92">
        <f t="shared" si="4"/>
        <v>-1</v>
      </c>
      <c r="S30" s="39"/>
      <c r="T30" s="39"/>
      <c r="U30" s="92" t="e">
        <f t="shared" si="5"/>
        <v>#DIV/0!</v>
      </c>
      <c r="V30" s="38">
        <f t="shared" si="6"/>
        <v>44053</v>
      </c>
      <c r="W30" s="38">
        <f t="shared" si="7"/>
        <v>0</v>
      </c>
      <c r="X30" s="92">
        <f t="shared" si="8"/>
        <v>-1</v>
      </c>
      <c r="Y30" s="39"/>
      <c r="Z30" s="39"/>
      <c r="AA30" s="92" t="e">
        <f t="shared" si="9"/>
        <v>#DIV/0!</v>
      </c>
      <c r="AB30" s="39">
        <f t="shared" si="10"/>
        <v>44053</v>
      </c>
      <c r="AC30" s="39">
        <f t="shared" si="11"/>
        <v>0</v>
      </c>
      <c r="AD30" s="92">
        <f t="shared" si="12"/>
        <v>-1</v>
      </c>
      <c r="AE30" s="101"/>
      <c r="AF30" s="101"/>
      <c r="AG30" s="92" t="e">
        <f t="shared" si="13"/>
        <v>#DIV/0!</v>
      </c>
      <c r="AH30" s="101">
        <f t="shared" si="14"/>
        <v>44053</v>
      </c>
      <c r="AI30" s="101">
        <f t="shared" si="15"/>
        <v>0</v>
      </c>
      <c r="AJ30" s="92">
        <f t="shared" si="16"/>
        <v>-1</v>
      </c>
      <c r="AK30" s="22"/>
      <c r="AL30" s="22"/>
      <c r="AM30" s="92" t="e">
        <f t="shared" si="17"/>
        <v>#DIV/0!</v>
      </c>
      <c r="AN30" s="101">
        <f t="shared" si="18"/>
        <v>44053</v>
      </c>
      <c r="AO30" s="101">
        <f t="shared" si="19"/>
        <v>0</v>
      </c>
      <c r="AP30" s="92">
        <f t="shared" si="20"/>
        <v>-1</v>
      </c>
      <c r="AQ30" s="22"/>
      <c r="AR30" s="22"/>
      <c r="AS30" s="92" t="e">
        <f t="shared" si="21"/>
        <v>#DIV/0!</v>
      </c>
      <c r="AT30" s="22">
        <f t="shared" si="22"/>
        <v>44053</v>
      </c>
      <c r="AU30" s="22">
        <f t="shared" si="23"/>
        <v>0</v>
      </c>
      <c r="AV30" s="92">
        <f t="shared" si="24"/>
        <v>-1</v>
      </c>
      <c r="AW30" s="22"/>
      <c r="AX30" s="22"/>
      <c r="AY30" s="92" t="e">
        <f t="shared" si="25"/>
        <v>#DIV/0!</v>
      </c>
      <c r="AZ30" s="22">
        <f t="shared" si="26"/>
        <v>44053</v>
      </c>
      <c r="BA30" s="22">
        <f t="shared" si="27"/>
        <v>0</v>
      </c>
      <c r="BB30" s="92">
        <f t="shared" si="28"/>
        <v>-1</v>
      </c>
      <c r="BC30" s="101"/>
      <c r="BD30" s="101"/>
      <c r="BE30" s="92" t="e">
        <f t="shared" si="29"/>
        <v>#DIV/0!</v>
      </c>
      <c r="BF30" s="101">
        <f t="shared" si="30"/>
        <v>44053</v>
      </c>
      <c r="BG30" s="101">
        <f t="shared" si="31"/>
        <v>0</v>
      </c>
      <c r="BH30" s="92">
        <f t="shared" si="32"/>
        <v>-1</v>
      </c>
      <c r="BI30" s="39"/>
      <c r="BJ30" s="28"/>
      <c r="BK30" s="101"/>
      <c r="BL30" s="22">
        <v>44053</v>
      </c>
      <c r="BM30" s="29" t="e">
        <f t="shared" si="33"/>
        <v>#DIV/0!</v>
      </c>
    </row>
    <row r="31" spans="1:67" ht="14.25" customHeight="1">
      <c r="A31" s="42" t="s">
        <v>30</v>
      </c>
      <c r="B31" s="69" t="s">
        <v>30</v>
      </c>
      <c r="C31" s="99" t="s">
        <v>341</v>
      </c>
      <c r="D31" s="78" t="s">
        <v>102</v>
      </c>
      <c r="E31" s="78" t="s">
        <v>102</v>
      </c>
      <c r="F31" s="78" t="s">
        <v>342</v>
      </c>
      <c r="G31" s="78" t="s">
        <v>342</v>
      </c>
      <c r="H31" s="78" t="s">
        <v>308</v>
      </c>
      <c r="I31" s="78">
        <v>30</v>
      </c>
      <c r="J31" s="22"/>
      <c r="K31" s="22"/>
      <c r="L31" s="92" t="e">
        <f t="shared" si="0"/>
        <v>#DIV/0!</v>
      </c>
      <c r="M31" s="22"/>
      <c r="N31" s="22"/>
      <c r="O31" s="92" t="e">
        <f t="shared" si="1"/>
        <v>#DIV/0!</v>
      </c>
      <c r="P31" s="61">
        <f t="shared" si="2"/>
        <v>0</v>
      </c>
      <c r="Q31" s="61">
        <f t="shared" si="3"/>
        <v>0</v>
      </c>
      <c r="R31" s="92" t="e">
        <f t="shared" si="4"/>
        <v>#DIV/0!</v>
      </c>
      <c r="S31" s="39"/>
      <c r="T31" s="39">
        <v>0</v>
      </c>
      <c r="U31" s="92" t="e">
        <f t="shared" si="5"/>
        <v>#DIV/0!</v>
      </c>
      <c r="V31" s="38">
        <f t="shared" si="6"/>
        <v>0</v>
      </c>
      <c r="W31" s="38">
        <f t="shared" si="7"/>
        <v>0</v>
      </c>
      <c r="X31" s="92" t="e">
        <f t="shared" si="8"/>
        <v>#DIV/0!</v>
      </c>
      <c r="Y31" s="39">
        <v>8400</v>
      </c>
      <c r="Z31" s="39"/>
      <c r="AA31" s="92">
        <f t="shared" si="9"/>
        <v>-1</v>
      </c>
      <c r="AB31" s="39">
        <f t="shared" si="10"/>
        <v>8400</v>
      </c>
      <c r="AC31" s="39">
        <f t="shared" si="11"/>
        <v>0</v>
      </c>
      <c r="AD31" s="92">
        <f t="shared" si="12"/>
        <v>-1</v>
      </c>
      <c r="AE31" s="101"/>
      <c r="AF31" s="101"/>
      <c r="AG31" s="92" t="e">
        <f t="shared" si="13"/>
        <v>#DIV/0!</v>
      </c>
      <c r="AH31" s="101">
        <f t="shared" si="14"/>
        <v>8400</v>
      </c>
      <c r="AI31" s="101">
        <f t="shared" si="15"/>
        <v>0</v>
      </c>
      <c r="AJ31" s="92">
        <f t="shared" si="16"/>
        <v>-1</v>
      </c>
      <c r="AK31" s="22"/>
      <c r="AL31" s="22"/>
      <c r="AM31" s="92" t="e">
        <f t="shared" si="17"/>
        <v>#DIV/0!</v>
      </c>
      <c r="AN31" s="101">
        <f t="shared" si="18"/>
        <v>8400</v>
      </c>
      <c r="AO31" s="101">
        <f t="shared" si="19"/>
        <v>0</v>
      </c>
      <c r="AP31" s="92">
        <f t="shared" si="20"/>
        <v>-1</v>
      </c>
      <c r="AQ31" s="22"/>
      <c r="AR31" s="22"/>
      <c r="AS31" s="92" t="e">
        <f t="shared" si="21"/>
        <v>#DIV/0!</v>
      </c>
      <c r="AT31" s="22">
        <f t="shared" si="22"/>
        <v>8400</v>
      </c>
      <c r="AU31" s="22">
        <f t="shared" si="23"/>
        <v>0</v>
      </c>
      <c r="AV31" s="92">
        <f t="shared" si="24"/>
        <v>-1</v>
      </c>
      <c r="AW31" s="22">
        <v>21616</v>
      </c>
      <c r="AX31" s="22"/>
      <c r="AY31" s="92">
        <f t="shared" si="25"/>
        <v>-1</v>
      </c>
      <c r="AZ31" s="22">
        <f t="shared" si="26"/>
        <v>30016</v>
      </c>
      <c r="BA31" s="22">
        <f t="shared" si="27"/>
        <v>0</v>
      </c>
      <c r="BB31" s="92">
        <f t="shared" si="28"/>
        <v>-1</v>
      </c>
      <c r="BC31" s="101"/>
      <c r="BD31" s="101"/>
      <c r="BE31" s="92" t="e">
        <f t="shared" si="29"/>
        <v>#DIV/0!</v>
      </c>
      <c r="BF31" s="101">
        <f t="shared" si="30"/>
        <v>30016</v>
      </c>
      <c r="BG31" s="101">
        <f t="shared" si="31"/>
        <v>0</v>
      </c>
      <c r="BH31" s="92">
        <f t="shared" si="32"/>
        <v>-1</v>
      </c>
      <c r="BI31" s="39">
        <v>6071</v>
      </c>
      <c r="BJ31" s="28"/>
      <c r="BK31" s="101"/>
      <c r="BL31" s="22">
        <v>36087</v>
      </c>
      <c r="BM31" s="29">
        <f t="shared" si="33"/>
        <v>0</v>
      </c>
    </row>
    <row r="32" spans="1:67" ht="14.25" customHeight="1">
      <c r="A32" s="42" t="s">
        <v>30</v>
      </c>
      <c r="B32" s="69" t="s">
        <v>30</v>
      </c>
      <c r="C32" s="99" t="s">
        <v>343</v>
      </c>
      <c r="D32" s="78" t="s">
        <v>61</v>
      </c>
      <c r="E32" s="78" t="s">
        <v>61</v>
      </c>
      <c r="F32" s="78" t="s">
        <v>302</v>
      </c>
      <c r="G32" s="78" t="s">
        <v>317</v>
      </c>
      <c r="H32" s="78" t="s">
        <v>314</v>
      </c>
      <c r="I32" s="78"/>
      <c r="J32" s="22"/>
      <c r="K32" s="22"/>
      <c r="L32" s="92" t="e">
        <f t="shared" si="0"/>
        <v>#DIV/0!</v>
      </c>
      <c r="M32" s="22"/>
      <c r="N32" s="22"/>
      <c r="O32" s="92" t="e">
        <f t="shared" si="1"/>
        <v>#DIV/0!</v>
      </c>
      <c r="P32" s="61">
        <f t="shared" si="2"/>
        <v>0</v>
      </c>
      <c r="Q32" s="61">
        <f t="shared" si="3"/>
        <v>0</v>
      </c>
      <c r="R32" s="92" t="e">
        <f t="shared" si="4"/>
        <v>#DIV/0!</v>
      </c>
      <c r="S32" s="39"/>
      <c r="T32" s="39"/>
      <c r="U32" s="92" t="e">
        <f t="shared" si="5"/>
        <v>#DIV/0!</v>
      </c>
      <c r="V32" s="38">
        <f t="shared" si="6"/>
        <v>0</v>
      </c>
      <c r="W32" s="38">
        <f t="shared" si="7"/>
        <v>0</v>
      </c>
      <c r="X32" s="92" t="e">
        <f t="shared" si="8"/>
        <v>#DIV/0!</v>
      </c>
      <c r="Y32" s="39">
        <v>107064</v>
      </c>
      <c r="Z32" s="39"/>
      <c r="AA32" s="92">
        <f t="shared" si="9"/>
        <v>-1</v>
      </c>
      <c r="AB32" s="39">
        <f t="shared" si="10"/>
        <v>107064</v>
      </c>
      <c r="AC32" s="39">
        <f t="shared" si="11"/>
        <v>0</v>
      </c>
      <c r="AD32" s="92">
        <f t="shared" si="12"/>
        <v>-1</v>
      </c>
      <c r="AE32" s="101"/>
      <c r="AF32" s="101"/>
      <c r="AG32" s="92" t="e">
        <f t="shared" si="13"/>
        <v>#DIV/0!</v>
      </c>
      <c r="AH32" s="101">
        <f t="shared" si="14"/>
        <v>107064</v>
      </c>
      <c r="AI32" s="101">
        <f t="shared" si="15"/>
        <v>0</v>
      </c>
      <c r="AJ32" s="92">
        <f t="shared" si="16"/>
        <v>-1</v>
      </c>
      <c r="AK32" s="22"/>
      <c r="AL32" s="22"/>
      <c r="AM32" s="92" t="e">
        <f t="shared" si="17"/>
        <v>#DIV/0!</v>
      </c>
      <c r="AN32" s="101">
        <f t="shared" si="18"/>
        <v>107064</v>
      </c>
      <c r="AO32" s="101">
        <f t="shared" si="19"/>
        <v>0</v>
      </c>
      <c r="AP32" s="92">
        <f t="shared" si="20"/>
        <v>-1</v>
      </c>
      <c r="AQ32" s="22"/>
      <c r="AR32" s="22"/>
      <c r="AS32" s="92" t="e">
        <f t="shared" si="21"/>
        <v>#DIV/0!</v>
      </c>
      <c r="AT32" s="22">
        <f t="shared" si="22"/>
        <v>107064</v>
      </c>
      <c r="AU32" s="22">
        <f t="shared" si="23"/>
        <v>0</v>
      </c>
      <c r="AV32" s="92">
        <f t="shared" si="24"/>
        <v>-1</v>
      </c>
      <c r="AW32" s="22"/>
      <c r="AX32" s="22"/>
      <c r="AY32" s="92" t="e">
        <f t="shared" si="25"/>
        <v>#DIV/0!</v>
      </c>
      <c r="AZ32" s="22">
        <f t="shared" si="26"/>
        <v>107064</v>
      </c>
      <c r="BA32" s="22">
        <f t="shared" si="27"/>
        <v>0</v>
      </c>
      <c r="BB32" s="92">
        <f t="shared" si="28"/>
        <v>-1</v>
      </c>
      <c r="BC32" s="101"/>
      <c r="BD32" s="101"/>
      <c r="BE32" s="92" t="e">
        <f t="shared" si="29"/>
        <v>#DIV/0!</v>
      </c>
      <c r="BF32" s="101">
        <f t="shared" si="30"/>
        <v>107064</v>
      </c>
      <c r="BG32" s="101">
        <f t="shared" si="31"/>
        <v>0</v>
      </c>
      <c r="BH32" s="92">
        <f t="shared" si="32"/>
        <v>-1</v>
      </c>
      <c r="BI32" s="39"/>
      <c r="BJ32" s="28"/>
      <c r="BK32" s="101"/>
      <c r="BL32" s="22">
        <v>107064</v>
      </c>
      <c r="BM32" s="29" t="e">
        <f t="shared" si="33"/>
        <v>#DIV/0!</v>
      </c>
    </row>
    <row r="33" spans="1:65" ht="14.25" customHeight="1">
      <c r="A33" s="42" t="s">
        <v>30</v>
      </c>
      <c r="B33" s="69" t="s">
        <v>30</v>
      </c>
      <c r="C33" s="99" t="s">
        <v>344</v>
      </c>
      <c r="D33" s="78" t="s">
        <v>114</v>
      </c>
      <c r="E33" s="78" t="s">
        <v>114</v>
      </c>
      <c r="F33" s="78" t="s">
        <v>302</v>
      </c>
      <c r="G33" s="78" t="s">
        <v>302</v>
      </c>
      <c r="H33" s="78" t="s">
        <v>304</v>
      </c>
      <c r="I33" s="78"/>
      <c r="J33" s="22"/>
      <c r="K33" s="22">
        <v>3080</v>
      </c>
      <c r="L33" s="92" t="e">
        <f t="shared" si="0"/>
        <v>#DIV/0!</v>
      </c>
      <c r="M33" s="22"/>
      <c r="N33" s="22">
        <v>456</v>
      </c>
      <c r="O33" s="92" t="e">
        <f t="shared" si="1"/>
        <v>#DIV/0!</v>
      </c>
      <c r="P33" s="61">
        <f t="shared" si="2"/>
        <v>0</v>
      </c>
      <c r="Q33" s="61">
        <f t="shared" si="3"/>
        <v>3536</v>
      </c>
      <c r="R33" s="92" t="e">
        <f t="shared" si="4"/>
        <v>#DIV/0!</v>
      </c>
      <c r="S33" s="39"/>
      <c r="T33" s="39"/>
      <c r="U33" s="92" t="e">
        <f t="shared" si="5"/>
        <v>#DIV/0!</v>
      </c>
      <c r="V33" s="38">
        <f t="shared" si="6"/>
        <v>0</v>
      </c>
      <c r="W33" s="38">
        <f t="shared" si="7"/>
        <v>3536</v>
      </c>
      <c r="X33" s="92" t="e">
        <f t="shared" si="8"/>
        <v>#DIV/0!</v>
      </c>
      <c r="Y33" s="39"/>
      <c r="Z33" s="39">
        <v>12921</v>
      </c>
      <c r="AA33" s="92" t="e">
        <f t="shared" si="9"/>
        <v>#DIV/0!</v>
      </c>
      <c r="AB33" s="39">
        <f t="shared" si="10"/>
        <v>0</v>
      </c>
      <c r="AC33" s="39">
        <f t="shared" si="11"/>
        <v>16457</v>
      </c>
      <c r="AD33" s="92" t="e">
        <f t="shared" si="12"/>
        <v>#DIV/0!</v>
      </c>
      <c r="AE33" s="101"/>
      <c r="AF33" s="101">
        <v>7300</v>
      </c>
      <c r="AG33" s="92" t="e">
        <f t="shared" si="13"/>
        <v>#DIV/0!</v>
      </c>
      <c r="AH33" s="101">
        <f t="shared" si="14"/>
        <v>0</v>
      </c>
      <c r="AI33" s="101">
        <f t="shared" si="15"/>
        <v>23757</v>
      </c>
      <c r="AJ33" s="92" t="e">
        <f t="shared" si="16"/>
        <v>#DIV/0!</v>
      </c>
      <c r="AK33" s="22"/>
      <c r="AL33" s="22">
        <v>8131.2</v>
      </c>
      <c r="AM33" s="92" t="e">
        <f t="shared" si="17"/>
        <v>#DIV/0!</v>
      </c>
      <c r="AN33" s="101">
        <f t="shared" si="18"/>
        <v>0</v>
      </c>
      <c r="AO33" s="101">
        <f t="shared" si="19"/>
        <v>31888.2</v>
      </c>
      <c r="AP33" s="92" t="e">
        <f t="shared" si="20"/>
        <v>#DIV/0!</v>
      </c>
      <c r="AQ33" s="22"/>
      <c r="AR33" s="22">
        <v>10884</v>
      </c>
      <c r="AS33" s="92" t="e">
        <f t="shared" si="21"/>
        <v>#DIV/0!</v>
      </c>
      <c r="AT33" s="22">
        <f t="shared" si="22"/>
        <v>0</v>
      </c>
      <c r="AU33" s="22">
        <f t="shared" si="23"/>
        <v>42772.2</v>
      </c>
      <c r="AV33" s="92" t="e">
        <f t="shared" si="24"/>
        <v>#DIV/0!</v>
      </c>
      <c r="AW33" s="22"/>
      <c r="AX33" s="22">
        <v>114</v>
      </c>
      <c r="AY33" s="92" t="e">
        <f t="shared" si="25"/>
        <v>#DIV/0!</v>
      </c>
      <c r="AZ33" s="22">
        <f t="shared" si="26"/>
        <v>0</v>
      </c>
      <c r="BA33" s="22">
        <f t="shared" si="27"/>
        <v>42886.2</v>
      </c>
      <c r="BB33" s="92" t="e">
        <f t="shared" si="28"/>
        <v>#DIV/0!</v>
      </c>
      <c r="BC33" s="101"/>
      <c r="BD33" s="101">
        <v>7300</v>
      </c>
      <c r="BE33" s="92" t="e">
        <f t="shared" si="29"/>
        <v>#DIV/0!</v>
      </c>
      <c r="BF33" s="101">
        <f t="shared" si="30"/>
        <v>0</v>
      </c>
      <c r="BG33" s="101">
        <f t="shared" si="31"/>
        <v>50186.2</v>
      </c>
      <c r="BH33" s="92" t="e">
        <f t="shared" si="32"/>
        <v>#DIV/0!</v>
      </c>
      <c r="BI33" s="39"/>
      <c r="BJ33" s="28"/>
      <c r="BK33" s="101">
        <v>5748.4</v>
      </c>
      <c r="BL33" s="22">
        <v>5748.4</v>
      </c>
      <c r="BM33" s="29" t="e">
        <f t="shared" si="33"/>
        <v>#DIV/0!</v>
      </c>
    </row>
    <row r="34" spans="1:65" ht="14.25" customHeight="1">
      <c r="A34" s="42" t="s">
        <v>30</v>
      </c>
      <c r="B34" s="69" t="s">
        <v>30</v>
      </c>
      <c r="C34" s="99" t="s">
        <v>345</v>
      </c>
      <c r="D34" s="78" t="s">
        <v>61</v>
      </c>
      <c r="E34" s="78" t="s">
        <v>61</v>
      </c>
      <c r="F34" s="78" t="s">
        <v>336</v>
      </c>
      <c r="G34" s="78" t="s">
        <v>336</v>
      </c>
      <c r="H34" s="78" t="s">
        <v>304</v>
      </c>
      <c r="I34" s="78"/>
      <c r="J34" s="22"/>
      <c r="K34" s="22"/>
      <c r="L34" s="92"/>
      <c r="M34" s="22"/>
      <c r="N34" s="22"/>
      <c r="O34" s="92"/>
      <c r="P34" s="61"/>
      <c r="Q34" s="61"/>
      <c r="R34" s="92"/>
      <c r="S34" s="39"/>
      <c r="T34" s="39"/>
      <c r="U34" s="92"/>
      <c r="V34" s="38"/>
      <c r="W34" s="38"/>
      <c r="X34" s="92"/>
      <c r="Y34" s="39"/>
      <c r="Z34" s="39"/>
      <c r="AA34" s="92"/>
      <c r="AB34" s="39"/>
      <c r="AC34" s="39"/>
      <c r="AD34" s="92"/>
      <c r="AE34" s="101"/>
      <c r="AF34" s="101"/>
      <c r="AG34" s="92"/>
      <c r="AH34" s="101"/>
      <c r="AI34" s="101"/>
      <c r="AJ34" s="92"/>
      <c r="AK34" s="22"/>
      <c r="AL34" s="22"/>
      <c r="AM34" s="92"/>
      <c r="AN34" s="101"/>
      <c r="AO34" s="101"/>
      <c r="AP34" s="92"/>
      <c r="AQ34" s="22"/>
      <c r="AR34" s="22"/>
      <c r="AS34" s="92"/>
      <c r="AT34" s="22"/>
      <c r="AU34" s="22"/>
      <c r="AV34" s="92"/>
      <c r="AW34" s="22"/>
      <c r="AX34" s="22"/>
      <c r="AY34" s="92"/>
      <c r="AZ34" s="22"/>
      <c r="BA34" s="22"/>
      <c r="BB34" s="92"/>
      <c r="BC34" s="101"/>
      <c r="BD34" s="101">
        <v>9504</v>
      </c>
      <c r="BE34" s="92" t="e">
        <f t="shared" si="29"/>
        <v>#DIV/0!</v>
      </c>
      <c r="BF34" s="101">
        <f t="shared" si="30"/>
        <v>0</v>
      </c>
      <c r="BG34" s="101">
        <f t="shared" si="31"/>
        <v>9504</v>
      </c>
      <c r="BH34" s="92" t="e">
        <f t="shared" si="32"/>
        <v>#DIV/0!</v>
      </c>
      <c r="BI34" s="39"/>
      <c r="BJ34" s="28"/>
      <c r="BK34" s="101"/>
      <c r="BL34" s="22"/>
      <c r="BM34" s="29" t="e">
        <f t="shared" si="33"/>
        <v>#DIV/0!</v>
      </c>
    </row>
    <row r="35" spans="1:65" ht="14.25" customHeight="1">
      <c r="A35" s="42" t="s">
        <v>30</v>
      </c>
      <c r="B35" s="69">
        <v>42</v>
      </c>
      <c r="C35" s="81" t="s">
        <v>31</v>
      </c>
      <c r="D35" s="78"/>
      <c r="E35" s="78"/>
      <c r="F35" s="78">
        <v>0</v>
      </c>
      <c r="G35" s="33"/>
      <c r="H35" s="78"/>
      <c r="I35" s="93">
        <f>SUM(I3:I33)</f>
        <v>1140</v>
      </c>
      <c r="J35" s="28">
        <f t="shared" ref="J35:N35" si="34">SUM(J3:J33)</f>
        <v>987273</v>
      </c>
      <c r="K35" s="28">
        <f t="shared" si="34"/>
        <v>979673.76</v>
      </c>
      <c r="L35" s="92">
        <f>K35/J35-1</f>
        <v>-7.6972022935905002E-3</v>
      </c>
      <c r="M35" s="28">
        <f t="shared" si="34"/>
        <v>496989.73</v>
      </c>
      <c r="N35" s="28">
        <f t="shared" si="34"/>
        <v>426348.02</v>
      </c>
      <c r="O35" s="92">
        <f>N35/M35-1</f>
        <v>-0.14213917458616299</v>
      </c>
      <c r="P35" s="100">
        <f t="shared" ref="P35:T35" si="35">SUM(P3:P33)</f>
        <v>1484262.73</v>
      </c>
      <c r="Q35" s="100">
        <f t="shared" si="35"/>
        <v>1406021.78</v>
      </c>
      <c r="R35" s="92">
        <f>Q35/P35-1</f>
        <v>-5.27136796057662E-2</v>
      </c>
      <c r="S35" s="100">
        <f t="shared" si="35"/>
        <v>704817.31</v>
      </c>
      <c r="T35" s="100">
        <f t="shared" si="35"/>
        <v>895972.45</v>
      </c>
      <c r="U35" s="92">
        <f>T35/S35-1</f>
        <v>0.27121232309121301</v>
      </c>
      <c r="V35" s="100">
        <f t="shared" ref="V35:Z35" si="36">SUM(V3:V33)</f>
        <v>2189080.04</v>
      </c>
      <c r="W35" s="100">
        <f t="shared" si="36"/>
        <v>2301994.23</v>
      </c>
      <c r="X35" s="92">
        <f>W35/V35-1</f>
        <v>5.1580658512605099E-2</v>
      </c>
      <c r="Y35" s="100">
        <f t="shared" si="36"/>
        <v>634914</v>
      </c>
      <c r="Z35" s="100">
        <f t="shared" si="36"/>
        <v>940883.01</v>
      </c>
      <c r="AA35" s="92">
        <f>Z35/Y35-1</f>
        <v>0.48190622667006899</v>
      </c>
      <c r="AB35" s="100">
        <f t="shared" ref="AB35:AF35" si="37">SUM(AB3:AB33)</f>
        <v>2823994.04</v>
      </c>
      <c r="AC35" s="100">
        <f t="shared" si="37"/>
        <v>3242877.24</v>
      </c>
      <c r="AD35" s="92">
        <f>AC35/AB35-1</f>
        <v>0.14833005809034899</v>
      </c>
      <c r="AE35" s="93">
        <f t="shared" si="37"/>
        <v>730473.41</v>
      </c>
      <c r="AF35" s="93">
        <f t="shared" si="37"/>
        <v>967383.15</v>
      </c>
      <c r="AG35" s="92">
        <f>AF35/AE35-1</f>
        <v>0.32432356435807802</v>
      </c>
      <c r="AH35" s="93">
        <f t="shared" ref="AH35:AL35" si="38">SUM(AH3:AH33)</f>
        <v>3554467.45</v>
      </c>
      <c r="AI35" s="93">
        <f t="shared" si="38"/>
        <v>4210260.3899999997</v>
      </c>
      <c r="AJ35" s="92">
        <f>AI35/AH35-1</f>
        <v>0.18449822630954199</v>
      </c>
      <c r="AK35" s="102">
        <f t="shared" si="38"/>
        <v>396701.38</v>
      </c>
      <c r="AL35" s="102">
        <f t="shared" si="38"/>
        <v>995385.52</v>
      </c>
      <c r="AM35" s="92">
        <f>AL35/AK35-1</f>
        <v>1.50915567775439</v>
      </c>
      <c r="AN35" s="102">
        <f t="shared" ref="AN35:AR35" si="39">SUM(AN3:AN33)</f>
        <v>3951168.83</v>
      </c>
      <c r="AO35" s="102">
        <f t="shared" si="39"/>
        <v>5205645.91</v>
      </c>
      <c r="AP35" s="92">
        <f>AO35/AN35-1</f>
        <v>0.317495185342409</v>
      </c>
      <c r="AQ35" s="102">
        <f t="shared" si="39"/>
        <v>528805.98</v>
      </c>
      <c r="AR35" s="102">
        <f t="shared" si="39"/>
        <v>665570.61</v>
      </c>
      <c r="AS35" s="92">
        <f>AR35/AQ35-1</f>
        <v>0.25862912896711199</v>
      </c>
      <c r="AT35" s="103">
        <f t="shared" ref="AT35:AX35" si="40">SUM(AT3:AT33)</f>
        <v>4479974.8099999996</v>
      </c>
      <c r="AU35" s="103">
        <f t="shared" si="40"/>
        <v>5871216.5199999996</v>
      </c>
      <c r="AV35" s="92">
        <f>AU35/AT35-1</f>
        <v>0.31054677068597097</v>
      </c>
      <c r="AW35" s="103">
        <f t="shared" si="40"/>
        <v>747759.2</v>
      </c>
      <c r="AX35" s="103">
        <f t="shared" si="40"/>
        <v>600199.76</v>
      </c>
      <c r="AY35" s="92">
        <f>AX35/AW35-1</f>
        <v>-0.197335505868734</v>
      </c>
      <c r="AZ35" s="103">
        <f t="shared" ref="AZ35:BA35" si="41">SUM(AZ3:AZ33)</f>
        <v>5227734.01</v>
      </c>
      <c r="BA35" s="103">
        <f t="shared" si="41"/>
        <v>6471416.2800000003</v>
      </c>
      <c r="BB35" s="92">
        <f>BA35/AZ35-1</f>
        <v>0.23790083191321301</v>
      </c>
      <c r="BC35" s="103">
        <f t="shared" ref="BC35:BG35" si="42">SUM(BC3:BC34)</f>
        <v>1304515.76</v>
      </c>
      <c r="BD35" s="103">
        <f t="shared" si="42"/>
        <v>463720.7</v>
      </c>
      <c r="BE35" s="92">
        <f t="shared" si="29"/>
        <v>-0.64452656363461602</v>
      </c>
      <c r="BF35" s="103">
        <f t="shared" si="42"/>
        <v>6532249.7699999996</v>
      </c>
      <c r="BG35" s="103">
        <f t="shared" si="42"/>
        <v>6935136.9800000004</v>
      </c>
      <c r="BH35" s="92">
        <f t="shared" si="32"/>
        <v>6.1676638858835203E-2</v>
      </c>
      <c r="BI35" s="104">
        <v>768318.57</v>
      </c>
      <c r="BJ35" s="104">
        <v>1557250.42</v>
      </c>
      <c r="BK35" s="104">
        <v>1738010.44</v>
      </c>
      <c r="BL35" s="105">
        <v>10595829.199999999</v>
      </c>
      <c r="BM35" s="29">
        <f t="shared" si="33"/>
        <v>0.60834534912280702</v>
      </c>
    </row>
  </sheetData>
  <mergeCells count="43">
    <mergeCell ref="P1:Q1"/>
    <mergeCell ref="S1:T1"/>
    <mergeCell ref="V1:W1"/>
    <mergeCell ref="R1:R2"/>
    <mergeCell ref="U1:U2"/>
    <mergeCell ref="X1:X2"/>
    <mergeCell ref="AA1:AA2"/>
    <mergeCell ref="AN1:AO1"/>
    <mergeCell ref="Y1:Z1"/>
    <mergeCell ref="AB1:AC1"/>
    <mergeCell ref="AE1:AF1"/>
    <mergeCell ref="AH1:AI1"/>
    <mergeCell ref="AK1:AL1"/>
    <mergeCell ref="AD1:AD2"/>
    <mergeCell ref="AG1:AG2"/>
    <mergeCell ref="AJ1:AJ2"/>
    <mergeCell ref="G1:G2"/>
    <mergeCell ref="H1:H2"/>
    <mergeCell ref="I1:I2"/>
    <mergeCell ref="L1:L2"/>
    <mergeCell ref="O1:O2"/>
    <mergeCell ref="J1:K1"/>
    <mergeCell ref="M1:N1"/>
    <mergeCell ref="B1:B2"/>
    <mergeCell ref="C1:C2"/>
    <mergeCell ref="D1:D2"/>
    <mergeCell ref="E1:E2"/>
    <mergeCell ref="F1:F2"/>
    <mergeCell ref="BB1:BB2"/>
    <mergeCell ref="BE1:BE2"/>
    <mergeCell ref="BH1:BH2"/>
    <mergeCell ref="BM1:BM2"/>
    <mergeCell ref="AM1:AM2"/>
    <mergeCell ref="AP1:AP2"/>
    <mergeCell ref="AS1:AS2"/>
    <mergeCell ref="AV1:AV2"/>
    <mergeCell ref="AY1:AY2"/>
    <mergeCell ref="BC1:BD1"/>
    <mergeCell ref="BF1:BG1"/>
    <mergeCell ref="AQ1:AR1"/>
    <mergeCell ref="AT1:AU1"/>
    <mergeCell ref="AW1:AX1"/>
    <mergeCell ref="AZ1:BA1"/>
  </mergeCells>
  <phoneticPr fontId="32" type="noConversion"/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BP63"/>
  <sheetViews>
    <sheetView workbookViewId="0">
      <pane xSplit="9" ySplit="2" topLeftCell="J3" activePane="bottomRight" state="frozen"/>
      <selection pane="topRight"/>
      <selection pane="bottomLeft"/>
      <selection pane="bottomRight" activeCell="J33" sqref="A1:BN62"/>
    </sheetView>
  </sheetViews>
  <sheetFormatPr baseColWidth="10" defaultColWidth="9" defaultRowHeight="14"/>
  <cols>
    <col min="1" max="1" width="4.1640625" style="19" customWidth="1"/>
    <col min="2" max="2" width="5.33203125" style="19" customWidth="1"/>
    <col min="3" max="3" width="30.6640625" style="76" customWidth="1"/>
    <col min="4" max="6" width="8.33203125" style="19" customWidth="1"/>
    <col min="7" max="7" width="8.33203125" style="19" hidden="1" customWidth="1"/>
    <col min="8" max="9" width="8.33203125" style="19" customWidth="1"/>
    <col min="10" max="16" width="9" style="77" customWidth="1"/>
    <col min="17" max="17" width="9.5" style="77" customWidth="1"/>
    <col min="18" max="18" width="9" style="77" customWidth="1"/>
    <col min="19" max="24" width="9.83203125" style="19" customWidth="1"/>
    <col min="25" max="27" width="9" style="77" customWidth="1"/>
    <col min="28" max="29" width="11.1640625" style="77" customWidth="1"/>
    <col min="30" max="30" width="9" style="77" customWidth="1"/>
    <col min="31" max="36" width="10.1640625" style="77" customWidth="1"/>
    <col min="37" max="54" width="11.1640625" style="77" customWidth="1"/>
    <col min="55" max="57" width="9.1640625" style="77" customWidth="1"/>
    <col min="58" max="59" width="11.1640625" style="77" customWidth="1"/>
    <col min="60" max="60" width="9.1640625" style="77" customWidth="1"/>
    <col min="61" max="61" width="11.1640625" style="77" hidden="1" customWidth="1"/>
    <col min="62" max="62" width="10.1640625" style="77" hidden="1" customWidth="1"/>
    <col min="63" max="64" width="11.1640625" style="77" hidden="1" customWidth="1"/>
    <col min="65" max="65" width="11.1640625" style="77"/>
    <col min="66" max="66" width="9" style="77" customWidth="1"/>
    <col min="67" max="68" width="9" style="19"/>
  </cols>
  <sheetData>
    <row r="1" spans="1:66">
      <c r="A1" s="78"/>
      <c r="B1" s="78"/>
      <c r="C1" s="219" t="s">
        <v>46</v>
      </c>
      <c r="D1" s="207" t="s">
        <v>47</v>
      </c>
      <c r="E1" s="207" t="s">
        <v>48</v>
      </c>
      <c r="F1" s="207" t="s">
        <v>49</v>
      </c>
      <c r="G1" s="207" t="s">
        <v>50</v>
      </c>
      <c r="H1" s="226" t="s">
        <v>51</v>
      </c>
      <c r="I1" s="227" t="s">
        <v>38</v>
      </c>
      <c r="J1" s="205" t="s">
        <v>3</v>
      </c>
      <c r="K1" s="206"/>
      <c r="L1" s="203" t="s">
        <v>4</v>
      </c>
      <c r="M1" s="197" t="s">
        <v>5</v>
      </c>
      <c r="N1" s="197"/>
      <c r="O1" s="196" t="s">
        <v>4</v>
      </c>
      <c r="P1" s="197" t="s">
        <v>39</v>
      </c>
      <c r="Q1" s="197"/>
      <c r="R1" s="196" t="s">
        <v>4</v>
      </c>
      <c r="S1" s="197" t="s">
        <v>6</v>
      </c>
      <c r="T1" s="197"/>
      <c r="U1" s="196" t="s">
        <v>4</v>
      </c>
      <c r="V1" s="197" t="s">
        <v>7</v>
      </c>
      <c r="W1" s="197"/>
      <c r="X1" s="196" t="s">
        <v>4</v>
      </c>
      <c r="Y1" s="197" t="s">
        <v>8</v>
      </c>
      <c r="Z1" s="197"/>
      <c r="AA1" s="196" t="s">
        <v>4</v>
      </c>
      <c r="AB1" s="197" t="s">
        <v>9</v>
      </c>
      <c r="AC1" s="197"/>
      <c r="AD1" s="196" t="s">
        <v>4</v>
      </c>
      <c r="AE1" s="197" t="s">
        <v>10</v>
      </c>
      <c r="AF1" s="197"/>
      <c r="AG1" s="196" t="s">
        <v>4</v>
      </c>
      <c r="AH1" s="197" t="s">
        <v>11</v>
      </c>
      <c r="AI1" s="197"/>
      <c r="AJ1" s="196" t="s">
        <v>4</v>
      </c>
      <c r="AK1" s="197" t="s">
        <v>12</v>
      </c>
      <c r="AL1" s="197"/>
      <c r="AM1" s="196" t="s">
        <v>4</v>
      </c>
      <c r="AN1" s="197" t="s">
        <v>13</v>
      </c>
      <c r="AO1" s="197"/>
      <c r="AP1" s="196" t="s">
        <v>4</v>
      </c>
      <c r="AQ1" s="197" t="s">
        <v>14</v>
      </c>
      <c r="AR1" s="197"/>
      <c r="AS1" s="196" t="s">
        <v>4</v>
      </c>
      <c r="AT1" s="197" t="s">
        <v>15</v>
      </c>
      <c r="AU1" s="197"/>
      <c r="AV1" s="187" t="s">
        <v>4</v>
      </c>
      <c r="AW1" s="197" t="s">
        <v>16</v>
      </c>
      <c r="AX1" s="197"/>
      <c r="AY1" s="196" t="s">
        <v>4</v>
      </c>
      <c r="AZ1" s="197" t="s">
        <v>17</v>
      </c>
      <c r="BA1" s="197"/>
      <c r="BB1" s="187" t="s">
        <v>4</v>
      </c>
      <c r="BC1" s="191" t="s">
        <v>18</v>
      </c>
      <c r="BD1" s="192"/>
      <c r="BE1" s="187" t="s">
        <v>4</v>
      </c>
      <c r="BF1" s="191" t="s">
        <v>19</v>
      </c>
      <c r="BG1" s="192"/>
      <c r="BH1" s="187" t="s">
        <v>4</v>
      </c>
      <c r="BI1" s="78" t="s">
        <v>40</v>
      </c>
      <c r="BJ1" s="78" t="s">
        <v>41</v>
      </c>
      <c r="BK1" s="78" t="s">
        <v>42</v>
      </c>
      <c r="BL1" s="78" t="s">
        <v>133</v>
      </c>
      <c r="BM1" s="199" t="s">
        <v>20</v>
      </c>
      <c r="BN1" s="22"/>
    </row>
    <row r="2" spans="1:66">
      <c r="A2" s="78"/>
      <c r="B2" s="78"/>
      <c r="C2" s="219"/>
      <c r="D2" s="207"/>
      <c r="E2" s="207"/>
      <c r="F2" s="207"/>
      <c r="G2" s="207"/>
      <c r="H2" s="226"/>
      <c r="I2" s="228"/>
      <c r="J2" s="63" t="s">
        <v>21</v>
      </c>
      <c r="K2" s="64" t="s">
        <v>22</v>
      </c>
      <c r="L2" s="204"/>
      <c r="M2" s="35" t="s">
        <v>21</v>
      </c>
      <c r="N2" s="35" t="s">
        <v>22</v>
      </c>
      <c r="O2" s="196"/>
      <c r="P2" s="35" t="s">
        <v>21</v>
      </c>
      <c r="Q2" s="35" t="s">
        <v>22</v>
      </c>
      <c r="R2" s="196"/>
      <c r="S2" s="35" t="s">
        <v>21</v>
      </c>
      <c r="T2" s="35" t="s">
        <v>22</v>
      </c>
      <c r="U2" s="196"/>
      <c r="V2" s="35" t="s">
        <v>21</v>
      </c>
      <c r="W2" s="35" t="s">
        <v>22</v>
      </c>
      <c r="X2" s="196"/>
      <c r="Y2" s="35" t="s">
        <v>21</v>
      </c>
      <c r="Z2" s="35" t="s">
        <v>22</v>
      </c>
      <c r="AA2" s="196"/>
      <c r="AB2" s="35" t="s">
        <v>21</v>
      </c>
      <c r="AC2" s="35" t="s">
        <v>22</v>
      </c>
      <c r="AD2" s="196"/>
      <c r="AE2" s="35" t="s">
        <v>21</v>
      </c>
      <c r="AF2" s="35" t="s">
        <v>22</v>
      </c>
      <c r="AG2" s="196"/>
      <c r="AH2" s="35" t="s">
        <v>21</v>
      </c>
      <c r="AI2" s="35" t="s">
        <v>22</v>
      </c>
      <c r="AJ2" s="196"/>
      <c r="AK2" s="35" t="s">
        <v>21</v>
      </c>
      <c r="AL2" s="35" t="s">
        <v>22</v>
      </c>
      <c r="AM2" s="196"/>
      <c r="AN2" s="35" t="s">
        <v>21</v>
      </c>
      <c r="AO2" s="35" t="s">
        <v>22</v>
      </c>
      <c r="AP2" s="196"/>
      <c r="AQ2" s="35" t="s">
        <v>21</v>
      </c>
      <c r="AR2" s="35" t="s">
        <v>22</v>
      </c>
      <c r="AS2" s="196"/>
      <c r="AT2" s="35" t="s">
        <v>21</v>
      </c>
      <c r="AU2" s="35" t="s">
        <v>22</v>
      </c>
      <c r="AV2" s="187"/>
      <c r="AW2" s="35" t="s">
        <v>21</v>
      </c>
      <c r="AX2" s="35" t="s">
        <v>22</v>
      </c>
      <c r="AY2" s="196"/>
      <c r="AZ2" s="35" t="s">
        <v>21</v>
      </c>
      <c r="BA2" s="35" t="s">
        <v>22</v>
      </c>
      <c r="BB2" s="187"/>
      <c r="BC2" s="35" t="s">
        <v>21</v>
      </c>
      <c r="BD2" s="35" t="s">
        <v>22</v>
      </c>
      <c r="BE2" s="187"/>
      <c r="BF2" s="35" t="s">
        <v>21</v>
      </c>
      <c r="BG2" s="35" t="s">
        <v>22</v>
      </c>
      <c r="BH2" s="187"/>
      <c r="BI2" s="64" t="s">
        <v>21</v>
      </c>
      <c r="BJ2" s="64" t="s">
        <v>21</v>
      </c>
      <c r="BK2" s="64" t="s">
        <v>21</v>
      </c>
      <c r="BL2" s="64" t="s">
        <v>21</v>
      </c>
      <c r="BM2" s="199"/>
      <c r="BN2" s="22" t="s">
        <v>52</v>
      </c>
    </row>
    <row r="3" spans="1:66">
      <c r="A3" s="80" t="s">
        <v>33</v>
      </c>
      <c r="B3" s="80" t="s">
        <v>33</v>
      </c>
      <c r="C3" s="174" t="s">
        <v>346</v>
      </c>
      <c r="D3" s="33" t="s">
        <v>56</v>
      </c>
      <c r="E3" s="33" t="s">
        <v>56</v>
      </c>
      <c r="F3" s="176" t="s">
        <v>347</v>
      </c>
      <c r="G3" s="176" t="s">
        <v>347</v>
      </c>
      <c r="H3" s="33" t="s">
        <v>348</v>
      </c>
      <c r="I3" s="33">
        <v>350</v>
      </c>
      <c r="J3" s="91"/>
      <c r="K3" s="91">
        <v>420000</v>
      </c>
      <c r="L3" s="92" t="e">
        <f t="shared" ref="L3:L50" si="0">K3/J3-1</f>
        <v>#DIV/0!</v>
      </c>
      <c r="M3" s="91"/>
      <c r="N3" s="91"/>
      <c r="O3" s="92" t="e">
        <f t="shared" ref="O3:O50" si="1">N3/M3-1</f>
        <v>#DIV/0!</v>
      </c>
      <c r="P3" s="91">
        <f t="shared" ref="P3:P50" si="2">M3+J3</f>
        <v>0</v>
      </c>
      <c r="Q3" s="91">
        <f t="shared" ref="Q3:Q50" si="3">N3+K3</f>
        <v>420000</v>
      </c>
      <c r="R3" s="92" t="e">
        <f t="shared" ref="R3:R50" si="4">Q3/P3-1</f>
        <v>#DIV/0!</v>
      </c>
      <c r="S3" s="38">
        <v>170000</v>
      </c>
      <c r="T3" s="38">
        <v>950000</v>
      </c>
      <c r="U3" s="92">
        <f t="shared" ref="U3:U51" si="5">T3/S3-1</f>
        <v>4.5882352941176503</v>
      </c>
      <c r="V3" s="38">
        <f t="shared" ref="V3:V51" si="6">S3+P3</f>
        <v>170000</v>
      </c>
      <c r="W3" s="38">
        <f t="shared" ref="W3:W51" si="7">T3+Q3</f>
        <v>1370000</v>
      </c>
      <c r="X3" s="92">
        <f t="shared" ref="X3:X51" si="8">W3/V3-1</f>
        <v>7.0588235294117601</v>
      </c>
      <c r="Y3" s="38">
        <v>90000</v>
      </c>
      <c r="Z3" s="38">
        <v>260000</v>
      </c>
      <c r="AA3" s="92">
        <f t="shared" ref="AA3:AA52" si="9">Z3/Y3-1</f>
        <v>1.8888888888888899</v>
      </c>
      <c r="AB3" s="38">
        <f t="shared" ref="AB3:AB52" si="10">V3+Y3</f>
        <v>260000</v>
      </c>
      <c r="AC3" s="38">
        <f t="shared" ref="AC3:AC52" si="11">W3+Z3</f>
        <v>1630000</v>
      </c>
      <c r="AD3" s="92">
        <f t="shared" ref="AD3:AD52" si="12">AC3/AB3-1</f>
        <v>5.2692307692307701</v>
      </c>
      <c r="AE3" s="22">
        <v>300000</v>
      </c>
      <c r="AF3" s="22">
        <v>170000</v>
      </c>
      <c r="AG3" s="92">
        <f t="shared" ref="AG3:AG55" si="13">AF3/AE3-1</f>
        <v>-0.43333333333333302</v>
      </c>
      <c r="AH3" s="22">
        <f t="shared" ref="AH3:AH55" si="14">AE3+AB3</f>
        <v>560000</v>
      </c>
      <c r="AI3" s="22">
        <f t="shared" ref="AI3:AI55" si="15">AF3+AC3</f>
        <v>1800000</v>
      </c>
      <c r="AJ3" s="92">
        <f t="shared" ref="AJ3:AJ55" si="16">AI3/AH3-1</f>
        <v>2.21428571428571</v>
      </c>
      <c r="AK3" s="22">
        <v>170000</v>
      </c>
      <c r="AL3" s="22">
        <v>570000</v>
      </c>
      <c r="AM3" s="92">
        <f t="shared" ref="AM3:AM55" si="17">AL3/AK3-1</f>
        <v>2.3529411764705901</v>
      </c>
      <c r="AN3" s="22">
        <f t="shared" ref="AN3:AN55" si="18">AK3+AH3</f>
        <v>730000</v>
      </c>
      <c r="AO3" s="22">
        <f t="shared" ref="AO3:AO55" si="19">AL3+AI3</f>
        <v>2370000</v>
      </c>
      <c r="AP3" s="92">
        <f t="shared" ref="AP3:AP55" si="20">AO3/AN3-1</f>
        <v>2.24657534246575</v>
      </c>
      <c r="AQ3" s="22">
        <v>350000</v>
      </c>
      <c r="AR3" s="22">
        <v>500000</v>
      </c>
      <c r="AS3" s="92">
        <f t="shared" ref="AS3:AS60" si="21">AR3/AQ3-1</f>
        <v>0.42857142857142899</v>
      </c>
      <c r="AT3" s="22">
        <f t="shared" ref="AT3:AT60" si="22">AQ3+AN3</f>
        <v>1080000</v>
      </c>
      <c r="AU3" s="22">
        <f t="shared" ref="AU3:AU60" si="23">AR3+AO3</f>
        <v>2870000</v>
      </c>
      <c r="AV3" s="92">
        <f t="shared" ref="AV3:AV60" si="24">AU3/AT3-1</f>
        <v>1.6574074074074101</v>
      </c>
      <c r="AW3" s="38">
        <v>390000</v>
      </c>
      <c r="AX3" s="38">
        <v>200000</v>
      </c>
      <c r="AY3" s="92">
        <f t="shared" ref="AY3:AY62" si="25">AX3/AW3-1</f>
        <v>-0.487179487179487</v>
      </c>
      <c r="AZ3" s="38">
        <f t="shared" ref="AZ3:AZ61" si="26">AT3+AW3</f>
        <v>1470000</v>
      </c>
      <c r="BA3" s="38">
        <f t="shared" ref="BA3:BA61" si="27">AU3+AX3</f>
        <v>3070000</v>
      </c>
      <c r="BB3" s="92">
        <f t="shared" ref="BB3:BB62" si="28">BA3/AZ3-1</f>
        <v>1.08843537414966</v>
      </c>
      <c r="BC3" s="38">
        <v>350000</v>
      </c>
      <c r="BD3" s="38">
        <v>230000</v>
      </c>
      <c r="BE3" s="92">
        <f t="shared" ref="BE3:BE62" si="29">BD3/BC3-1</f>
        <v>-0.34285714285714303</v>
      </c>
      <c r="BF3" s="38">
        <f t="shared" ref="BF3:BF61" si="30">BC3+AZ3</f>
        <v>1820000</v>
      </c>
      <c r="BG3" s="38">
        <f t="shared" ref="BG3:BG61" si="31">BD3+BA3</f>
        <v>3300000</v>
      </c>
      <c r="BH3" s="92">
        <f t="shared" ref="BH3:BH62" si="32">BG3/BF3-1</f>
        <v>0.81318681318681296</v>
      </c>
      <c r="BI3" s="22">
        <v>300000</v>
      </c>
      <c r="BJ3" s="22">
        <v>650000</v>
      </c>
      <c r="BK3" s="22">
        <v>230000</v>
      </c>
      <c r="BL3" s="22">
        <v>3000000</v>
      </c>
      <c r="BM3" s="96">
        <f t="shared" ref="BM3:BM62" si="33">BG3/10000/I3</f>
        <v>0.94285714285714295</v>
      </c>
      <c r="BN3" s="22"/>
    </row>
    <row r="4" spans="1:66" ht="15">
      <c r="A4" s="80" t="s">
        <v>33</v>
      </c>
      <c r="B4" s="80" t="s">
        <v>33</v>
      </c>
      <c r="C4" s="82" t="s">
        <v>349</v>
      </c>
      <c r="D4" s="33" t="s">
        <v>61</v>
      </c>
      <c r="E4" s="33" t="s">
        <v>61</v>
      </c>
      <c r="F4" s="176" t="s">
        <v>347</v>
      </c>
      <c r="G4" s="176" t="s">
        <v>347</v>
      </c>
      <c r="H4" s="33" t="s">
        <v>348</v>
      </c>
      <c r="I4" s="33">
        <v>40</v>
      </c>
      <c r="J4" s="91"/>
      <c r="K4" s="91"/>
      <c r="L4" s="92" t="e">
        <f t="shared" si="0"/>
        <v>#DIV/0!</v>
      </c>
      <c r="M4" s="91"/>
      <c r="N4" s="91"/>
      <c r="O4" s="92" t="e">
        <f t="shared" si="1"/>
        <v>#DIV/0!</v>
      </c>
      <c r="P4" s="91">
        <f t="shared" si="2"/>
        <v>0</v>
      </c>
      <c r="Q4" s="91">
        <f t="shared" si="3"/>
        <v>0</v>
      </c>
      <c r="R4" s="92" t="e">
        <f t="shared" si="4"/>
        <v>#DIV/0!</v>
      </c>
      <c r="S4" s="38"/>
      <c r="T4" s="38">
        <v>17000</v>
      </c>
      <c r="U4" s="92" t="e">
        <f t="shared" si="5"/>
        <v>#DIV/0!</v>
      </c>
      <c r="V4" s="38">
        <f t="shared" si="6"/>
        <v>0</v>
      </c>
      <c r="W4" s="38">
        <f t="shared" si="7"/>
        <v>17000</v>
      </c>
      <c r="X4" s="92" t="e">
        <f t="shared" si="8"/>
        <v>#DIV/0!</v>
      </c>
      <c r="Y4" s="38">
        <v>30000</v>
      </c>
      <c r="Z4" s="38"/>
      <c r="AA4" s="92">
        <f t="shared" si="9"/>
        <v>-1</v>
      </c>
      <c r="AB4" s="38">
        <f t="shared" si="10"/>
        <v>30000</v>
      </c>
      <c r="AC4" s="38">
        <f t="shared" si="11"/>
        <v>17000</v>
      </c>
      <c r="AD4" s="92">
        <f t="shared" si="12"/>
        <v>-0.43333333333333302</v>
      </c>
      <c r="AE4" s="22"/>
      <c r="AF4" s="22"/>
      <c r="AG4" s="92" t="e">
        <f t="shared" si="13"/>
        <v>#DIV/0!</v>
      </c>
      <c r="AH4" s="22">
        <f t="shared" si="14"/>
        <v>30000</v>
      </c>
      <c r="AI4" s="22">
        <f t="shared" si="15"/>
        <v>17000</v>
      </c>
      <c r="AJ4" s="92">
        <f t="shared" si="16"/>
        <v>-0.43333333333333302</v>
      </c>
      <c r="AK4" s="22">
        <v>30000</v>
      </c>
      <c r="AL4" s="22"/>
      <c r="AM4" s="92">
        <f t="shared" si="17"/>
        <v>-1</v>
      </c>
      <c r="AN4" s="22">
        <f t="shared" si="18"/>
        <v>60000</v>
      </c>
      <c r="AO4" s="22">
        <f t="shared" si="19"/>
        <v>17000</v>
      </c>
      <c r="AP4" s="92">
        <f t="shared" si="20"/>
        <v>-0.71666666666666701</v>
      </c>
      <c r="AQ4" s="22"/>
      <c r="AR4" s="22"/>
      <c r="AS4" s="92" t="e">
        <f t="shared" si="21"/>
        <v>#DIV/0!</v>
      </c>
      <c r="AT4" s="22">
        <f t="shared" si="22"/>
        <v>60000</v>
      </c>
      <c r="AU4" s="22">
        <f t="shared" si="23"/>
        <v>17000</v>
      </c>
      <c r="AV4" s="92">
        <f t="shared" si="24"/>
        <v>-0.71666666666666701</v>
      </c>
      <c r="AW4" s="38"/>
      <c r="AX4" s="38"/>
      <c r="AY4" s="92" t="e">
        <f t="shared" si="25"/>
        <v>#DIV/0!</v>
      </c>
      <c r="AZ4" s="38">
        <f t="shared" si="26"/>
        <v>60000</v>
      </c>
      <c r="BA4" s="38">
        <f t="shared" si="27"/>
        <v>17000</v>
      </c>
      <c r="BB4" s="92">
        <f t="shared" si="28"/>
        <v>-0.71666666666666701</v>
      </c>
      <c r="BC4" s="38"/>
      <c r="BD4" s="38"/>
      <c r="BE4" s="92" t="e">
        <f t="shared" si="29"/>
        <v>#DIV/0!</v>
      </c>
      <c r="BF4" s="38">
        <f t="shared" si="30"/>
        <v>60000</v>
      </c>
      <c r="BG4" s="38">
        <f t="shared" si="31"/>
        <v>17000</v>
      </c>
      <c r="BH4" s="92">
        <f t="shared" si="32"/>
        <v>-0.71666666666666701</v>
      </c>
      <c r="BI4" s="22">
        <v>50000</v>
      </c>
      <c r="BJ4" s="22"/>
      <c r="BK4" s="22"/>
      <c r="BL4" s="22">
        <v>110000</v>
      </c>
      <c r="BM4" s="96">
        <f t="shared" si="33"/>
        <v>4.2500000000000003E-2</v>
      </c>
      <c r="BN4" s="22"/>
    </row>
    <row r="5" spans="1:66">
      <c r="A5" s="80" t="s">
        <v>33</v>
      </c>
      <c r="B5" s="80" t="s">
        <v>33</v>
      </c>
      <c r="C5" s="174" t="s">
        <v>350</v>
      </c>
      <c r="D5" s="33" t="s">
        <v>61</v>
      </c>
      <c r="E5" s="33" t="s">
        <v>56</v>
      </c>
      <c r="F5" s="33" t="s">
        <v>351</v>
      </c>
      <c r="G5" s="33" t="s">
        <v>351</v>
      </c>
      <c r="H5" s="33" t="s">
        <v>352</v>
      </c>
      <c r="I5" s="33">
        <v>50</v>
      </c>
      <c r="J5" s="91">
        <v>50000</v>
      </c>
      <c r="K5" s="91">
        <v>110000</v>
      </c>
      <c r="L5" s="92">
        <f t="shared" si="0"/>
        <v>1.2</v>
      </c>
      <c r="M5" s="91"/>
      <c r="N5" s="91"/>
      <c r="O5" s="92" t="e">
        <f t="shared" si="1"/>
        <v>#DIV/0!</v>
      </c>
      <c r="P5" s="91">
        <f t="shared" si="2"/>
        <v>50000</v>
      </c>
      <c r="Q5" s="91">
        <f t="shared" si="3"/>
        <v>110000</v>
      </c>
      <c r="R5" s="92">
        <f t="shared" si="4"/>
        <v>1.2</v>
      </c>
      <c r="S5" s="38">
        <v>60000</v>
      </c>
      <c r="T5" s="38">
        <v>110000</v>
      </c>
      <c r="U5" s="92">
        <f t="shared" si="5"/>
        <v>0.83333333333333304</v>
      </c>
      <c r="V5" s="38">
        <f t="shared" si="6"/>
        <v>110000</v>
      </c>
      <c r="W5" s="38">
        <f t="shared" si="7"/>
        <v>220000</v>
      </c>
      <c r="X5" s="92">
        <f t="shared" si="8"/>
        <v>1</v>
      </c>
      <c r="Y5" s="38">
        <v>30000</v>
      </c>
      <c r="Z5" s="38">
        <v>80000</v>
      </c>
      <c r="AA5" s="92">
        <f t="shared" si="9"/>
        <v>1.6666666666666701</v>
      </c>
      <c r="AB5" s="38">
        <f t="shared" si="10"/>
        <v>140000</v>
      </c>
      <c r="AC5" s="38">
        <f t="shared" si="11"/>
        <v>300000</v>
      </c>
      <c r="AD5" s="92">
        <f t="shared" si="12"/>
        <v>1.1428571428571399</v>
      </c>
      <c r="AE5" s="22">
        <v>80000</v>
      </c>
      <c r="AF5" s="22">
        <v>110000</v>
      </c>
      <c r="AG5" s="92">
        <f t="shared" si="13"/>
        <v>0.375</v>
      </c>
      <c r="AH5" s="22">
        <f t="shared" si="14"/>
        <v>220000</v>
      </c>
      <c r="AI5" s="22">
        <f t="shared" si="15"/>
        <v>410000</v>
      </c>
      <c r="AJ5" s="92">
        <f t="shared" si="16"/>
        <v>0.86363636363636398</v>
      </c>
      <c r="AK5" s="22">
        <v>118042</v>
      </c>
      <c r="AL5" s="22">
        <v>80000</v>
      </c>
      <c r="AM5" s="92">
        <f t="shared" si="17"/>
        <v>-0.32227512241405598</v>
      </c>
      <c r="AN5" s="22">
        <f t="shared" si="18"/>
        <v>338042</v>
      </c>
      <c r="AO5" s="22">
        <f t="shared" si="19"/>
        <v>490000</v>
      </c>
      <c r="AP5" s="92">
        <f t="shared" si="20"/>
        <v>0.44952402364203298</v>
      </c>
      <c r="AQ5" s="22"/>
      <c r="AR5" s="22">
        <v>80000</v>
      </c>
      <c r="AS5" s="92" t="e">
        <f t="shared" si="21"/>
        <v>#DIV/0!</v>
      </c>
      <c r="AT5" s="22">
        <f t="shared" si="22"/>
        <v>338042</v>
      </c>
      <c r="AU5" s="22">
        <f t="shared" si="23"/>
        <v>570000</v>
      </c>
      <c r="AV5" s="92">
        <f t="shared" si="24"/>
        <v>0.68618100709379304</v>
      </c>
      <c r="AW5" s="38"/>
      <c r="AX5" s="38">
        <v>50000</v>
      </c>
      <c r="AY5" s="92" t="e">
        <f t="shared" si="25"/>
        <v>#DIV/0!</v>
      </c>
      <c r="AZ5" s="38">
        <f t="shared" si="26"/>
        <v>338042</v>
      </c>
      <c r="BA5" s="38">
        <f t="shared" si="27"/>
        <v>620000</v>
      </c>
      <c r="BB5" s="92">
        <f t="shared" si="28"/>
        <v>0.83409162175114304</v>
      </c>
      <c r="BC5" s="38">
        <v>110000</v>
      </c>
      <c r="BD5" s="38">
        <v>30000</v>
      </c>
      <c r="BE5" s="92">
        <f t="shared" si="29"/>
        <v>-0.72727272727272696</v>
      </c>
      <c r="BF5" s="38">
        <f t="shared" si="30"/>
        <v>448042</v>
      </c>
      <c r="BG5" s="38">
        <f t="shared" si="31"/>
        <v>650000</v>
      </c>
      <c r="BH5" s="92">
        <f t="shared" si="32"/>
        <v>0.45075684868829302</v>
      </c>
      <c r="BI5" s="22">
        <v>110000</v>
      </c>
      <c r="BJ5" s="22">
        <v>190000</v>
      </c>
      <c r="BK5" s="22">
        <v>50000</v>
      </c>
      <c r="BL5" s="22">
        <v>798042</v>
      </c>
      <c r="BM5" s="96">
        <f t="shared" si="33"/>
        <v>1.3</v>
      </c>
      <c r="BN5" s="22"/>
    </row>
    <row r="6" spans="1:66">
      <c r="A6" s="80" t="s">
        <v>33</v>
      </c>
      <c r="B6" s="80" t="s">
        <v>33</v>
      </c>
      <c r="C6" s="174" t="s">
        <v>353</v>
      </c>
      <c r="D6" s="33" t="s">
        <v>61</v>
      </c>
      <c r="E6" s="33" t="s">
        <v>61</v>
      </c>
      <c r="F6" s="176" t="s">
        <v>347</v>
      </c>
      <c r="G6" s="176" t="s">
        <v>347</v>
      </c>
      <c r="H6" s="33" t="s">
        <v>348</v>
      </c>
      <c r="I6" s="33">
        <v>40</v>
      </c>
      <c r="J6" s="91">
        <v>10203</v>
      </c>
      <c r="K6" s="91"/>
      <c r="L6" s="92">
        <f t="shared" si="0"/>
        <v>-1</v>
      </c>
      <c r="M6" s="91">
        <v>14925</v>
      </c>
      <c r="N6" s="91"/>
      <c r="O6" s="92">
        <f t="shared" si="1"/>
        <v>-1</v>
      </c>
      <c r="P6" s="91">
        <f t="shared" si="2"/>
        <v>25128</v>
      </c>
      <c r="Q6" s="91">
        <f t="shared" si="3"/>
        <v>0</v>
      </c>
      <c r="R6" s="92">
        <f t="shared" si="4"/>
        <v>-1</v>
      </c>
      <c r="S6" s="38">
        <v>17163</v>
      </c>
      <c r="T6" s="38">
        <v>3953</v>
      </c>
      <c r="U6" s="92">
        <f t="shared" si="5"/>
        <v>-0.76967896055468199</v>
      </c>
      <c r="V6" s="38">
        <f t="shared" si="6"/>
        <v>42291</v>
      </c>
      <c r="W6" s="38">
        <f t="shared" si="7"/>
        <v>3953</v>
      </c>
      <c r="X6" s="92">
        <f t="shared" si="8"/>
        <v>-0.90652857581991397</v>
      </c>
      <c r="Y6" s="38">
        <v>29060</v>
      </c>
      <c r="Z6" s="38">
        <v>4074</v>
      </c>
      <c r="AA6" s="92">
        <f t="shared" si="9"/>
        <v>-0.85980729525120403</v>
      </c>
      <c r="AB6" s="38">
        <f t="shared" si="10"/>
        <v>71351</v>
      </c>
      <c r="AC6" s="38">
        <f t="shared" si="11"/>
        <v>8027</v>
      </c>
      <c r="AD6" s="92">
        <f t="shared" si="12"/>
        <v>-0.88749982480974299</v>
      </c>
      <c r="AE6" s="22">
        <v>35379</v>
      </c>
      <c r="AF6" s="22"/>
      <c r="AG6" s="92">
        <f t="shared" si="13"/>
        <v>-1</v>
      </c>
      <c r="AH6" s="22">
        <f t="shared" si="14"/>
        <v>106730</v>
      </c>
      <c r="AI6" s="22">
        <f t="shared" si="15"/>
        <v>8027</v>
      </c>
      <c r="AJ6" s="92">
        <f t="shared" si="16"/>
        <v>-0.92479153002904502</v>
      </c>
      <c r="AK6" s="22">
        <v>13721</v>
      </c>
      <c r="AL6" s="22">
        <v>12739</v>
      </c>
      <c r="AM6" s="92">
        <f t="shared" si="17"/>
        <v>-7.1569127614605293E-2</v>
      </c>
      <c r="AN6" s="22">
        <f t="shared" si="18"/>
        <v>120451</v>
      </c>
      <c r="AO6" s="22">
        <f t="shared" si="19"/>
        <v>20766</v>
      </c>
      <c r="AP6" s="92">
        <f t="shared" si="20"/>
        <v>-0.82759794439232504</v>
      </c>
      <c r="AQ6" s="22">
        <v>15953</v>
      </c>
      <c r="AR6" s="22">
        <v>5143</v>
      </c>
      <c r="AS6" s="92">
        <f t="shared" si="21"/>
        <v>-0.67761549551808398</v>
      </c>
      <c r="AT6" s="22">
        <f t="shared" si="22"/>
        <v>136404</v>
      </c>
      <c r="AU6" s="22">
        <f t="shared" si="23"/>
        <v>25909</v>
      </c>
      <c r="AV6" s="92">
        <f t="shared" si="24"/>
        <v>-0.81005688982727797</v>
      </c>
      <c r="AW6" s="38">
        <v>17927</v>
      </c>
      <c r="AX6" s="38">
        <v>42982</v>
      </c>
      <c r="AY6" s="92">
        <f t="shared" si="25"/>
        <v>1.39761253974452</v>
      </c>
      <c r="AZ6" s="38">
        <f t="shared" si="26"/>
        <v>154331</v>
      </c>
      <c r="BA6" s="38">
        <f t="shared" si="27"/>
        <v>68891</v>
      </c>
      <c r="BB6" s="92">
        <f t="shared" si="28"/>
        <v>-0.55361528144053995</v>
      </c>
      <c r="BC6" s="38">
        <v>29976</v>
      </c>
      <c r="BD6" s="38"/>
      <c r="BE6" s="92">
        <f t="shared" si="29"/>
        <v>-1</v>
      </c>
      <c r="BF6" s="38">
        <f t="shared" si="30"/>
        <v>184307</v>
      </c>
      <c r="BG6" s="38">
        <f t="shared" si="31"/>
        <v>68891</v>
      </c>
      <c r="BH6" s="92">
        <f t="shared" si="32"/>
        <v>-0.62621604171301104</v>
      </c>
      <c r="BI6" s="22">
        <v>48396</v>
      </c>
      <c r="BJ6" s="22">
        <v>45019</v>
      </c>
      <c r="BK6" s="22">
        <v>102148</v>
      </c>
      <c r="BL6" s="22">
        <v>379870</v>
      </c>
      <c r="BM6" s="96">
        <f t="shared" si="33"/>
        <v>0.17222750000000001</v>
      </c>
      <c r="BN6" s="22"/>
    </row>
    <row r="7" spans="1:66">
      <c r="A7" s="80" t="s">
        <v>33</v>
      </c>
      <c r="B7" s="80" t="s">
        <v>33</v>
      </c>
      <c r="C7" s="180" t="s">
        <v>354</v>
      </c>
      <c r="D7" s="33" t="s">
        <v>61</v>
      </c>
      <c r="E7" s="33" t="s">
        <v>61</v>
      </c>
      <c r="F7" s="176" t="s">
        <v>351</v>
      </c>
      <c r="G7" s="176" t="s">
        <v>351</v>
      </c>
      <c r="H7" s="33" t="s">
        <v>352</v>
      </c>
      <c r="I7" s="33">
        <v>15</v>
      </c>
      <c r="J7" s="91"/>
      <c r="K7" s="91"/>
      <c r="L7" s="92" t="e">
        <f t="shared" si="0"/>
        <v>#DIV/0!</v>
      </c>
      <c r="M7" s="91"/>
      <c r="N7" s="91">
        <v>50000</v>
      </c>
      <c r="O7" s="92" t="e">
        <f t="shared" si="1"/>
        <v>#DIV/0!</v>
      </c>
      <c r="P7" s="91">
        <f t="shared" si="2"/>
        <v>0</v>
      </c>
      <c r="Q7" s="91">
        <f t="shared" si="3"/>
        <v>50000</v>
      </c>
      <c r="R7" s="92" t="e">
        <f t="shared" si="4"/>
        <v>#DIV/0!</v>
      </c>
      <c r="S7" s="38"/>
      <c r="T7" s="38"/>
      <c r="U7" s="92" t="e">
        <f t="shared" si="5"/>
        <v>#DIV/0!</v>
      </c>
      <c r="V7" s="38">
        <f t="shared" si="6"/>
        <v>0</v>
      </c>
      <c r="W7" s="38">
        <f t="shared" si="7"/>
        <v>50000</v>
      </c>
      <c r="X7" s="92" t="e">
        <f t="shared" si="8"/>
        <v>#DIV/0!</v>
      </c>
      <c r="Y7" s="38"/>
      <c r="Z7" s="38"/>
      <c r="AA7" s="92" t="e">
        <f t="shared" si="9"/>
        <v>#DIV/0!</v>
      </c>
      <c r="AB7" s="38">
        <f t="shared" si="10"/>
        <v>0</v>
      </c>
      <c r="AC7" s="38">
        <f t="shared" si="11"/>
        <v>50000</v>
      </c>
      <c r="AD7" s="92" t="e">
        <f t="shared" si="12"/>
        <v>#DIV/0!</v>
      </c>
      <c r="AE7" s="22">
        <v>50000</v>
      </c>
      <c r="AF7" s="22"/>
      <c r="AG7" s="92">
        <f t="shared" si="13"/>
        <v>-1</v>
      </c>
      <c r="AH7" s="22">
        <f t="shared" si="14"/>
        <v>50000</v>
      </c>
      <c r="AI7" s="22">
        <f t="shared" si="15"/>
        <v>50000</v>
      </c>
      <c r="AJ7" s="92">
        <f t="shared" si="16"/>
        <v>0</v>
      </c>
      <c r="AK7" s="22"/>
      <c r="AL7" s="22">
        <v>50000</v>
      </c>
      <c r="AM7" s="92" t="e">
        <f t="shared" si="17"/>
        <v>#DIV/0!</v>
      </c>
      <c r="AN7" s="22">
        <f t="shared" si="18"/>
        <v>50000</v>
      </c>
      <c r="AO7" s="22">
        <f t="shared" si="19"/>
        <v>100000</v>
      </c>
      <c r="AP7" s="92">
        <f t="shared" si="20"/>
        <v>1</v>
      </c>
      <c r="AQ7" s="22"/>
      <c r="AR7" s="22"/>
      <c r="AS7" s="92" t="e">
        <f t="shared" si="21"/>
        <v>#DIV/0!</v>
      </c>
      <c r="AT7" s="22">
        <f t="shared" si="22"/>
        <v>50000</v>
      </c>
      <c r="AU7" s="22">
        <f t="shared" si="23"/>
        <v>100000</v>
      </c>
      <c r="AV7" s="92">
        <f t="shared" si="24"/>
        <v>1</v>
      </c>
      <c r="AW7" s="38"/>
      <c r="AX7" s="38"/>
      <c r="AY7" s="92" t="e">
        <f t="shared" si="25"/>
        <v>#DIV/0!</v>
      </c>
      <c r="AZ7" s="38">
        <f t="shared" si="26"/>
        <v>50000</v>
      </c>
      <c r="BA7" s="38">
        <f t="shared" si="27"/>
        <v>100000</v>
      </c>
      <c r="BB7" s="92">
        <f t="shared" si="28"/>
        <v>1</v>
      </c>
      <c r="BC7" s="38">
        <v>50000</v>
      </c>
      <c r="BD7" s="38"/>
      <c r="BE7" s="92">
        <f t="shared" si="29"/>
        <v>-1</v>
      </c>
      <c r="BF7" s="38">
        <f t="shared" si="30"/>
        <v>100000</v>
      </c>
      <c r="BG7" s="38">
        <f t="shared" si="31"/>
        <v>100000</v>
      </c>
      <c r="BH7" s="92">
        <f t="shared" si="32"/>
        <v>0</v>
      </c>
      <c r="BI7" s="22"/>
      <c r="BJ7" s="22">
        <v>50000</v>
      </c>
      <c r="BK7" s="22"/>
      <c r="BL7" s="22">
        <v>150000</v>
      </c>
      <c r="BM7" s="96">
        <f t="shared" si="33"/>
        <v>0.66666666666666696</v>
      </c>
      <c r="BN7" s="22"/>
    </row>
    <row r="8" spans="1:66">
      <c r="A8" s="80" t="s">
        <v>33</v>
      </c>
      <c r="B8" s="80" t="s">
        <v>33</v>
      </c>
      <c r="C8" s="174" t="s">
        <v>355</v>
      </c>
      <c r="D8" s="33" t="s">
        <v>61</v>
      </c>
      <c r="E8" s="33" t="s">
        <v>61</v>
      </c>
      <c r="F8" s="176" t="s">
        <v>356</v>
      </c>
      <c r="G8" s="176" t="s">
        <v>356</v>
      </c>
      <c r="H8" s="33" t="s">
        <v>352</v>
      </c>
      <c r="I8" s="33">
        <v>25</v>
      </c>
      <c r="J8" s="91">
        <v>20000</v>
      </c>
      <c r="K8" s="91">
        <v>40000</v>
      </c>
      <c r="L8" s="92">
        <f t="shared" si="0"/>
        <v>1</v>
      </c>
      <c r="M8" s="91">
        <v>20000</v>
      </c>
      <c r="N8" s="91">
        <v>30000</v>
      </c>
      <c r="O8" s="92">
        <f t="shared" si="1"/>
        <v>0.5</v>
      </c>
      <c r="P8" s="91">
        <f t="shared" si="2"/>
        <v>40000</v>
      </c>
      <c r="Q8" s="91">
        <f t="shared" si="3"/>
        <v>70000</v>
      </c>
      <c r="R8" s="92">
        <f t="shared" si="4"/>
        <v>0.75</v>
      </c>
      <c r="S8" s="38"/>
      <c r="T8" s="38"/>
      <c r="U8" s="92" t="e">
        <f t="shared" si="5"/>
        <v>#DIV/0!</v>
      </c>
      <c r="V8" s="38">
        <f t="shared" si="6"/>
        <v>40000</v>
      </c>
      <c r="W8" s="38">
        <f t="shared" si="7"/>
        <v>70000</v>
      </c>
      <c r="X8" s="92">
        <f t="shared" si="8"/>
        <v>0.75</v>
      </c>
      <c r="Y8" s="38">
        <v>20000</v>
      </c>
      <c r="Z8" s="38"/>
      <c r="AA8" s="92">
        <f t="shared" si="9"/>
        <v>-1</v>
      </c>
      <c r="AB8" s="38">
        <f t="shared" si="10"/>
        <v>60000</v>
      </c>
      <c r="AC8" s="38">
        <f t="shared" si="11"/>
        <v>70000</v>
      </c>
      <c r="AD8" s="92">
        <f t="shared" si="12"/>
        <v>0.16666666666666699</v>
      </c>
      <c r="AE8" s="22"/>
      <c r="AF8" s="22"/>
      <c r="AG8" s="92" t="e">
        <f t="shared" si="13"/>
        <v>#DIV/0!</v>
      </c>
      <c r="AH8" s="22">
        <f t="shared" si="14"/>
        <v>60000</v>
      </c>
      <c r="AI8" s="22">
        <f t="shared" si="15"/>
        <v>70000</v>
      </c>
      <c r="AJ8" s="92">
        <f t="shared" si="16"/>
        <v>0.16666666666666699</v>
      </c>
      <c r="AK8" s="22"/>
      <c r="AL8" s="22"/>
      <c r="AM8" s="92" t="e">
        <f t="shared" si="17"/>
        <v>#DIV/0!</v>
      </c>
      <c r="AN8" s="22">
        <f t="shared" si="18"/>
        <v>60000</v>
      </c>
      <c r="AO8" s="22">
        <f t="shared" si="19"/>
        <v>70000</v>
      </c>
      <c r="AP8" s="92">
        <f t="shared" si="20"/>
        <v>0.16666666666666699</v>
      </c>
      <c r="AQ8" s="22"/>
      <c r="AR8" s="22"/>
      <c r="AS8" s="92" t="e">
        <f t="shared" si="21"/>
        <v>#DIV/0!</v>
      </c>
      <c r="AT8" s="22">
        <f t="shared" si="22"/>
        <v>60000</v>
      </c>
      <c r="AU8" s="22">
        <f t="shared" si="23"/>
        <v>70000</v>
      </c>
      <c r="AV8" s="92">
        <f t="shared" si="24"/>
        <v>0.16666666666666699</v>
      </c>
      <c r="AW8" s="38"/>
      <c r="AX8" s="38"/>
      <c r="AY8" s="92" t="e">
        <f t="shared" si="25"/>
        <v>#DIV/0!</v>
      </c>
      <c r="AZ8" s="38">
        <f t="shared" si="26"/>
        <v>60000</v>
      </c>
      <c r="BA8" s="38">
        <f t="shared" si="27"/>
        <v>70000</v>
      </c>
      <c r="BB8" s="92">
        <f t="shared" si="28"/>
        <v>0.16666666666666699</v>
      </c>
      <c r="BC8" s="38">
        <v>20000</v>
      </c>
      <c r="BD8" s="38"/>
      <c r="BE8" s="92">
        <f t="shared" si="29"/>
        <v>-1</v>
      </c>
      <c r="BF8" s="38">
        <f t="shared" si="30"/>
        <v>80000</v>
      </c>
      <c r="BG8" s="38">
        <f t="shared" si="31"/>
        <v>70000</v>
      </c>
      <c r="BH8" s="92">
        <f t="shared" si="32"/>
        <v>-0.125</v>
      </c>
      <c r="BI8" s="22"/>
      <c r="BJ8" s="22">
        <v>30000</v>
      </c>
      <c r="BK8" s="22"/>
      <c r="BL8" s="22">
        <v>110000</v>
      </c>
      <c r="BM8" s="96">
        <f t="shared" si="33"/>
        <v>0.28000000000000003</v>
      </c>
      <c r="BN8" s="22"/>
    </row>
    <row r="9" spans="1:66">
      <c r="A9" s="80" t="s">
        <v>33</v>
      </c>
      <c r="B9" s="80" t="s">
        <v>33</v>
      </c>
      <c r="C9" s="81" t="s">
        <v>357</v>
      </c>
      <c r="D9" s="33" t="s">
        <v>61</v>
      </c>
      <c r="E9" s="33" t="s">
        <v>61</v>
      </c>
      <c r="F9" s="176" t="s">
        <v>351</v>
      </c>
      <c r="G9" s="176" t="s">
        <v>351</v>
      </c>
      <c r="H9" s="33" t="s">
        <v>352</v>
      </c>
      <c r="I9" s="33"/>
      <c r="J9" s="91">
        <v>10027</v>
      </c>
      <c r="K9" s="91"/>
      <c r="L9" s="92">
        <f t="shared" si="0"/>
        <v>-1</v>
      </c>
      <c r="M9" s="91"/>
      <c r="N9" s="91"/>
      <c r="O9" s="92" t="e">
        <f t="shared" si="1"/>
        <v>#DIV/0!</v>
      </c>
      <c r="P9" s="91">
        <f t="shared" si="2"/>
        <v>10027</v>
      </c>
      <c r="Q9" s="91">
        <f t="shared" si="3"/>
        <v>0</v>
      </c>
      <c r="R9" s="92">
        <f t="shared" si="4"/>
        <v>-1</v>
      </c>
      <c r="S9" s="38">
        <v>5704</v>
      </c>
      <c r="T9" s="38"/>
      <c r="U9" s="92">
        <f t="shared" si="5"/>
        <v>-1</v>
      </c>
      <c r="V9" s="38">
        <f t="shared" si="6"/>
        <v>15731</v>
      </c>
      <c r="W9" s="38">
        <f t="shared" si="7"/>
        <v>0</v>
      </c>
      <c r="X9" s="92">
        <f t="shared" si="8"/>
        <v>-1</v>
      </c>
      <c r="Y9" s="38"/>
      <c r="Z9" s="38"/>
      <c r="AA9" s="92" t="e">
        <f t="shared" si="9"/>
        <v>#DIV/0!</v>
      </c>
      <c r="AB9" s="38">
        <f t="shared" si="10"/>
        <v>15731</v>
      </c>
      <c r="AC9" s="38">
        <f t="shared" si="11"/>
        <v>0</v>
      </c>
      <c r="AD9" s="92">
        <f t="shared" si="12"/>
        <v>-1</v>
      </c>
      <c r="AE9" s="22"/>
      <c r="AF9" s="22"/>
      <c r="AG9" s="92" t="e">
        <f t="shared" si="13"/>
        <v>#DIV/0!</v>
      </c>
      <c r="AH9" s="22">
        <f t="shared" si="14"/>
        <v>15731</v>
      </c>
      <c r="AI9" s="22">
        <f t="shared" si="15"/>
        <v>0</v>
      </c>
      <c r="AJ9" s="92">
        <f t="shared" si="16"/>
        <v>-1</v>
      </c>
      <c r="AK9" s="22"/>
      <c r="AL9" s="22"/>
      <c r="AM9" s="92" t="e">
        <f t="shared" si="17"/>
        <v>#DIV/0!</v>
      </c>
      <c r="AN9" s="22">
        <f t="shared" si="18"/>
        <v>15731</v>
      </c>
      <c r="AO9" s="22">
        <f t="shared" si="19"/>
        <v>0</v>
      </c>
      <c r="AP9" s="92">
        <f t="shared" si="20"/>
        <v>-1</v>
      </c>
      <c r="AQ9" s="22"/>
      <c r="AR9" s="22"/>
      <c r="AS9" s="92" t="e">
        <f t="shared" si="21"/>
        <v>#DIV/0!</v>
      </c>
      <c r="AT9" s="22">
        <f t="shared" si="22"/>
        <v>15731</v>
      </c>
      <c r="AU9" s="22">
        <f t="shared" si="23"/>
        <v>0</v>
      </c>
      <c r="AV9" s="92">
        <f t="shared" si="24"/>
        <v>-1</v>
      </c>
      <c r="AW9" s="38"/>
      <c r="AX9" s="38"/>
      <c r="AY9" s="92" t="e">
        <f t="shared" si="25"/>
        <v>#DIV/0!</v>
      </c>
      <c r="AZ9" s="38">
        <f t="shared" si="26"/>
        <v>15731</v>
      </c>
      <c r="BA9" s="38">
        <f t="shared" si="27"/>
        <v>0</v>
      </c>
      <c r="BB9" s="92">
        <f t="shared" si="28"/>
        <v>-1</v>
      </c>
      <c r="BC9" s="38"/>
      <c r="BD9" s="38"/>
      <c r="BE9" s="92" t="e">
        <f t="shared" si="29"/>
        <v>#DIV/0!</v>
      </c>
      <c r="BF9" s="38">
        <f t="shared" si="30"/>
        <v>15731</v>
      </c>
      <c r="BG9" s="38">
        <f t="shared" si="31"/>
        <v>0</v>
      </c>
      <c r="BH9" s="92">
        <f t="shared" si="32"/>
        <v>-1</v>
      </c>
      <c r="BI9" s="22"/>
      <c r="BJ9" s="22"/>
      <c r="BK9" s="22"/>
      <c r="BL9" s="22">
        <v>15731</v>
      </c>
      <c r="BM9" s="96" t="e">
        <f t="shared" si="33"/>
        <v>#DIV/0!</v>
      </c>
      <c r="BN9" s="22"/>
    </row>
    <row r="10" spans="1:66">
      <c r="A10" s="80" t="s">
        <v>33</v>
      </c>
      <c r="B10" s="80" t="s">
        <v>33</v>
      </c>
      <c r="C10" s="83" t="s">
        <v>358</v>
      </c>
      <c r="D10" s="33" t="s">
        <v>79</v>
      </c>
      <c r="E10" s="33" t="s">
        <v>79</v>
      </c>
      <c r="F10" s="33" t="s">
        <v>359</v>
      </c>
      <c r="G10" s="176" t="s">
        <v>80</v>
      </c>
      <c r="H10" s="33" t="s">
        <v>360</v>
      </c>
      <c r="I10" s="33">
        <v>255</v>
      </c>
      <c r="J10" s="91"/>
      <c r="K10" s="91">
        <v>109783.7</v>
      </c>
      <c r="L10" s="92" t="e">
        <f t="shared" si="0"/>
        <v>#DIV/0!</v>
      </c>
      <c r="M10" s="91">
        <v>391306.3</v>
      </c>
      <c r="N10" s="41">
        <v>153270.94</v>
      </c>
      <c r="O10" s="92">
        <f t="shared" si="1"/>
        <v>-0.60830955187790203</v>
      </c>
      <c r="P10" s="91">
        <f t="shared" si="2"/>
        <v>391306.3</v>
      </c>
      <c r="Q10" s="91">
        <f t="shared" si="3"/>
        <v>263054.64</v>
      </c>
      <c r="R10" s="92">
        <f t="shared" si="4"/>
        <v>-0.327752607100882</v>
      </c>
      <c r="S10" s="38">
        <v>351010.01</v>
      </c>
      <c r="T10" s="38">
        <v>236175.35</v>
      </c>
      <c r="U10" s="92">
        <f t="shared" si="5"/>
        <v>-0.327154943529958</v>
      </c>
      <c r="V10" s="38">
        <f t="shared" si="6"/>
        <v>742316.31</v>
      </c>
      <c r="W10" s="38">
        <f t="shared" si="7"/>
        <v>499229.99</v>
      </c>
      <c r="X10" s="92">
        <f t="shared" si="8"/>
        <v>-0.32746999725763798</v>
      </c>
      <c r="Y10" s="38">
        <v>88963.62</v>
      </c>
      <c r="Z10" s="38">
        <v>180910.35</v>
      </c>
      <c r="AA10" s="92">
        <f t="shared" si="9"/>
        <v>1.0335317964804001</v>
      </c>
      <c r="AB10" s="38">
        <f t="shared" si="10"/>
        <v>831279.93</v>
      </c>
      <c r="AC10" s="38">
        <f t="shared" si="11"/>
        <v>680140.34</v>
      </c>
      <c r="AD10" s="92">
        <f t="shared" si="12"/>
        <v>-0.18181551670566601</v>
      </c>
      <c r="AE10" s="22">
        <v>190850.41</v>
      </c>
      <c r="AF10" s="22">
        <v>470039.53</v>
      </c>
      <c r="AG10" s="92">
        <f t="shared" si="13"/>
        <v>1.4628688510546</v>
      </c>
      <c r="AH10" s="22">
        <f t="shared" si="14"/>
        <v>1022130.34</v>
      </c>
      <c r="AI10" s="22">
        <f t="shared" si="15"/>
        <v>1150179.8700000001</v>
      </c>
      <c r="AJ10" s="92">
        <f t="shared" si="16"/>
        <v>0.12527710507057299</v>
      </c>
      <c r="AK10" s="22">
        <v>98273.44</v>
      </c>
      <c r="AL10" s="22">
        <v>402723.13</v>
      </c>
      <c r="AM10" s="92">
        <f t="shared" si="17"/>
        <v>3.0979854780701701</v>
      </c>
      <c r="AN10" s="22">
        <f t="shared" si="18"/>
        <v>1120403.78</v>
      </c>
      <c r="AO10" s="22">
        <f t="shared" si="19"/>
        <v>1552903</v>
      </c>
      <c r="AP10" s="92">
        <f t="shared" si="20"/>
        <v>0.38602085044732698</v>
      </c>
      <c r="AQ10" s="22">
        <v>192151.31</v>
      </c>
      <c r="AR10" s="22">
        <v>187966.16</v>
      </c>
      <c r="AS10" s="92">
        <f t="shared" si="21"/>
        <v>-2.1780491634431201E-2</v>
      </c>
      <c r="AT10" s="22">
        <f t="shared" si="22"/>
        <v>1312555.0900000001</v>
      </c>
      <c r="AU10" s="22">
        <f t="shared" si="23"/>
        <v>1740869.16</v>
      </c>
      <c r="AV10" s="92">
        <f t="shared" si="24"/>
        <v>0.32632083275072299</v>
      </c>
      <c r="AW10" s="38">
        <v>5498</v>
      </c>
      <c r="AX10" s="38"/>
      <c r="AY10" s="92">
        <f t="shared" si="25"/>
        <v>-1</v>
      </c>
      <c r="AZ10" s="38">
        <f t="shared" si="26"/>
        <v>1318053.0900000001</v>
      </c>
      <c r="BA10" s="38">
        <f t="shared" si="27"/>
        <v>1740869.16</v>
      </c>
      <c r="BB10" s="92">
        <f t="shared" si="28"/>
        <v>0.32078834548310903</v>
      </c>
      <c r="BC10" s="38">
        <v>198631.31</v>
      </c>
      <c r="BD10" s="38">
        <v>14632.75</v>
      </c>
      <c r="BE10" s="92">
        <f t="shared" si="29"/>
        <v>-0.92633210746080297</v>
      </c>
      <c r="BF10" s="38">
        <f t="shared" si="30"/>
        <v>1516684.4</v>
      </c>
      <c r="BG10" s="38">
        <f t="shared" si="31"/>
        <v>1755501.91</v>
      </c>
      <c r="BH10" s="92">
        <f t="shared" si="32"/>
        <v>0.15746025343176201</v>
      </c>
      <c r="BI10" s="22">
        <v>222946.83</v>
      </c>
      <c r="BJ10" s="22">
        <v>433820.52</v>
      </c>
      <c r="BK10" s="22">
        <v>396596.85</v>
      </c>
      <c r="BL10" s="22">
        <v>2570048.6</v>
      </c>
      <c r="BM10" s="96">
        <f t="shared" si="33"/>
        <v>0.68843212156862699</v>
      </c>
      <c r="BN10" s="22"/>
    </row>
    <row r="11" spans="1:66">
      <c r="A11" s="80" t="s">
        <v>33</v>
      </c>
      <c r="B11" s="80" t="s">
        <v>33</v>
      </c>
      <c r="C11" s="81" t="s">
        <v>361</v>
      </c>
      <c r="D11" s="33" t="s">
        <v>61</v>
      </c>
      <c r="E11" s="33" t="s">
        <v>56</v>
      </c>
      <c r="F11" s="176" t="s">
        <v>351</v>
      </c>
      <c r="G11" s="176" t="s">
        <v>351</v>
      </c>
      <c r="H11" s="33" t="s">
        <v>352</v>
      </c>
      <c r="I11" s="33">
        <v>80</v>
      </c>
      <c r="J11" s="91">
        <v>117626</v>
      </c>
      <c r="K11" s="91">
        <v>25380</v>
      </c>
      <c r="L11" s="92">
        <f t="shared" si="0"/>
        <v>-0.78423137741655802</v>
      </c>
      <c r="M11" s="91"/>
      <c r="N11" s="91"/>
      <c r="O11" s="92" t="e">
        <f t="shared" si="1"/>
        <v>#DIV/0!</v>
      </c>
      <c r="P11" s="91">
        <f t="shared" si="2"/>
        <v>117626</v>
      </c>
      <c r="Q11" s="91">
        <f t="shared" si="3"/>
        <v>25380</v>
      </c>
      <c r="R11" s="92">
        <f t="shared" si="4"/>
        <v>-0.78423137741655802</v>
      </c>
      <c r="S11" s="38">
        <v>67824</v>
      </c>
      <c r="T11" s="38">
        <v>96952</v>
      </c>
      <c r="U11" s="92">
        <f t="shared" si="5"/>
        <v>0.429464496343477</v>
      </c>
      <c r="V11" s="38">
        <f t="shared" si="6"/>
        <v>185450</v>
      </c>
      <c r="W11" s="38">
        <f t="shared" si="7"/>
        <v>122332</v>
      </c>
      <c r="X11" s="92">
        <f t="shared" si="8"/>
        <v>-0.34035049878673501</v>
      </c>
      <c r="Y11" s="38">
        <v>64458</v>
      </c>
      <c r="Z11" s="38">
        <v>38300</v>
      </c>
      <c r="AA11" s="92">
        <f t="shared" si="9"/>
        <v>-0.40581463898973003</v>
      </c>
      <c r="AB11" s="38">
        <f t="shared" si="10"/>
        <v>249908</v>
      </c>
      <c r="AC11" s="38">
        <f t="shared" si="11"/>
        <v>160632</v>
      </c>
      <c r="AD11" s="92">
        <f t="shared" si="12"/>
        <v>-0.35723546265025502</v>
      </c>
      <c r="AE11" s="22">
        <v>34120</v>
      </c>
      <c r="AF11" s="22">
        <v>20125</v>
      </c>
      <c r="AG11" s="92">
        <f t="shared" si="13"/>
        <v>-0.410169988276671</v>
      </c>
      <c r="AH11" s="22">
        <f t="shared" si="14"/>
        <v>284028</v>
      </c>
      <c r="AI11" s="22">
        <f t="shared" si="15"/>
        <v>180757</v>
      </c>
      <c r="AJ11" s="92">
        <f t="shared" si="16"/>
        <v>-0.36359443435154298</v>
      </c>
      <c r="AK11" s="22">
        <v>44233</v>
      </c>
      <c r="AL11" s="22">
        <v>23218</v>
      </c>
      <c r="AM11" s="92">
        <f t="shared" si="17"/>
        <v>-0.47509777767729999</v>
      </c>
      <c r="AN11" s="22">
        <f t="shared" si="18"/>
        <v>328261</v>
      </c>
      <c r="AO11" s="22">
        <f t="shared" si="19"/>
        <v>203975</v>
      </c>
      <c r="AP11" s="92">
        <f t="shared" si="20"/>
        <v>-0.37861945220419102</v>
      </c>
      <c r="AQ11" s="22">
        <v>83621</v>
      </c>
      <c r="AR11" s="22">
        <v>18904</v>
      </c>
      <c r="AS11" s="92">
        <f t="shared" si="21"/>
        <v>-0.77393238540557996</v>
      </c>
      <c r="AT11" s="22">
        <f t="shared" si="22"/>
        <v>411882</v>
      </c>
      <c r="AU11" s="22">
        <f t="shared" si="23"/>
        <v>222879</v>
      </c>
      <c r="AV11" s="92">
        <f t="shared" si="24"/>
        <v>-0.45887657144521998</v>
      </c>
      <c r="AW11" s="38">
        <v>73305</v>
      </c>
      <c r="AX11" s="38">
        <v>37956</v>
      </c>
      <c r="AY11" s="92">
        <f t="shared" si="25"/>
        <v>-0.482218129731942</v>
      </c>
      <c r="AZ11" s="38">
        <f t="shared" si="26"/>
        <v>485187</v>
      </c>
      <c r="BA11" s="38">
        <f t="shared" si="27"/>
        <v>260835</v>
      </c>
      <c r="BB11" s="92">
        <f t="shared" si="28"/>
        <v>-0.46240315589659198</v>
      </c>
      <c r="BC11" s="38">
        <v>67023</v>
      </c>
      <c r="BD11" s="38">
        <v>72694</v>
      </c>
      <c r="BE11" s="92">
        <f t="shared" si="29"/>
        <v>8.4612744878623802E-2</v>
      </c>
      <c r="BF11" s="38">
        <f t="shared" si="30"/>
        <v>552210</v>
      </c>
      <c r="BG11" s="38">
        <f t="shared" si="31"/>
        <v>333529</v>
      </c>
      <c r="BH11" s="92">
        <f t="shared" si="32"/>
        <v>-0.39601057568678599</v>
      </c>
      <c r="BI11" s="22">
        <v>30612</v>
      </c>
      <c r="BJ11" s="22">
        <v>105827</v>
      </c>
      <c r="BK11" s="22">
        <v>114232</v>
      </c>
      <c r="BL11" s="22">
        <v>802881</v>
      </c>
      <c r="BM11" s="96">
        <f t="shared" si="33"/>
        <v>0.41691125000000001</v>
      </c>
      <c r="BN11" s="22"/>
    </row>
    <row r="12" spans="1:66">
      <c r="A12" s="80" t="s">
        <v>33</v>
      </c>
      <c r="B12" s="80" t="s">
        <v>33</v>
      </c>
      <c r="C12" s="81" t="s">
        <v>362</v>
      </c>
      <c r="D12" s="33" t="s">
        <v>61</v>
      </c>
      <c r="E12" s="33" t="s">
        <v>61</v>
      </c>
      <c r="F12" s="176" t="s">
        <v>351</v>
      </c>
      <c r="G12" s="176" t="s">
        <v>351</v>
      </c>
      <c r="H12" s="33" t="s">
        <v>352</v>
      </c>
      <c r="I12" s="33">
        <v>15</v>
      </c>
      <c r="J12" s="91"/>
      <c r="K12" s="91"/>
      <c r="L12" s="92" t="e">
        <f t="shared" si="0"/>
        <v>#DIV/0!</v>
      </c>
      <c r="M12" s="91"/>
      <c r="N12" s="91">
        <v>50000</v>
      </c>
      <c r="O12" s="92" t="e">
        <f t="shared" si="1"/>
        <v>#DIV/0!</v>
      </c>
      <c r="P12" s="91">
        <f t="shared" si="2"/>
        <v>0</v>
      </c>
      <c r="Q12" s="91">
        <f t="shared" si="3"/>
        <v>50000</v>
      </c>
      <c r="R12" s="92" t="e">
        <f t="shared" si="4"/>
        <v>#DIV/0!</v>
      </c>
      <c r="S12" s="38">
        <v>80000</v>
      </c>
      <c r="T12" s="38"/>
      <c r="U12" s="92">
        <f t="shared" si="5"/>
        <v>-1</v>
      </c>
      <c r="V12" s="38">
        <f t="shared" si="6"/>
        <v>80000</v>
      </c>
      <c r="W12" s="38">
        <f t="shared" si="7"/>
        <v>50000</v>
      </c>
      <c r="X12" s="92">
        <f t="shared" si="8"/>
        <v>-0.375</v>
      </c>
      <c r="Y12" s="38"/>
      <c r="Z12" s="38"/>
      <c r="AA12" s="92" t="e">
        <f t="shared" si="9"/>
        <v>#DIV/0!</v>
      </c>
      <c r="AB12" s="38">
        <f t="shared" si="10"/>
        <v>80000</v>
      </c>
      <c r="AC12" s="38">
        <f t="shared" si="11"/>
        <v>50000</v>
      </c>
      <c r="AD12" s="92">
        <f t="shared" si="12"/>
        <v>-0.375</v>
      </c>
      <c r="AE12" s="22"/>
      <c r="AF12" s="22">
        <v>50000</v>
      </c>
      <c r="AG12" s="92" t="e">
        <f t="shared" si="13"/>
        <v>#DIV/0!</v>
      </c>
      <c r="AH12" s="22">
        <f t="shared" si="14"/>
        <v>80000</v>
      </c>
      <c r="AI12" s="22">
        <f t="shared" si="15"/>
        <v>100000</v>
      </c>
      <c r="AJ12" s="92">
        <f t="shared" si="16"/>
        <v>0.25</v>
      </c>
      <c r="AK12" s="22"/>
      <c r="AL12" s="22"/>
      <c r="AM12" s="92" t="e">
        <f t="shared" si="17"/>
        <v>#DIV/0!</v>
      </c>
      <c r="AN12" s="22">
        <f t="shared" si="18"/>
        <v>80000</v>
      </c>
      <c r="AO12" s="22">
        <f t="shared" si="19"/>
        <v>100000</v>
      </c>
      <c r="AP12" s="92">
        <f t="shared" si="20"/>
        <v>0.25</v>
      </c>
      <c r="AQ12" s="22"/>
      <c r="AR12" s="22"/>
      <c r="AS12" s="92" t="e">
        <f t="shared" si="21"/>
        <v>#DIV/0!</v>
      </c>
      <c r="AT12" s="22">
        <f t="shared" si="22"/>
        <v>80000</v>
      </c>
      <c r="AU12" s="22">
        <f t="shared" si="23"/>
        <v>100000</v>
      </c>
      <c r="AV12" s="92">
        <f t="shared" si="24"/>
        <v>0.25</v>
      </c>
      <c r="AW12" s="38"/>
      <c r="AX12" s="38"/>
      <c r="AY12" s="92" t="e">
        <f t="shared" si="25"/>
        <v>#DIV/0!</v>
      </c>
      <c r="AZ12" s="38">
        <f t="shared" si="26"/>
        <v>80000</v>
      </c>
      <c r="BA12" s="38">
        <f t="shared" si="27"/>
        <v>100000</v>
      </c>
      <c r="BB12" s="92">
        <f t="shared" si="28"/>
        <v>0.25</v>
      </c>
      <c r="BC12" s="38">
        <v>70000</v>
      </c>
      <c r="BD12" s="38">
        <v>50000</v>
      </c>
      <c r="BE12" s="92">
        <f t="shared" si="29"/>
        <v>-0.28571428571428598</v>
      </c>
      <c r="BF12" s="38">
        <f t="shared" si="30"/>
        <v>150000</v>
      </c>
      <c r="BG12" s="38">
        <f t="shared" si="31"/>
        <v>150000</v>
      </c>
      <c r="BH12" s="92">
        <f t="shared" si="32"/>
        <v>0</v>
      </c>
      <c r="BI12" s="22"/>
      <c r="BJ12" s="22"/>
      <c r="BK12" s="22"/>
      <c r="BL12" s="22">
        <v>150000</v>
      </c>
      <c r="BM12" s="96">
        <f t="shared" si="33"/>
        <v>1</v>
      </c>
      <c r="BN12" s="22"/>
    </row>
    <row r="13" spans="1:66">
      <c r="A13" s="80" t="s">
        <v>33</v>
      </c>
      <c r="B13" s="80" t="s">
        <v>33</v>
      </c>
      <c r="C13" s="81" t="s">
        <v>363</v>
      </c>
      <c r="D13" s="33" t="s">
        <v>84</v>
      </c>
      <c r="E13" s="33" t="s">
        <v>84</v>
      </c>
      <c r="F13" s="33" t="s">
        <v>359</v>
      </c>
      <c r="G13" s="33" t="s">
        <v>364</v>
      </c>
      <c r="H13" s="33" t="s">
        <v>360</v>
      </c>
      <c r="I13" s="33">
        <v>300</v>
      </c>
      <c r="J13" s="91">
        <v>128759.4</v>
      </c>
      <c r="K13" s="91">
        <v>97114.8</v>
      </c>
      <c r="L13" s="92">
        <f t="shared" si="0"/>
        <v>-0.24576535771368899</v>
      </c>
      <c r="M13" s="91">
        <v>10674</v>
      </c>
      <c r="N13" s="91">
        <v>76505</v>
      </c>
      <c r="O13" s="92">
        <f t="shared" si="1"/>
        <v>6.16741615139592</v>
      </c>
      <c r="P13" s="91">
        <f t="shared" si="2"/>
        <v>139433.4</v>
      </c>
      <c r="Q13" s="91">
        <f t="shared" si="3"/>
        <v>173619.8</v>
      </c>
      <c r="R13" s="92">
        <f t="shared" si="4"/>
        <v>0.24518085336798801</v>
      </c>
      <c r="S13" s="38">
        <v>147311</v>
      </c>
      <c r="T13" s="38">
        <v>115302.5</v>
      </c>
      <c r="U13" s="92">
        <f t="shared" si="5"/>
        <v>-0.21728519934017099</v>
      </c>
      <c r="V13" s="38">
        <f t="shared" si="6"/>
        <v>286744.40000000002</v>
      </c>
      <c r="W13" s="38">
        <f t="shared" si="7"/>
        <v>288922.3</v>
      </c>
      <c r="X13" s="92">
        <f t="shared" si="8"/>
        <v>7.5952660278630901E-3</v>
      </c>
      <c r="Y13" s="38">
        <v>67882</v>
      </c>
      <c r="Z13" s="38">
        <v>122170</v>
      </c>
      <c r="AA13" s="92">
        <f t="shared" si="9"/>
        <v>0.79974072655490402</v>
      </c>
      <c r="AB13" s="38">
        <f t="shared" si="10"/>
        <v>354626.4</v>
      </c>
      <c r="AC13" s="38">
        <f t="shared" si="11"/>
        <v>411092.3</v>
      </c>
      <c r="AD13" s="92">
        <f t="shared" si="12"/>
        <v>0.15922644225020999</v>
      </c>
      <c r="AE13" s="22">
        <v>79008</v>
      </c>
      <c r="AF13" s="22">
        <v>107147.96</v>
      </c>
      <c r="AG13" s="92">
        <f t="shared" si="13"/>
        <v>0.35616595787768301</v>
      </c>
      <c r="AH13" s="22">
        <f t="shared" si="14"/>
        <v>433634.4</v>
      </c>
      <c r="AI13" s="22">
        <f t="shared" si="15"/>
        <v>518240.26</v>
      </c>
      <c r="AJ13" s="92">
        <f t="shared" si="16"/>
        <v>0.19510873676073701</v>
      </c>
      <c r="AK13" s="22">
        <v>141634</v>
      </c>
      <c r="AL13" s="22">
        <f>164436.5-3750</f>
        <v>160686.5</v>
      </c>
      <c r="AM13" s="92">
        <f t="shared" si="17"/>
        <v>0.13451925385147601</v>
      </c>
      <c r="AN13" s="22">
        <f t="shared" si="18"/>
        <v>575268.4</v>
      </c>
      <c r="AO13" s="22">
        <f t="shared" si="19"/>
        <v>678926.76</v>
      </c>
      <c r="AP13" s="92">
        <f t="shared" si="20"/>
        <v>0.18019129853125901</v>
      </c>
      <c r="AQ13" s="22">
        <v>61947</v>
      </c>
      <c r="AR13" s="22">
        <v>141849</v>
      </c>
      <c r="AS13" s="92">
        <f t="shared" si="21"/>
        <v>1.28984454453</v>
      </c>
      <c r="AT13" s="22">
        <f t="shared" si="22"/>
        <v>637215.4</v>
      </c>
      <c r="AU13" s="22">
        <f t="shared" si="23"/>
        <v>820775.76</v>
      </c>
      <c r="AV13" s="92">
        <f t="shared" si="24"/>
        <v>0.28806642149577699</v>
      </c>
      <c r="AW13" s="38">
        <v>109869</v>
      </c>
      <c r="AX13" s="38">
        <v>101282.5</v>
      </c>
      <c r="AY13" s="92">
        <f t="shared" si="25"/>
        <v>-7.8152163030518196E-2</v>
      </c>
      <c r="AZ13" s="38">
        <f t="shared" si="26"/>
        <v>747084.4</v>
      </c>
      <c r="BA13" s="38">
        <f t="shared" si="27"/>
        <v>922058.26</v>
      </c>
      <c r="BB13" s="92">
        <f t="shared" si="28"/>
        <v>0.23420895952318099</v>
      </c>
      <c r="BC13" s="38">
        <v>222217.4</v>
      </c>
      <c r="BD13" s="38">
        <v>83522.2</v>
      </c>
      <c r="BE13" s="92">
        <f t="shared" si="29"/>
        <v>-0.62414194388018196</v>
      </c>
      <c r="BF13" s="38">
        <f t="shared" si="30"/>
        <v>969301.8</v>
      </c>
      <c r="BG13" s="38">
        <f t="shared" si="31"/>
        <v>1005580.46</v>
      </c>
      <c r="BH13" s="92">
        <f t="shared" si="32"/>
        <v>3.7427620582155097E-2</v>
      </c>
      <c r="BI13" s="22">
        <v>255911.44</v>
      </c>
      <c r="BJ13" s="22">
        <v>226147.87</v>
      </c>
      <c r="BK13" s="22">
        <v>234700</v>
      </c>
      <c r="BL13" s="22">
        <v>1686061.11</v>
      </c>
      <c r="BM13" s="96">
        <f t="shared" si="33"/>
        <v>0.33519348666666698</v>
      </c>
      <c r="BN13" s="22"/>
    </row>
    <row r="14" spans="1:66">
      <c r="A14" s="80" t="s">
        <v>33</v>
      </c>
      <c r="B14" s="80" t="s">
        <v>33</v>
      </c>
      <c r="C14" s="81" t="s">
        <v>365</v>
      </c>
      <c r="D14" s="33" t="s">
        <v>61</v>
      </c>
      <c r="E14" s="33" t="s">
        <v>61</v>
      </c>
      <c r="F14" s="33" t="s">
        <v>366</v>
      </c>
      <c r="G14" s="33" t="s">
        <v>366</v>
      </c>
      <c r="H14" s="33" t="s">
        <v>360</v>
      </c>
      <c r="I14" s="33">
        <v>10</v>
      </c>
      <c r="J14" s="91">
        <v>22414</v>
      </c>
      <c r="K14" s="91">
        <v>24348</v>
      </c>
      <c r="L14" s="92">
        <f t="shared" si="0"/>
        <v>8.6285357365931903E-2</v>
      </c>
      <c r="M14" s="91"/>
      <c r="N14" s="91"/>
      <c r="O14" s="92" t="e">
        <f t="shared" si="1"/>
        <v>#DIV/0!</v>
      </c>
      <c r="P14" s="91">
        <f t="shared" si="2"/>
        <v>22414</v>
      </c>
      <c r="Q14" s="91">
        <f t="shared" si="3"/>
        <v>24348</v>
      </c>
      <c r="R14" s="92">
        <f t="shared" si="4"/>
        <v>8.6285357365931903E-2</v>
      </c>
      <c r="S14" s="38">
        <v>8562</v>
      </c>
      <c r="T14" s="38"/>
      <c r="U14" s="92">
        <f t="shared" si="5"/>
        <v>-1</v>
      </c>
      <c r="V14" s="38">
        <f t="shared" si="6"/>
        <v>30976</v>
      </c>
      <c r="W14" s="38">
        <f t="shared" si="7"/>
        <v>24348</v>
      </c>
      <c r="X14" s="92">
        <f t="shared" si="8"/>
        <v>-0.21397210743801701</v>
      </c>
      <c r="Y14" s="38">
        <v>11897</v>
      </c>
      <c r="Z14" s="38"/>
      <c r="AA14" s="92">
        <f t="shared" si="9"/>
        <v>-1</v>
      </c>
      <c r="AB14" s="38">
        <f t="shared" si="10"/>
        <v>42873</v>
      </c>
      <c r="AC14" s="38">
        <f t="shared" si="11"/>
        <v>24348</v>
      </c>
      <c r="AD14" s="92">
        <f t="shared" si="12"/>
        <v>-0.43209012665313801</v>
      </c>
      <c r="AE14" s="22"/>
      <c r="AF14" s="22">
        <v>2243</v>
      </c>
      <c r="AG14" s="92" t="e">
        <f t="shared" si="13"/>
        <v>#DIV/0!</v>
      </c>
      <c r="AH14" s="22">
        <f t="shared" si="14"/>
        <v>42873</v>
      </c>
      <c r="AI14" s="22">
        <f t="shared" si="15"/>
        <v>26591</v>
      </c>
      <c r="AJ14" s="92">
        <f t="shared" si="16"/>
        <v>-0.37977281739089902</v>
      </c>
      <c r="AK14" s="22">
        <v>4395</v>
      </c>
      <c r="AL14" s="22">
        <v>4682</v>
      </c>
      <c r="AM14" s="92">
        <f t="shared" si="17"/>
        <v>6.5301478953356099E-2</v>
      </c>
      <c r="AN14" s="22">
        <f t="shared" si="18"/>
        <v>47268</v>
      </c>
      <c r="AO14" s="22">
        <f t="shared" si="19"/>
        <v>31273</v>
      </c>
      <c r="AP14" s="92">
        <f t="shared" si="20"/>
        <v>-0.33838960819158798</v>
      </c>
      <c r="AQ14" s="22">
        <v>5164</v>
      </c>
      <c r="AR14" s="22"/>
      <c r="AS14" s="92">
        <f t="shared" si="21"/>
        <v>-1</v>
      </c>
      <c r="AT14" s="22">
        <f t="shared" si="22"/>
        <v>52432</v>
      </c>
      <c r="AU14" s="22">
        <f t="shared" si="23"/>
        <v>31273</v>
      </c>
      <c r="AV14" s="92">
        <f t="shared" si="24"/>
        <v>-0.40355126640219702</v>
      </c>
      <c r="AW14" s="38"/>
      <c r="AX14" s="38"/>
      <c r="AY14" s="92" t="e">
        <f t="shared" si="25"/>
        <v>#DIV/0!</v>
      </c>
      <c r="AZ14" s="38">
        <f t="shared" si="26"/>
        <v>52432</v>
      </c>
      <c r="BA14" s="38">
        <f t="shared" si="27"/>
        <v>31273</v>
      </c>
      <c r="BB14" s="92">
        <f t="shared" si="28"/>
        <v>-0.40355126640219702</v>
      </c>
      <c r="BC14" s="38"/>
      <c r="BD14" s="38"/>
      <c r="BE14" s="92" t="e">
        <f t="shared" si="29"/>
        <v>#DIV/0!</v>
      </c>
      <c r="BF14" s="38">
        <f t="shared" si="30"/>
        <v>52432</v>
      </c>
      <c r="BG14" s="38">
        <f t="shared" si="31"/>
        <v>31273</v>
      </c>
      <c r="BH14" s="92">
        <f t="shared" si="32"/>
        <v>-0.40355126640219702</v>
      </c>
      <c r="BI14" s="22">
        <v>7532</v>
      </c>
      <c r="BJ14" s="22">
        <v>8696</v>
      </c>
      <c r="BK14" s="22">
        <v>16170</v>
      </c>
      <c r="BL14" s="22">
        <v>84830</v>
      </c>
      <c r="BM14" s="96">
        <f t="shared" si="33"/>
        <v>0.31273000000000001</v>
      </c>
      <c r="BN14" s="22"/>
    </row>
    <row r="15" spans="1:66">
      <c r="A15" s="80" t="s">
        <v>33</v>
      </c>
      <c r="B15" s="80" t="s">
        <v>33</v>
      </c>
      <c r="C15" s="81" t="s">
        <v>367</v>
      </c>
      <c r="D15" s="33" t="s">
        <v>65</v>
      </c>
      <c r="E15" s="33" t="s">
        <v>65</v>
      </c>
      <c r="F15" s="176" t="s">
        <v>347</v>
      </c>
      <c r="G15" s="176" t="s">
        <v>347</v>
      </c>
      <c r="H15" s="33" t="s">
        <v>348</v>
      </c>
      <c r="I15" s="33">
        <v>450</v>
      </c>
      <c r="J15" s="91">
        <v>677727</v>
      </c>
      <c r="K15" s="91">
        <v>190515</v>
      </c>
      <c r="L15" s="92">
        <f t="shared" si="0"/>
        <v>-0.71889123496629204</v>
      </c>
      <c r="M15" s="91">
        <v>173900</v>
      </c>
      <c r="N15" s="91">
        <v>228000</v>
      </c>
      <c r="O15" s="92">
        <f t="shared" si="1"/>
        <v>0.31109833237492801</v>
      </c>
      <c r="P15" s="91">
        <f t="shared" si="2"/>
        <v>851627</v>
      </c>
      <c r="Q15" s="91">
        <f t="shared" si="3"/>
        <v>418515</v>
      </c>
      <c r="R15" s="92">
        <f t="shared" si="4"/>
        <v>-0.50857006647276304</v>
      </c>
      <c r="S15" s="38">
        <v>145771</v>
      </c>
      <c r="T15" s="38">
        <v>261049</v>
      </c>
      <c r="U15" s="92">
        <f t="shared" si="5"/>
        <v>0.790815731524103</v>
      </c>
      <c r="V15" s="38">
        <f t="shared" si="6"/>
        <v>997398</v>
      </c>
      <c r="W15" s="38">
        <f t="shared" si="7"/>
        <v>679564</v>
      </c>
      <c r="X15" s="92">
        <f t="shared" si="8"/>
        <v>-0.318663161546344</v>
      </c>
      <c r="Y15" s="38">
        <v>250795</v>
      </c>
      <c r="Z15" s="38">
        <v>329500</v>
      </c>
      <c r="AA15" s="92">
        <f t="shared" si="9"/>
        <v>0.31382204589405699</v>
      </c>
      <c r="AB15" s="38">
        <f t="shared" si="10"/>
        <v>1248193</v>
      </c>
      <c r="AC15" s="38">
        <f t="shared" si="11"/>
        <v>1009064</v>
      </c>
      <c r="AD15" s="92">
        <f t="shared" si="12"/>
        <v>-0.191580148262328</v>
      </c>
      <c r="AE15" s="22">
        <v>200300</v>
      </c>
      <c r="AF15" s="22">
        <v>155000</v>
      </c>
      <c r="AG15" s="92">
        <f t="shared" si="13"/>
        <v>-0.226160758861707</v>
      </c>
      <c r="AH15" s="22">
        <f t="shared" si="14"/>
        <v>1448493</v>
      </c>
      <c r="AI15" s="22">
        <f t="shared" si="15"/>
        <v>1164064</v>
      </c>
      <c r="AJ15" s="92">
        <f t="shared" si="16"/>
        <v>-0.19636201210499499</v>
      </c>
      <c r="AK15" s="22">
        <v>151000</v>
      </c>
      <c r="AL15" s="22">
        <v>445000</v>
      </c>
      <c r="AM15" s="92">
        <f t="shared" si="17"/>
        <v>1.9470198675496699</v>
      </c>
      <c r="AN15" s="22">
        <f t="shared" si="18"/>
        <v>1599493</v>
      </c>
      <c r="AO15" s="22">
        <f t="shared" si="19"/>
        <v>1609064</v>
      </c>
      <c r="AP15" s="92">
        <f t="shared" si="20"/>
        <v>5.9837711074697299E-3</v>
      </c>
      <c r="AQ15" s="22">
        <v>472796</v>
      </c>
      <c r="AR15" s="22">
        <v>150000</v>
      </c>
      <c r="AS15" s="92">
        <f t="shared" si="21"/>
        <v>-0.68273843264325396</v>
      </c>
      <c r="AT15" s="22">
        <f t="shared" si="22"/>
        <v>2072289</v>
      </c>
      <c r="AU15" s="22">
        <f t="shared" si="23"/>
        <v>1759064</v>
      </c>
      <c r="AV15" s="92">
        <f t="shared" si="24"/>
        <v>-0.151149284679888</v>
      </c>
      <c r="AW15" s="38">
        <v>134750</v>
      </c>
      <c r="AX15" s="38">
        <v>37000</v>
      </c>
      <c r="AY15" s="92">
        <f t="shared" si="25"/>
        <v>-0.72541743970315398</v>
      </c>
      <c r="AZ15" s="38">
        <f t="shared" si="26"/>
        <v>2207039</v>
      </c>
      <c r="BA15" s="38">
        <f t="shared" si="27"/>
        <v>1796064</v>
      </c>
      <c r="BB15" s="92">
        <f t="shared" si="28"/>
        <v>-0.18621102753508201</v>
      </c>
      <c r="BC15" s="38">
        <v>360300</v>
      </c>
      <c r="BD15" s="38">
        <v>258500</v>
      </c>
      <c r="BE15" s="92">
        <f t="shared" si="29"/>
        <v>-0.282542325839578</v>
      </c>
      <c r="BF15" s="38">
        <f t="shared" si="30"/>
        <v>2567339</v>
      </c>
      <c r="BG15" s="38">
        <f t="shared" si="31"/>
        <v>2054564</v>
      </c>
      <c r="BH15" s="92">
        <f t="shared" si="32"/>
        <v>-0.199730148609124</v>
      </c>
      <c r="BI15" s="22">
        <v>394866</v>
      </c>
      <c r="BJ15" s="22">
        <v>677000</v>
      </c>
      <c r="BK15" s="22">
        <v>600000</v>
      </c>
      <c r="BL15" s="22">
        <v>4239205</v>
      </c>
      <c r="BM15" s="96">
        <f t="shared" si="33"/>
        <v>0.45656977777777802</v>
      </c>
      <c r="BN15" s="22">
        <v>139715</v>
      </c>
    </row>
    <row r="16" spans="1:66">
      <c r="A16" s="80" t="s">
        <v>33</v>
      </c>
      <c r="B16" s="80" t="s">
        <v>33</v>
      </c>
      <c r="C16" s="81" t="s">
        <v>368</v>
      </c>
      <c r="D16" s="33" t="s">
        <v>88</v>
      </c>
      <c r="E16" s="33" t="s">
        <v>88</v>
      </c>
      <c r="F16" s="33" t="s">
        <v>359</v>
      </c>
      <c r="G16" s="176" t="s">
        <v>80</v>
      </c>
      <c r="H16" s="33" t="s">
        <v>88</v>
      </c>
      <c r="I16" s="33"/>
      <c r="J16" s="91">
        <v>359328.06</v>
      </c>
      <c r="K16" s="91">
        <v>209819.54</v>
      </c>
      <c r="L16" s="92">
        <f t="shared" si="0"/>
        <v>-0.416078054132483</v>
      </c>
      <c r="M16" s="91">
        <v>31108.2</v>
      </c>
      <c r="N16" s="91">
        <v>98077.6</v>
      </c>
      <c r="O16" s="92">
        <f t="shared" si="1"/>
        <v>2.15278929671276</v>
      </c>
      <c r="P16" s="91">
        <f t="shared" si="2"/>
        <v>390436.26</v>
      </c>
      <c r="Q16" s="91">
        <f t="shared" si="3"/>
        <v>307897.14</v>
      </c>
      <c r="R16" s="92">
        <f t="shared" si="4"/>
        <v>-0.21140229137529401</v>
      </c>
      <c r="S16" s="38">
        <v>122373</v>
      </c>
      <c r="T16" s="38">
        <v>85959.56</v>
      </c>
      <c r="U16" s="92">
        <f t="shared" si="5"/>
        <v>-0.29756106330644799</v>
      </c>
      <c r="V16" s="38">
        <f t="shared" si="6"/>
        <v>512809.26</v>
      </c>
      <c r="W16" s="38">
        <f t="shared" si="7"/>
        <v>393856.7</v>
      </c>
      <c r="X16" s="92">
        <f t="shared" si="8"/>
        <v>-0.23196258195493599</v>
      </c>
      <c r="Y16" s="38">
        <v>193409.14</v>
      </c>
      <c r="Z16" s="38">
        <v>150343.9</v>
      </c>
      <c r="AA16" s="92">
        <f t="shared" si="9"/>
        <v>-0.22266393408294999</v>
      </c>
      <c r="AB16" s="38">
        <f t="shared" si="10"/>
        <v>706218.4</v>
      </c>
      <c r="AC16" s="38">
        <f t="shared" si="11"/>
        <v>544200.6</v>
      </c>
      <c r="AD16" s="92">
        <f t="shared" si="12"/>
        <v>-0.229415999356573</v>
      </c>
      <c r="AE16" s="22">
        <v>273952.8</v>
      </c>
      <c r="AF16" s="22">
        <v>333981.7</v>
      </c>
      <c r="AG16" s="92">
        <f t="shared" si="13"/>
        <v>0.21912132308923299</v>
      </c>
      <c r="AH16" s="22">
        <f t="shared" si="14"/>
        <v>980171.2</v>
      </c>
      <c r="AI16" s="22">
        <f t="shared" si="15"/>
        <v>878182.3</v>
      </c>
      <c r="AJ16" s="92">
        <f t="shared" si="16"/>
        <v>-0.104052128852592</v>
      </c>
      <c r="AK16" s="22">
        <v>194775.4</v>
      </c>
      <c r="AL16" s="22">
        <v>148782.46</v>
      </c>
      <c r="AM16" s="92">
        <f t="shared" si="17"/>
        <v>-0.23613320778701999</v>
      </c>
      <c r="AN16" s="22">
        <f t="shared" si="18"/>
        <v>1174946.6000000001</v>
      </c>
      <c r="AO16" s="22">
        <f t="shared" si="19"/>
        <v>1026964.76</v>
      </c>
      <c r="AP16" s="92">
        <f t="shared" si="20"/>
        <v>-0.125947715411066</v>
      </c>
      <c r="AQ16" s="22">
        <v>100347.56</v>
      </c>
      <c r="AR16" s="22">
        <v>29372.560000000001</v>
      </c>
      <c r="AS16" s="92">
        <f t="shared" si="21"/>
        <v>-0.70729173683944102</v>
      </c>
      <c r="AT16" s="22">
        <f t="shared" si="22"/>
        <v>1275294.1599999999</v>
      </c>
      <c r="AU16" s="22">
        <f t="shared" si="23"/>
        <v>1056337.32</v>
      </c>
      <c r="AV16" s="92">
        <f t="shared" si="24"/>
        <v>-0.17169124337556699</v>
      </c>
      <c r="AW16" s="38">
        <v>163598.6</v>
      </c>
      <c r="AX16" s="38">
        <v>21814.36</v>
      </c>
      <c r="AY16" s="92">
        <f t="shared" si="25"/>
        <v>-0.866659250140282</v>
      </c>
      <c r="AZ16" s="38">
        <f t="shared" si="26"/>
        <v>1438892.76</v>
      </c>
      <c r="BA16" s="38">
        <f t="shared" si="27"/>
        <v>1078151.6799999999</v>
      </c>
      <c r="BB16" s="92">
        <f t="shared" si="28"/>
        <v>-0.25070741199642999</v>
      </c>
      <c r="BC16" s="38">
        <v>171985.3</v>
      </c>
      <c r="BD16" s="38">
        <v>6070.76</v>
      </c>
      <c r="BE16" s="92">
        <f t="shared" si="29"/>
        <v>-0.96470186696188598</v>
      </c>
      <c r="BF16" s="38">
        <f t="shared" si="30"/>
        <v>1610878.06</v>
      </c>
      <c r="BG16" s="38">
        <f t="shared" si="31"/>
        <v>1084222.44</v>
      </c>
      <c r="BH16" s="92">
        <f t="shared" si="32"/>
        <v>-0.32693698739679899</v>
      </c>
      <c r="BI16" s="22">
        <v>189329.4</v>
      </c>
      <c r="BJ16" s="22">
        <v>510376.7</v>
      </c>
      <c r="BK16" s="22">
        <v>787432.02</v>
      </c>
      <c r="BL16" s="22">
        <v>3098016.18</v>
      </c>
      <c r="BM16" s="96" t="e">
        <f t="shared" si="33"/>
        <v>#DIV/0!</v>
      </c>
      <c r="BN16" s="22"/>
    </row>
    <row r="17" spans="1:66">
      <c r="A17" s="80" t="s">
        <v>33</v>
      </c>
      <c r="B17" s="80" t="s">
        <v>33</v>
      </c>
      <c r="C17" s="84" t="s">
        <v>369</v>
      </c>
      <c r="D17" s="33" t="s">
        <v>65</v>
      </c>
      <c r="E17" s="33" t="s">
        <v>65</v>
      </c>
      <c r="F17" s="33" t="s">
        <v>366</v>
      </c>
      <c r="G17" s="33" t="s">
        <v>366</v>
      </c>
      <c r="H17" s="33" t="s">
        <v>360</v>
      </c>
      <c r="I17" s="33">
        <v>180</v>
      </c>
      <c r="J17" s="91">
        <v>190877</v>
      </c>
      <c r="K17" s="91">
        <v>124553</v>
      </c>
      <c r="L17" s="92">
        <f t="shared" si="0"/>
        <v>-0.34746983659634201</v>
      </c>
      <c r="M17" s="91">
        <v>115237</v>
      </c>
      <c r="N17" s="91">
        <v>24048</v>
      </c>
      <c r="O17" s="92">
        <f t="shared" si="1"/>
        <v>-0.79131702491387301</v>
      </c>
      <c r="P17" s="91">
        <f t="shared" si="2"/>
        <v>306114</v>
      </c>
      <c r="Q17" s="91">
        <f t="shared" si="3"/>
        <v>148601</v>
      </c>
      <c r="R17" s="92">
        <f t="shared" si="4"/>
        <v>-0.51455666843071501</v>
      </c>
      <c r="S17" s="38">
        <v>170001</v>
      </c>
      <c r="T17" s="38">
        <v>80216</v>
      </c>
      <c r="U17" s="92">
        <f t="shared" si="5"/>
        <v>-0.52814395209439902</v>
      </c>
      <c r="V17" s="38">
        <f t="shared" si="6"/>
        <v>476115</v>
      </c>
      <c r="W17" s="38">
        <f t="shared" si="7"/>
        <v>228817</v>
      </c>
      <c r="X17" s="92">
        <f t="shared" si="8"/>
        <v>-0.51940812618800103</v>
      </c>
      <c r="Y17" s="38">
        <v>133545.01</v>
      </c>
      <c r="Z17" s="38">
        <v>116884</v>
      </c>
      <c r="AA17" s="92">
        <f t="shared" si="9"/>
        <v>-0.124759509921037</v>
      </c>
      <c r="AB17" s="38">
        <f t="shared" si="10"/>
        <v>609660.01</v>
      </c>
      <c r="AC17" s="38">
        <f t="shared" si="11"/>
        <v>345701</v>
      </c>
      <c r="AD17" s="92">
        <f t="shared" si="12"/>
        <v>-0.43296100395366299</v>
      </c>
      <c r="AE17" s="22">
        <v>137247</v>
      </c>
      <c r="AF17" s="22">
        <v>83303</v>
      </c>
      <c r="AG17" s="92">
        <f t="shared" si="13"/>
        <v>-0.39304319948705602</v>
      </c>
      <c r="AH17" s="22">
        <f t="shared" si="14"/>
        <v>746907.01</v>
      </c>
      <c r="AI17" s="22">
        <f t="shared" si="15"/>
        <v>429004</v>
      </c>
      <c r="AJ17" s="92">
        <f t="shared" si="16"/>
        <v>-0.42562595576656898</v>
      </c>
      <c r="AK17" s="22">
        <v>73110</v>
      </c>
      <c r="AL17" s="22">
        <v>130252</v>
      </c>
      <c r="AM17" s="92">
        <f t="shared" si="17"/>
        <v>0.78158938585692805</v>
      </c>
      <c r="AN17" s="22">
        <f t="shared" si="18"/>
        <v>820017.01</v>
      </c>
      <c r="AO17" s="22">
        <f t="shared" si="19"/>
        <v>559256</v>
      </c>
      <c r="AP17" s="92">
        <f t="shared" si="20"/>
        <v>-0.317994635257627</v>
      </c>
      <c r="AQ17" s="22">
        <v>237026</v>
      </c>
      <c r="AR17" s="22">
        <v>141469</v>
      </c>
      <c r="AS17" s="92">
        <f t="shared" si="21"/>
        <v>-0.40314986541560799</v>
      </c>
      <c r="AT17" s="22">
        <f t="shared" si="22"/>
        <v>1057043.01</v>
      </c>
      <c r="AU17" s="22">
        <f t="shared" si="23"/>
        <v>700725</v>
      </c>
      <c r="AV17" s="92">
        <f t="shared" si="24"/>
        <v>-0.33708941512228502</v>
      </c>
      <c r="AW17" s="38">
        <v>128884</v>
      </c>
      <c r="AX17" s="38">
        <v>51966</v>
      </c>
      <c r="AY17" s="92">
        <f t="shared" si="25"/>
        <v>-0.59680022345675199</v>
      </c>
      <c r="AZ17" s="38">
        <f t="shared" si="26"/>
        <v>1185927.01</v>
      </c>
      <c r="BA17" s="38">
        <f t="shared" si="27"/>
        <v>752691</v>
      </c>
      <c r="BB17" s="92">
        <f t="shared" si="28"/>
        <v>-0.36531422789670698</v>
      </c>
      <c r="BC17" s="38">
        <v>187530</v>
      </c>
      <c r="BD17" s="38">
        <v>135236</v>
      </c>
      <c r="BE17" s="92">
        <f t="shared" si="29"/>
        <v>-0.27885671625873198</v>
      </c>
      <c r="BF17" s="38">
        <f t="shared" si="30"/>
        <v>1373457.01</v>
      </c>
      <c r="BG17" s="38">
        <f t="shared" si="31"/>
        <v>887927</v>
      </c>
      <c r="BH17" s="92">
        <f t="shared" si="32"/>
        <v>-0.353509433833681</v>
      </c>
      <c r="BI17" s="22">
        <v>134763</v>
      </c>
      <c r="BJ17" s="22">
        <v>339902</v>
      </c>
      <c r="BK17" s="22">
        <v>248400</v>
      </c>
      <c r="BL17" s="22">
        <v>2096522.01</v>
      </c>
      <c r="BM17" s="96">
        <f t="shared" si="33"/>
        <v>0.49329277777777802</v>
      </c>
      <c r="BN17" s="22">
        <v>46222</v>
      </c>
    </row>
    <row r="18" spans="1:66">
      <c r="A18" s="80" t="s">
        <v>33</v>
      </c>
      <c r="B18" s="80" t="s">
        <v>33</v>
      </c>
      <c r="C18" s="84" t="s">
        <v>370</v>
      </c>
      <c r="D18" s="33" t="s">
        <v>61</v>
      </c>
      <c r="E18" s="33" t="s">
        <v>61</v>
      </c>
      <c r="F18" s="33" t="s">
        <v>351</v>
      </c>
      <c r="G18" s="33" t="s">
        <v>351</v>
      </c>
      <c r="H18" s="33" t="s">
        <v>352</v>
      </c>
      <c r="I18" s="33">
        <v>6</v>
      </c>
      <c r="J18" s="91">
        <v>6016</v>
      </c>
      <c r="K18" s="91"/>
      <c r="L18" s="92">
        <f t="shared" si="0"/>
        <v>-1</v>
      </c>
      <c r="M18" s="91"/>
      <c r="N18" s="91"/>
      <c r="O18" s="92" t="e">
        <f t="shared" si="1"/>
        <v>#DIV/0!</v>
      </c>
      <c r="P18" s="91">
        <f t="shared" si="2"/>
        <v>6016</v>
      </c>
      <c r="Q18" s="91">
        <f t="shared" si="3"/>
        <v>0</v>
      </c>
      <c r="R18" s="92">
        <f t="shared" si="4"/>
        <v>-1</v>
      </c>
      <c r="S18" s="38">
        <v>4163</v>
      </c>
      <c r="T18" s="38">
        <v>4482</v>
      </c>
      <c r="U18" s="92">
        <f t="shared" si="5"/>
        <v>7.66274321402836E-2</v>
      </c>
      <c r="V18" s="38">
        <f t="shared" si="6"/>
        <v>10179</v>
      </c>
      <c r="W18" s="38">
        <f t="shared" si="7"/>
        <v>4482</v>
      </c>
      <c r="X18" s="92">
        <f t="shared" si="8"/>
        <v>-0.55968169761273201</v>
      </c>
      <c r="Y18" s="38">
        <v>2182</v>
      </c>
      <c r="Z18" s="38"/>
      <c r="AA18" s="92">
        <f t="shared" si="9"/>
        <v>-1</v>
      </c>
      <c r="AB18" s="38">
        <f t="shared" si="10"/>
        <v>12361</v>
      </c>
      <c r="AC18" s="38">
        <f t="shared" si="11"/>
        <v>4482</v>
      </c>
      <c r="AD18" s="92">
        <f t="shared" si="12"/>
        <v>-0.63740797670091398</v>
      </c>
      <c r="AE18" s="22">
        <v>9620</v>
      </c>
      <c r="AF18" s="22">
        <v>2290</v>
      </c>
      <c r="AG18" s="92">
        <f t="shared" si="13"/>
        <v>-0.76195426195426197</v>
      </c>
      <c r="AH18" s="22">
        <f t="shared" si="14"/>
        <v>21981</v>
      </c>
      <c r="AI18" s="22">
        <f t="shared" si="15"/>
        <v>6772</v>
      </c>
      <c r="AJ18" s="92">
        <f t="shared" si="16"/>
        <v>-0.69191574541649603</v>
      </c>
      <c r="AK18" s="22">
        <v>12120</v>
      </c>
      <c r="AL18" s="22">
        <v>10188</v>
      </c>
      <c r="AM18" s="92">
        <f t="shared" si="17"/>
        <v>-0.15940594059405899</v>
      </c>
      <c r="AN18" s="22">
        <f t="shared" si="18"/>
        <v>34101</v>
      </c>
      <c r="AO18" s="22">
        <f t="shared" si="19"/>
        <v>16960</v>
      </c>
      <c r="AP18" s="92">
        <f t="shared" si="20"/>
        <v>-0.50265388111785603</v>
      </c>
      <c r="AQ18" s="22">
        <v>2764</v>
      </c>
      <c r="AR18" s="22"/>
      <c r="AS18" s="92">
        <f t="shared" si="21"/>
        <v>-1</v>
      </c>
      <c r="AT18" s="22">
        <f t="shared" si="22"/>
        <v>36865</v>
      </c>
      <c r="AU18" s="22">
        <f t="shared" si="23"/>
        <v>16960</v>
      </c>
      <c r="AV18" s="92">
        <f t="shared" si="24"/>
        <v>-0.53994303539943</v>
      </c>
      <c r="AW18" s="38"/>
      <c r="AX18" s="38"/>
      <c r="AY18" s="92" t="e">
        <f t="shared" si="25"/>
        <v>#DIV/0!</v>
      </c>
      <c r="AZ18" s="38">
        <f t="shared" si="26"/>
        <v>36865</v>
      </c>
      <c r="BA18" s="38">
        <f t="shared" si="27"/>
        <v>16960</v>
      </c>
      <c r="BB18" s="92">
        <f t="shared" si="28"/>
        <v>-0.53994303539943</v>
      </c>
      <c r="BC18" s="38">
        <v>3730</v>
      </c>
      <c r="BD18" s="38"/>
      <c r="BE18" s="92">
        <f t="shared" si="29"/>
        <v>-1</v>
      </c>
      <c r="BF18" s="38">
        <f t="shared" si="30"/>
        <v>40595</v>
      </c>
      <c r="BG18" s="38">
        <f t="shared" si="31"/>
        <v>16960</v>
      </c>
      <c r="BH18" s="92">
        <f t="shared" si="32"/>
        <v>-0.58221455844315795</v>
      </c>
      <c r="BI18" s="22">
        <v>14176</v>
      </c>
      <c r="BJ18" s="22"/>
      <c r="BK18" s="22">
        <v>5086</v>
      </c>
      <c r="BL18" s="22">
        <v>59857</v>
      </c>
      <c r="BM18" s="96">
        <f t="shared" si="33"/>
        <v>0.28266666666666701</v>
      </c>
      <c r="BN18" s="22"/>
    </row>
    <row r="19" spans="1:66">
      <c r="A19" s="80" t="s">
        <v>33</v>
      </c>
      <c r="B19" s="80" t="s">
        <v>33</v>
      </c>
      <c r="C19" s="84" t="s">
        <v>371</v>
      </c>
      <c r="D19" s="33" t="s">
        <v>61</v>
      </c>
      <c r="E19" s="33" t="s">
        <v>61</v>
      </c>
      <c r="F19" s="33" t="s">
        <v>366</v>
      </c>
      <c r="G19" s="33" t="s">
        <v>366</v>
      </c>
      <c r="H19" s="33" t="s">
        <v>360</v>
      </c>
      <c r="I19" s="33">
        <v>10</v>
      </c>
      <c r="J19" s="91">
        <v>790</v>
      </c>
      <c r="K19" s="91">
        <v>2087</v>
      </c>
      <c r="L19" s="92">
        <f t="shared" si="0"/>
        <v>1.64177215189873</v>
      </c>
      <c r="M19" s="91"/>
      <c r="N19" s="91"/>
      <c r="O19" s="92" t="e">
        <f t="shared" si="1"/>
        <v>#DIV/0!</v>
      </c>
      <c r="P19" s="91">
        <f t="shared" si="2"/>
        <v>790</v>
      </c>
      <c r="Q19" s="91">
        <f t="shared" si="3"/>
        <v>2087</v>
      </c>
      <c r="R19" s="92">
        <f t="shared" si="4"/>
        <v>1.64177215189873</v>
      </c>
      <c r="S19" s="38">
        <v>12209</v>
      </c>
      <c r="T19" s="38">
        <v>13450</v>
      </c>
      <c r="U19" s="92">
        <f t="shared" si="5"/>
        <v>0.101646326480465</v>
      </c>
      <c r="V19" s="38">
        <f t="shared" si="6"/>
        <v>12999</v>
      </c>
      <c r="W19" s="38">
        <f t="shared" si="7"/>
        <v>15537</v>
      </c>
      <c r="X19" s="92">
        <f t="shared" si="8"/>
        <v>0.195245788137549</v>
      </c>
      <c r="Y19" s="38"/>
      <c r="Z19" s="38"/>
      <c r="AA19" s="92" t="e">
        <f t="shared" si="9"/>
        <v>#DIV/0!</v>
      </c>
      <c r="AB19" s="38">
        <f t="shared" si="10"/>
        <v>12999</v>
      </c>
      <c r="AC19" s="38">
        <f t="shared" si="11"/>
        <v>15537</v>
      </c>
      <c r="AD19" s="92">
        <f t="shared" si="12"/>
        <v>0.195245788137549</v>
      </c>
      <c r="AE19" s="22"/>
      <c r="AF19" s="22">
        <v>7030</v>
      </c>
      <c r="AG19" s="92" t="e">
        <f t="shared" si="13"/>
        <v>#DIV/0!</v>
      </c>
      <c r="AH19" s="22">
        <f t="shared" si="14"/>
        <v>12999</v>
      </c>
      <c r="AI19" s="22">
        <f t="shared" si="15"/>
        <v>22567</v>
      </c>
      <c r="AJ19" s="92">
        <f t="shared" si="16"/>
        <v>0.73605661973998004</v>
      </c>
      <c r="AK19" s="22"/>
      <c r="AL19" s="22"/>
      <c r="AM19" s="92" t="e">
        <f t="shared" si="17"/>
        <v>#DIV/0!</v>
      </c>
      <c r="AN19" s="22">
        <f t="shared" si="18"/>
        <v>12999</v>
      </c>
      <c r="AO19" s="22">
        <f t="shared" si="19"/>
        <v>22567</v>
      </c>
      <c r="AP19" s="92">
        <f t="shared" si="20"/>
        <v>0.73605661973998004</v>
      </c>
      <c r="AQ19" s="22"/>
      <c r="AR19" s="22">
        <v>4580</v>
      </c>
      <c r="AS19" s="92" t="e">
        <f t="shared" si="21"/>
        <v>#DIV/0!</v>
      </c>
      <c r="AT19" s="22">
        <f t="shared" si="22"/>
        <v>12999</v>
      </c>
      <c r="AU19" s="22">
        <f t="shared" si="23"/>
        <v>27147</v>
      </c>
      <c r="AV19" s="92">
        <f t="shared" si="24"/>
        <v>1.08839141472421</v>
      </c>
      <c r="AW19" s="38">
        <v>3273</v>
      </c>
      <c r="AX19" s="38"/>
      <c r="AY19" s="92">
        <f t="shared" si="25"/>
        <v>-1</v>
      </c>
      <c r="AZ19" s="38">
        <f t="shared" si="26"/>
        <v>16272</v>
      </c>
      <c r="BA19" s="38">
        <f t="shared" si="27"/>
        <v>27147</v>
      </c>
      <c r="BB19" s="92">
        <f t="shared" si="28"/>
        <v>0.66832595870206501</v>
      </c>
      <c r="BC19" s="38"/>
      <c r="BD19" s="38"/>
      <c r="BE19" s="92" t="e">
        <f t="shared" si="29"/>
        <v>#DIV/0!</v>
      </c>
      <c r="BF19" s="38">
        <f t="shared" si="30"/>
        <v>16272</v>
      </c>
      <c r="BG19" s="38">
        <f t="shared" si="31"/>
        <v>27147</v>
      </c>
      <c r="BH19" s="92">
        <f t="shared" si="32"/>
        <v>0.66832595870206501</v>
      </c>
      <c r="BI19" s="22"/>
      <c r="BJ19" s="22">
        <v>11527</v>
      </c>
      <c r="BK19" s="22"/>
      <c r="BL19" s="22">
        <v>27799</v>
      </c>
      <c r="BM19" s="96">
        <f t="shared" si="33"/>
        <v>0.27146999999999999</v>
      </c>
      <c r="BN19" s="22"/>
    </row>
    <row r="20" spans="1:66">
      <c r="A20" s="80" t="s">
        <v>33</v>
      </c>
      <c r="B20" s="80" t="s">
        <v>33</v>
      </c>
      <c r="C20" s="84" t="s">
        <v>372</v>
      </c>
      <c r="D20" s="33" t="s">
        <v>61</v>
      </c>
      <c r="E20" s="33" t="s">
        <v>61</v>
      </c>
      <c r="F20" s="33" t="s">
        <v>366</v>
      </c>
      <c r="G20" s="33" t="s">
        <v>366</v>
      </c>
      <c r="H20" s="33" t="s">
        <v>360</v>
      </c>
      <c r="I20" s="33">
        <v>20</v>
      </c>
      <c r="J20" s="91">
        <v>12124</v>
      </c>
      <c r="K20" s="91">
        <v>4502</v>
      </c>
      <c r="L20" s="92">
        <f t="shared" si="0"/>
        <v>-0.628670405806664</v>
      </c>
      <c r="M20" s="91"/>
      <c r="N20" s="91"/>
      <c r="O20" s="92" t="e">
        <f t="shared" si="1"/>
        <v>#DIV/0!</v>
      </c>
      <c r="P20" s="91">
        <f t="shared" si="2"/>
        <v>12124</v>
      </c>
      <c r="Q20" s="91">
        <f t="shared" si="3"/>
        <v>4502</v>
      </c>
      <c r="R20" s="92">
        <f t="shared" si="4"/>
        <v>-0.628670405806664</v>
      </c>
      <c r="S20" s="38">
        <v>8622</v>
      </c>
      <c r="T20" s="38">
        <v>3150</v>
      </c>
      <c r="U20" s="92">
        <f t="shared" si="5"/>
        <v>-0.63465553235908101</v>
      </c>
      <c r="V20" s="38">
        <f t="shared" si="6"/>
        <v>20746</v>
      </c>
      <c r="W20" s="38">
        <f t="shared" si="7"/>
        <v>7652</v>
      </c>
      <c r="X20" s="92">
        <f t="shared" si="8"/>
        <v>-0.63115781355442002</v>
      </c>
      <c r="Y20" s="38">
        <v>6511</v>
      </c>
      <c r="Z20" s="38">
        <v>4074</v>
      </c>
      <c r="AA20" s="92">
        <f t="shared" si="9"/>
        <v>-0.37428966364613703</v>
      </c>
      <c r="AB20" s="38">
        <f t="shared" si="10"/>
        <v>27257</v>
      </c>
      <c r="AC20" s="38">
        <f t="shared" si="11"/>
        <v>11726</v>
      </c>
      <c r="AD20" s="92">
        <f t="shared" si="12"/>
        <v>-0.56979858385002002</v>
      </c>
      <c r="AE20" s="22"/>
      <c r="AF20" s="22">
        <v>5828</v>
      </c>
      <c r="AG20" s="92" t="e">
        <f t="shared" si="13"/>
        <v>#DIV/0!</v>
      </c>
      <c r="AH20" s="22">
        <f t="shared" si="14"/>
        <v>27257</v>
      </c>
      <c r="AI20" s="22">
        <f t="shared" si="15"/>
        <v>17554</v>
      </c>
      <c r="AJ20" s="92">
        <f t="shared" si="16"/>
        <v>-0.35598194959093099</v>
      </c>
      <c r="AK20" s="22">
        <v>3647</v>
      </c>
      <c r="AL20" s="22"/>
      <c r="AM20" s="92">
        <f t="shared" si="17"/>
        <v>-1</v>
      </c>
      <c r="AN20" s="22">
        <f t="shared" si="18"/>
        <v>30904</v>
      </c>
      <c r="AO20" s="22">
        <f t="shared" si="19"/>
        <v>17554</v>
      </c>
      <c r="AP20" s="92">
        <f t="shared" si="20"/>
        <v>-0.43198291483303097</v>
      </c>
      <c r="AQ20" s="22">
        <v>11076</v>
      </c>
      <c r="AR20" s="22">
        <v>16590</v>
      </c>
      <c r="AS20" s="92">
        <f t="shared" si="21"/>
        <v>0.49783315276272999</v>
      </c>
      <c r="AT20" s="22">
        <f t="shared" si="22"/>
        <v>41980</v>
      </c>
      <c r="AU20" s="22">
        <f t="shared" si="23"/>
        <v>34144</v>
      </c>
      <c r="AV20" s="92">
        <f t="shared" si="24"/>
        <v>-0.18666031443544501</v>
      </c>
      <c r="AW20" s="38"/>
      <c r="AX20" s="38"/>
      <c r="AY20" s="92" t="e">
        <f t="shared" si="25"/>
        <v>#DIV/0!</v>
      </c>
      <c r="AZ20" s="38">
        <f t="shared" si="26"/>
        <v>41980</v>
      </c>
      <c r="BA20" s="38">
        <f t="shared" si="27"/>
        <v>34144</v>
      </c>
      <c r="BB20" s="92">
        <f t="shared" si="28"/>
        <v>-0.18666031443544501</v>
      </c>
      <c r="BC20" s="38"/>
      <c r="BD20" s="38">
        <v>11694</v>
      </c>
      <c r="BE20" s="92" t="e">
        <f t="shared" si="29"/>
        <v>#DIV/0!</v>
      </c>
      <c r="BF20" s="38">
        <f t="shared" si="30"/>
        <v>41980</v>
      </c>
      <c r="BG20" s="38">
        <f t="shared" si="31"/>
        <v>45838</v>
      </c>
      <c r="BH20" s="92">
        <f t="shared" si="32"/>
        <v>9.1900905192949106E-2</v>
      </c>
      <c r="BI20" s="22"/>
      <c r="BJ20" s="22"/>
      <c r="BK20" s="22">
        <v>18931</v>
      </c>
      <c r="BL20" s="22">
        <v>60911</v>
      </c>
      <c r="BM20" s="96">
        <f t="shared" si="33"/>
        <v>0.22919</v>
      </c>
      <c r="BN20" s="22"/>
    </row>
    <row r="21" spans="1:66">
      <c r="A21" s="80" t="s">
        <v>33</v>
      </c>
      <c r="B21" s="80" t="s">
        <v>33</v>
      </c>
      <c r="C21" s="84" t="s">
        <v>373</v>
      </c>
      <c r="D21" s="33" t="s">
        <v>61</v>
      </c>
      <c r="E21" s="33" t="s">
        <v>61</v>
      </c>
      <c r="F21" s="33" t="s">
        <v>366</v>
      </c>
      <c r="G21" s="33" t="s">
        <v>366</v>
      </c>
      <c r="H21" s="33" t="s">
        <v>360</v>
      </c>
      <c r="I21" s="33"/>
      <c r="J21" s="91"/>
      <c r="K21" s="91"/>
      <c r="L21" s="92" t="e">
        <f t="shared" si="0"/>
        <v>#DIV/0!</v>
      </c>
      <c r="M21" s="91"/>
      <c r="N21" s="91"/>
      <c r="O21" s="92" t="e">
        <f t="shared" si="1"/>
        <v>#DIV/0!</v>
      </c>
      <c r="P21" s="91">
        <f t="shared" si="2"/>
        <v>0</v>
      </c>
      <c r="Q21" s="91">
        <f t="shared" si="3"/>
        <v>0</v>
      </c>
      <c r="R21" s="92" t="e">
        <f t="shared" si="4"/>
        <v>#DIV/0!</v>
      </c>
      <c r="S21" s="38"/>
      <c r="T21" s="38"/>
      <c r="U21" s="92" t="e">
        <f t="shared" si="5"/>
        <v>#DIV/0!</v>
      </c>
      <c r="V21" s="38">
        <f t="shared" si="6"/>
        <v>0</v>
      </c>
      <c r="W21" s="38">
        <f t="shared" si="7"/>
        <v>0</v>
      </c>
      <c r="X21" s="92" t="e">
        <f t="shared" si="8"/>
        <v>#DIV/0!</v>
      </c>
      <c r="Y21" s="38"/>
      <c r="Z21" s="38"/>
      <c r="AA21" s="92" t="e">
        <f t="shared" si="9"/>
        <v>#DIV/0!</v>
      </c>
      <c r="AB21" s="38">
        <f t="shared" si="10"/>
        <v>0</v>
      </c>
      <c r="AC21" s="38">
        <f t="shared" si="11"/>
        <v>0</v>
      </c>
      <c r="AD21" s="92" t="e">
        <f t="shared" si="12"/>
        <v>#DIV/0!</v>
      </c>
      <c r="AE21" s="22"/>
      <c r="AF21" s="22"/>
      <c r="AG21" s="92" t="e">
        <f t="shared" si="13"/>
        <v>#DIV/0!</v>
      </c>
      <c r="AH21" s="22">
        <f t="shared" si="14"/>
        <v>0</v>
      </c>
      <c r="AI21" s="22">
        <f t="shared" si="15"/>
        <v>0</v>
      </c>
      <c r="AJ21" s="92" t="e">
        <f t="shared" si="16"/>
        <v>#DIV/0!</v>
      </c>
      <c r="AK21" s="22"/>
      <c r="AL21" s="22"/>
      <c r="AM21" s="92" t="e">
        <f t="shared" si="17"/>
        <v>#DIV/0!</v>
      </c>
      <c r="AN21" s="22">
        <f t="shared" si="18"/>
        <v>0</v>
      </c>
      <c r="AO21" s="22">
        <f t="shared" si="19"/>
        <v>0</v>
      </c>
      <c r="AP21" s="92" t="e">
        <f t="shared" si="20"/>
        <v>#DIV/0!</v>
      </c>
      <c r="AQ21" s="22">
        <v>9300</v>
      </c>
      <c r="AR21" s="22"/>
      <c r="AS21" s="92">
        <f t="shared" si="21"/>
        <v>-1</v>
      </c>
      <c r="AT21" s="22">
        <f t="shared" si="22"/>
        <v>9300</v>
      </c>
      <c r="AU21" s="22">
        <f t="shared" si="23"/>
        <v>0</v>
      </c>
      <c r="AV21" s="92">
        <f t="shared" si="24"/>
        <v>-1</v>
      </c>
      <c r="AW21" s="38"/>
      <c r="AX21" s="38"/>
      <c r="AY21" s="92" t="e">
        <f t="shared" si="25"/>
        <v>#DIV/0!</v>
      </c>
      <c r="AZ21" s="38">
        <f t="shared" si="26"/>
        <v>9300</v>
      </c>
      <c r="BA21" s="38">
        <f t="shared" si="27"/>
        <v>0</v>
      </c>
      <c r="BB21" s="92">
        <f t="shared" si="28"/>
        <v>-1</v>
      </c>
      <c r="BC21" s="38"/>
      <c r="BD21" s="38"/>
      <c r="BE21" s="92" t="e">
        <f t="shared" si="29"/>
        <v>#DIV/0!</v>
      </c>
      <c r="BF21" s="38">
        <f t="shared" si="30"/>
        <v>9300</v>
      </c>
      <c r="BG21" s="38">
        <f t="shared" si="31"/>
        <v>0</v>
      </c>
      <c r="BH21" s="92">
        <f t="shared" si="32"/>
        <v>-1</v>
      </c>
      <c r="BI21" s="22"/>
      <c r="BJ21" s="22"/>
      <c r="BK21" s="22"/>
      <c r="BL21" s="22">
        <v>9300</v>
      </c>
      <c r="BM21" s="96" t="e">
        <f t="shared" si="33"/>
        <v>#DIV/0!</v>
      </c>
      <c r="BN21" s="22"/>
    </row>
    <row r="22" spans="1:66">
      <c r="A22" s="80" t="s">
        <v>33</v>
      </c>
      <c r="B22" s="80" t="s">
        <v>33</v>
      </c>
      <c r="C22" s="84" t="s">
        <v>374</v>
      </c>
      <c r="D22" s="33" t="s">
        <v>61</v>
      </c>
      <c r="E22" s="33" t="s">
        <v>61</v>
      </c>
      <c r="F22" s="33" t="s">
        <v>366</v>
      </c>
      <c r="G22" s="33" t="s">
        <v>366</v>
      </c>
      <c r="H22" s="33" t="s">
        <v>360</v>
      </c>
      <c r="I22" s="33">
        <v>10</v>
      </c>
      <c r="J22" s="91">
        <v>11621</v>
      </c>
      <c r="K22" s="91">
        <v>3730</v>
      </c>
      <c r="L22" s="92">
        <f t="shared" si="0"/>
        <v>-0.67902934342999699</v>
      </c>
      <c r="M22" s="91">
        <v>36823</v>
      </c>
      <c r="N22" s="91"/>
      <c r="O22" s="92">
        <f t="shared" si="1"/>
        <v>-1</v>
      </c>
      <c r="P22" s="91">
        <f t="shared" si="2"/>
        <v>48444</v>
      </c>
      <c r="Q22" s="91">
        <f t="shared" si="3"/>
        <v>3730</v>
      </c>
      <c r="R22" s="92">
        <f t="shared" si="4"/>
        <v>-0.92300388076954798</v>
      </c>
      <c r="S22" s="38">
        <v>4256</v>
      </c>
      <c r="T22" s="38">
        <v>22606</v>
      </c>
      <c r="U22" s="92">
        <f t="shared" si="5"/>
        <v>4.3115601503759402</v>
      </c>
      <c r="V22" s="38">
        <f t="shared" si="6"/>
        <v>52700</v>
      </c>
      <c r="W22" s="38">
        <f t="shared" si="7"/>
        <v>26336</v>
      </c>
      <c r="X22" s="92">
        <f t="shared" si="8"/>
        <v>-0.500265654648956</v>
      </c>
      <c r="Y22" s="38"/>
      <c r="Z22" s="38">
        <v>11573</v>
      </c>
      <c r="AA22" s="92" t="e">
        <f t="shared" si="9"/>
        <v>#DIV/0!</v>
      </c>
      <c r="AB22" s="38">
        <f t="shared" si="10"/>
        <v>52700</v>
      </c>
      <c r="AC22" s="38">
        <f t="shared" si="11"/>
        <v>37909</v>
      </c>
      <c r="AD22" s="92">
        <f t="shared" si="12"/>
        <v>-0.28066413662239098</v>
      </c>
      <c r="AE22" s="22">
        <v>35183</v>
      </c>
      <c r="AF22" s="22"/>
      <c r="AG22" s="92">
        <f t="shared" si="13"/>
        <v>-1</v>
      </c>
      <c r="AH22" s="22">
        <f t="shared" si="14"/>
        <v>87883</v>
      </c>
      <c r="AI22" s="22">
        <f t="shared" si="15"/>
        <v>37909</v>
      </c>
      <c r="AJ22" s="92">
        <f t="shared" si="16"/>
        <v>-0.56864239955395202</v>
      </c>
      <c r="AK22" s="22"/>
      <c r="AL22" s="22"/>
      <c r="AM22" s="92" t="e">
        <f t="shared" si="17"/>
        <v>#DIV/0!</v>
      </c>
      <c r="AN22" s="22">
        <f t="shared" si="18"/>
        <v>87883</v>
      </c>
      <c r="AO22" s="22">
        <f t="shared" si="19"/>
        <v>37909</v>
      </c>
      <c r="AP22" s="92">
        <f t="shared" si="20"/>
        <v>-0.56864239955395202</v>
      </c>
      <c r="AQ22" s="22">
        <v>35458</v>
      </c>
      <c r="AR22" s="22">
        <v>6025</v>
      </c>
      <c r="AS22" s="92">
        <f t="shared" si="21"/>
        <v>-0.83008065880760296</v>
      </c>
      <c r="AT22" s="22">
        <f t="shared" si="22"/>
        <v>123341</v>
      </c>
      <c r="AU22" s="22">
        <f t="shared" si="23"/>
        <v>43934</v>
      </c>
      <c r="AV22" s="92">
        <f t="shared" si="24"/>
        <v>-0.64380052050818504</v>
      </c>
      <c r="AW22" s="38">
        <v>18517</v>
      </c>
      <c r="AX22" s="38"/>
      <c r="AY22" s="92">
        <f t="shared" si="25"/>
        <v>-1</v>
      </c>
      <c r="AZ22" s="38">
        <f t="shared" si="26"/>
        <v>141858</v>
      </c>
      <c r="BA22" s="38">
        <f t="shared" si="27"/>
        <v>43934</v>
      </c>
      <c r="BB22" s="92">
        <f t="shared" si="28"/>
        <v>-0.69029592973254905</v>
      </c>
      <c r="BC22" s="38">
        <v>29469</v>
      </c>
      <c r="BD22" s="38"/>
      <c r="BE22" s="92">
        <f t="shared" si="29"/>
        <v>-1</v>
      </c>
      <c r="BF22" s="38">
        <f t="shared" si="30"/>
        <v>171327</v>
      </c>
      <c r="BG22" s="38">
        <f t="shared" si="31"/>
        <v>43934</v>
      </c>
      <c r="BH22" s="92">
        <f t="shared" si="32"/>
        <v>-0.74356639642321398</v>
      </c>
      <c r="BI22" s="22">
        <v>20687</v>
      </c>
      <c r="BJ22" s="22"/>
      <c r="BK22" s="22">
        <v>18822</v>
      </c>
      <c r="BL22" s="22">
        <v>210836</v>
      </c>
      <c r="BM22" s="96">
        <f t="shared" si="33"/>
        <v>0.43934000000000001</v>
      </c>
      <c r="BN22" s="22"/>
    </row>
    <row r="23" spans="1:66">
      <c r="A23" s="80" t="s">
        <v>33</v>
      </c>
      <c r="B23" s="80" t="s">
        <v>33</v>
      </c>
      <c r="C23" s="84" t="s">
        <v>375</v>
      </c>
      <c r="D23" s="33" t="s">
        <v>61</v>
      </c>
      <c r="E23" s="33" t="s">
        <v>61</v>
      </c>
      <c r="F23" s="33" t="s">
        <v>376</v>
      </c>
      <c r="G23" s="33" t="s">
        <v>376</v>
      </c>
      <c r="H23" s="33" t="s">
        <v>360</v>
      </c>
      <c r="I23" s="33">
        <v>10</v>
      </c>
      <c r="J23" s="91">
        <v>5096</v>
      </c>
      <c r="K23" s="91"/>
      <c r="L23" s="92">
        <f t="shared" si="0"/>
        <v>-1</v>
      </c>
      <c r="M23" s="91">
        <v>15039</v>
      </c>
      <c r="N23" s="91"/>
      <c r="O23" s="92">
        <f t="shared" si="1"/>
        <v>-1</v>
      </c>
      <c r="P23" s="91">
        <f t="shared" si="2"/>
        <v>20135</v>
      </c>
      <c r="Q23" s="91">
        <f t="shared" si="3"/>
        <v>0</v>
      </c>
      <c r="R23" s="92">
        <f t="shared" si="4"/>
        <v>-1</v>
      </c>
      <c r="S23" s="38"/>
      <c r="T23" s="38"/>
      <c r="U23" s="92" t="e">
        <f t="shared" si="5"/>
        <v>#DIV/0!</v>
      </c>
      <c r="V23" s="38">
        <f t="shared" si="6"/>
        <v>20135</v>
      </c>
      <c r="W23" s="38">
        <f t="shared" si="7"/>
        <v>0</v>
      </c>
      <c r="X23" s="92">
        <f t="shared" si="8"/>
        <v>-1</v>
      </c>
      <c r="Y23" s="38"/>
      <c r="Z23" s="38"/>
      <c r="AA23" s="92" t="e">
        <f t="shared" si="9"/>
        <v>#DIV/0!</v>
      </c>
      <c r="AB23" s="38">
        <f t="shared" si="10"/>
        <v>20135</v>
      </c>
      <c r="AC23" s="38">
        <f t="shared" si="11"/>
        <v>0</v>
      </c>
      <c r="AD23" s="92">
        <f t="shared" si="12"/>
        <v>-1</v>
      </c>
      <c r="AE23" s="22">
        <v>5156</v>
      </c>
      <c r="AF23" s="22"/>
      <c r="AG23" s="92">
        <f t="shared" si="13"/>
        <v>-1</v>
      </c>
      <c r="AH23" s="22">
        <f t="shared" si="14"/>
        <v>25291</v>
      </c>
      <c r="AI23" s="22">
        <f t="shared" si="15"/>
        <v>0</v>
      </c>
      <c r="AJ23" s="92">
        <f t="shared" si="16"/>
        <v>-1</v>
      </c>
      <c r="AK23" s="22"/>
      <c r="AL23" s="22"/>
      <c r="AM23" s="92" t="e">
        <f t="shared" si="17"/>
        <v>#DIV/0!</v>
      </c>
      <c r="AN23" s="22">
        <f t="shared" si="18"/>
        <v>25291</v>
      </c>
      <c r="AO23" s="22">
        <f t="shared" si="19"/>
        <v>0</v>
      </c>
      <c r="AP23" s="92">
        <f t="shared" si="20"/>
        <v>-1</v>
      </c>
      <c r="AQ23" s="22"/>
      <c r="AR23" s="22"/>
      <c r="AS23" s="92" t="e">
        <f t="shared" si="21"/>
        <v>#DIV/0!</v>
      </c>
      <c r="AT23" s="22">
        <f t="shared" si="22"/>
        <v>25291</v>
      </c>
      <c r="AU23" s="22">
        <f t="shared" si="23"/>
        <v>0</v>
      </c>
      <c r="AV23" s="92">
        <f t="shared" si="24"/>
        <v>-1</v>
      </c>
      <c r="AW23" s="38"/>
      <c r="AX23" s="38"/>
      <c r="AY23" s="92" t="e">
        <f t="shared" si="25"/>
        <v>#DIV/0!</v>
      </c>
      <c r="AZ23" s="38">
        <f t="shared" si="26"/>
        <v>25291</v>
      </c>
      <c r="BA23" s="38">
        <f t="shared" si="27"/>
        <v>0</v>
      </c>
      <c r="BB23" s="92">
        <f t="shared" si="28"/>
        <v>-1</v>
      </c>
      <c r="BC23" s="38">
        <v>2890</v>
      </c>
      <c r="BD23" s="38"/>
      <c r="BE23" s="92">
        <f t="shared" si="29"/>
        <v>-1</v>
      </c>
      <c r="BF23" s="38">
        <f t="shared" si="30"/>
        <v>28181</v>
      </c>
      <c r="BG23" s="38">
        <f t="shared" si="31"/>
        <v>0</v>
      </c>
      <c r="BH23" s="92">
        <f t="shared" si="32"/>
        <v>-1</v>
      </c>
      <c r="BI23" s="22"/>
      <c r="BJ23" s="22">
        <v>11211</v>
      </c>
      <c r="BK23" s="22">
        <v>2243</v>
      </c>
      <c r="BL23" s="22">
        <v>41635</v>
      </c>
      <c r="BM23" s="96">
        <f t="shared" si="33"/>
        <v>0</v>
      </c>
      <c r="BN23" s="22"/>
    </row>
    <row r="24" spans="1:66">
      <c r="A24" s="80" t="s">
        <v>33</v>
      </c>
      <c r="B24" s="80" t="s">
        <v>33</v>
      </c>
      <c r="C24" s="84" t="s">
        <v>377</v>
      </c>
      <c r="D24" s="33" t="s">
        <v>61</v>
      </c>
      <c r="E24" s="33" t="s">
        <v>61</v>
      </c>
      <c r="F24" s="33" t="s">
        <v>359</v>
      </c>
      <c r="G24" s="33" t="s">
        <v>364</v>
      </c>
      <c r="H24" s="33" t="s">
        <v>360</v>
      </c>
      <c r="I24" s="33">
        <v>10</v>
      </c>
      <c r="J24" s="91"/>
      <c r="K24" s="91">
        <v>5412</v>
      </c>
      <c r="L24" s="92" t="e">
        <f t="shared" si="0"/>
        <v>#DIV/0!</v>
      </c>
      <c r="M24" s="91">
        <v>10342</v>
      </c>
      <c r="N24" s="91">
        <v>2472</v>
      </c>
      <c r="O24" s="92">
        <f t="shared" si="1"/>
        <v>-0.76097466640881795</v>
      </c>
      <c r="P24" s="91">
        <f t="shared" si="2"/>
        <v>10342</v>
      </c>
      <c r="Q24" s="91">
        <f t="shared" si="3"/>
        <v>7884</v>
      </c>
      <c r="R24" s="92">
        <f t="shared" si="4"/>
        <v>-0.23767163024560001</v>
      </c>
      <c r="S24" s="38"/>
      <c r="T24" s="38"/>
      <c r="U24" s="92" t="e">
        <f t="shared" si="5"/>
        <v>#DIV/0!</v>
      </c>
      <c r="V24" s="38">
        <f t="shared" si="6"/>
        <v>10342</v>
      </c>
      <c r="W24" s="38">
        <f t="shared" si="7"/>
        <v>7884</v>
      </c>
      <c r="X24" s="92">
        <f t="shared" si="8"/>
        <v>-0.23767163024560001</v>
      </c>
      <c r="Y24" s="38">
        <v>2866</v>
      </c>
      <c r="Z24" s="38"/>
      <c r="AA24" s="92">
        <f t="shared" si="9"/>
        <v>-1</v>
      </c>
      <c r="AB24" s="38">
        <f t="shared" si="10"/>
        <v>13208</v>
      </c>
      <c r="AC24" s="38">
        <f t="shared" si="11"/>
        <v>7884</v>
      </c>
      <c r="AD24" s="92">
        <f t="shared" si="12"/>
        <v>-0.40308903694730502</v>
      </c>
      <c r="AE24" s="22">
        <v>13931</v>
      </c>
      <c r="AF24" s="22">
        <v>2290</v>
      </c>
      <c r="AG24" s="92">
        <f t="shared" si="13"/>
        <v>-0.835618404996052</v>
      </c>
      <c r="AH24" s="22">
        <f t="shared" si="14"/>
        <v>27139</v>
      </c>
      <c r="AI24" s="22">
        <f t="shared" si="15"/>
        <v>10174</v>
      </c>
      <c r="AJ24" s="92">
        <f t="shared" si="16"/>
        <v>-0.62511514794207601</v>
      </c>
      <c r="AK24" s="22">
        <v>7143</v>
      </c>
      <c r="AL24" s="22">
        <v>3236</v>
      </c>
      <c r="AM24" s="92">
        <f t="shared" si="17"/>
        <v>-0.54696906061878803</v>
      </c>
      <c r="AN24" s="22">
        <f t="shared" si="18"/>
        <v>34282</v>
      </c>
      <c r="AO24" s="22">
        <f t="shared" si="19"/>
        <v>13410</v>
      </c>
      <c r="AP24" s="92">
        <f t="shared" si="20"/>
        <v>-0.60883262353421597</v>
      </c>
      <c r="AQ24" s="22">
        <v>4821</v>
      </c>
      <c r="AR24" s="22">
        <v>10</v>
      </c>
      <c r="AS24" s="92">
        <f t="shared" si="21"/>
        <v>-0.99792574154739699</v>
      </c>
      <c r="AT24" s="22">
        <f t="shared" si="22"/>
        <v>39103</v>
      </c>
      <c r="AU24" s="22">
        <f t="shared" si="23"/>
        <v>13420</v>
      </c>
      <c r="AV24" s="92">
        <f t="shared" si="24"/>
        <v>-0.65680382579341701</v>
      </c>
      <c r="AW24" s="38">
        <v>2751</v>
      </c>
      <c r="AX24" s="38"/>
      <c r="AY24" s="92">
        <f t="shared" si="25"/>
        <v>-1</v>
      </c>
      <c r="AZ24" s="38">
        <f t="shared" si="26"/>
        <v>41854</v>
      </c>
      <c r="BA24" s="38">
        <f t="shared" si="27"/>
        <v>13420</v>
      </c>
      <c r="BB24" s="92">
        <f t="shared" si="28"/>
        <v>-0.67936159029005605</v>
      </c>
      <c r="BC24" s="38">
        <v>5110</v>
      </c>
      <c r="BD24" s="38"/>
      <c r="BE24" s="92">
        <f t="shared" si="29"/>
        <v>-1</v>
      </c>
      <c r="BF24" s="38">
        <f t="shared" si="30"/>
        <v>46964</v>
      </c>
      <c r="BG24" s="38">
        <f t="shared" si="31"/>
        <v>13420</v>
      </c>
      <c r="BH24" s="92">
        <f t="shared" si="32"/>
        <v>-0.71424921216250703</v>
      </c>
      <c r="BI24" s="22">
        <v>6507</v>
      </c>
      <c r="BJ24" s="22">
        <v>3551</v>
      </c>
      <c r="BK24" s="22">
        <v>4944</v>
      </c>
      <c r="BL24" s="22">
        <v>61966</v>
      </c>
      <c r="BM24" s="96">
        <f t="shared" si="33"/>
        <v>0.13420000000000001</v>
      </c>
      <c r="BN24" s="22"/>
    </row>
    <row r="25" spans="1:66">
      <c r="A25" s="80" t="s">
        <v>33</v>
      </c>
      <c r="B25" s="80" t="s">
        <v>33</v>
      </c>
      <c r="C25" s="84" t="s">
        <v>378</v>
      </c>
      <c r="D25" s="33" t="s">
        <v>61</v>
      </c>
      <c r="E25" s="33" t="s">
        <v>61</v>
      </c>
      <c r="F25" s="33" t="s">
        <v>351</v>
      </c>
      <c r="G25" s="33" t="s">
        <v>351</v>
      </c>
      <c r="H25" s="33" t="s">
        <v>352</v>
      </c>
      <c r="I25" s="33">
        <v>5</v>
      </c>
      <c r="J25" s="91"/>
      <c r="K25" s="91"/>
      <c r="L25" s="92" t="e">
        <f t="shared" si="0"/>
        <v>#DIV/0!</v>
      </c>
      <c r="M25" s="91"/>
      <c r="N25" s="91"/>
      <c r="O25" s="92" t="e">
        <f t="shared" si="1"/>
        <v>#DIV/0!</v>
      </c>
      <c r="P25" s="91">
        <f t="shared" si="2"/>
        <v>0</v>
      </c>
      <c r="Q25" s="91">
        <f t="shared" si="3"/>
        <v>0</v>
      </c>
      <c r="R25" s="92" t="e">
        <f t="shared" si="4"/>
        <v>#DIV/0!</v>
      </c>
      <c r="S25" s="38"/>
      <c r="T25" s="38"/>
      <c r="U25" s="92" t="e">
        <f t="shared" si="5"/>
        <v>#DIV/0!</v>
      </c>
      <c r="V25" s="38">
        <f t="shared" si="6"/>
        <v>0</v>
      </c>
      <c r="W25" s="38">
        <f t="shared" si="7"/>
        <v>0</v>
      </c>
      <c r="X25" s="92" t="e">
        <f t="shared" si="8"/>
        <v>#DIV/0!</v>
      </c>
      <c r="Y25" s="38"/>
      <c r="Z25" s="38"/>
      <c r="AA25" s="92" t="e">
        <f t="shared" si="9"/>
        <v>#DIV/0!</v>
      </c>
      <c r="AB25" s="38">
        <f t="shared" si="10"/>
        <v>0</v>
      </c>
      <c r="AC25" s="38">
        <f t="shared" si="11"/>
        <v>0</v>
      </c>
      <c r="AD25" s="92" t="e">
        <f t="shared" si="12"/>
        <v>#DIV/0!</v>
      </c>
      <c r="AE25" s="22">
        <v>6885</v>
      </c>
      <c r="AF25" s="22"/>
      <c r="AG25" s="92">
        <f t="shared" si="13"/>
        <v>-1</v>
      </c>
      <c r="AH25" s="22">
        <f t="shared" si="14"/>
        <v>6885</v>
      </c>
      <c r="AI25" s="22">
        <f t="shared" si="15"/>
        <v>0</v>
      </c>
      <c r="AJ25" s="92">
        <f t="shared" si="16"/>
        <v>-1</v>
      </c>
      <c r="AK25" s="22"/>
      <c r="AL25" s="22"/>
      <c r="AM25" s="92" t="e">
        <f t="shared" si="17"/>
        <v>#DIV/0!</v>
      </c>
      <c r="AN25" s="22">
        <f t="shared" si="18"/>
        <v>6885</v>
      </c>
      <c r="AO25" s="22">
        <f t="shared" si="19"/>
        <v>0</v>
      </c>
      <c r="AP25" s="92">
        <f t="shared" si="20"/>
        <v>-1</v>
      </c>
      <c r="AQ25" s="22"/>
      <c r="AR25" s="22"/>
      <c r="AS25" s="92" t="e">
        <f t="shared" si="21"/>
        <v>#DIV/0!</v>
      </c>
      <c r="AT25" s="22">
        <f t="shared" si="22"/>
        <v>6885</v>
      </c>
      <c r="AU25" s="22">
        <f t="shared" si="23"/>
        <v>0</v>
      </c>
      <c r="AV25" s="92">
        <f t="shared" si="24"/>
        <v>-1</v>
      </c>
      <c r="AW25" s="38">
        <v>2399</v>
      </c>
      <c r="AX25" s="38"/>
      <c r="AY25" s="92">
        <f t="shared" si="25"/>
        <v>-1</v>
      </c>
      <c r="AZ25" s="38">
        <f t="shared" si="26"/>
        <v>9284</v>
      </c>
      <c r="BA25" s="38">
        <f t="shared" si="27"/>
        <v>0</v>
      </c>
      <c r="BB25" s="92">
        <f t="shared" si="28"/>
        <v>-1</v>
      </c>
      <c r="BC25" s="38">
        <v>790</v>
      </c>
      <c r="BD25" s="38"/>
      <c r="BE25" s="92">
        <f t="shared" si="29"/>
        <v>-1</v>
      </c>
      <c r="BF25" s="38">
        <f t="shared" si="30"/>
        <v>10074</v>
      </c>
      <c r="BG25" s="38">
        <f t="shared" si="31"/>
        <v>0</v>
      </c>
      <c r="BH25" s="92">
        <f t="shared" si="32"/>
        <v>-1</v>
      </c>
      <c r="BI25" s="22">
        <v>11215</v>
      </c>
      <c r="BJ25" s="22"/>
      <c r="BK25" s="22"/>
      <c r="BL25" s="22">
        <v>21289</v>
      </c>
      <c r="BM25" s="96">
        <f t="shared" si="33"/>
        <v>0</v>
      </c>
      <c r="BN25" s="22"/>
    </row>
    <row r="26" spans="1:66">
      <c r="A26" s="80" t="s">
        <v>33</v>
      </c>
      <c r="B26" s="80" t="s">
        <v>33</v>
      </c>
      <c r="C26" s="84" t="s">
        <v>379</v>
      </c>
      <c r="D26" s="33" t="s">
        <v>61</v>
      </c>
      <c r="E26" s="33" t="s">
        <v>61</v>
      </c>
      <c r="F26" s="33" t="s">
        <v>351</v>
      </c>
      <c r="G26" s="33" t="s">
        <v>351</v>
      </c>
      <c r="H26" s="33" t="s">
        <v>352</v>
      </c>
      <c r="I26" s="33">
        <v>6</v>
      </c>
      <c r="J26" s="91">
        <v>6631</v>
      </c>
      <c r="K26" s="91"/>
      <c r="L26" s="92">
        <f t="shared" si="0"/>
        <v>-1</v>
      </c>
      <c r="M26" s="91"/>
      <c r="N26" s="91"/>
      <c r="O26" s="92" t="e">
        <f t="shared" si="1"/>
        <v>#DIV/0!</v>
      </c>
      <c r="P26" s="91">
        <f t="shared" si="2"/>
        <v>6631</v>
      </c>
      <c r="Q26" s="91">
        <f t="shared" si="3"/>
        <v>0</v>
      </c>
      <c r="R26" s="92">
        <f t="shared" si="4"/>
        <v>-1</v>
      </c>
      <c r="S26" s="38"/>
      <c r="T26" s="38"/>
      <c r="U26" s="92" t="e">
        <f t="shared" si="5"/>
        <v>#DIV/0!</v>
      </c>
      <c r="V26" s="38">
        <f t="shared" si="6"/>
        <v>6631</v>
      </c>
      <c r="W26" s="38">
        <f t="shared" si="7"/>
        <v>0</v>
      </c>
      <c r="X26" s="92">
        <f t="shared" si="8"/>
        <v>-1</v>
      </c>
      <c r="Y26" s="38"/>
      <c r="Z26" s="38"/>
      <c r="AA26" s="92" t="e">
        <f t="shared" si="9"/>
        <v>#DIV/0!</v>
      </c>
      <c r="AB26" s="38">
        <f t="shared" si="10"/>
        <v>6631</v>
      </c>
      <c r="AC26" s="38">
        <f t="shared" si="11"/>
        <v>0</v>
      </c>
      <c r="AD26" s="92">
        <f t="shared" si="12"/>
        <v>-1</v>
      </c>
      <c r="AE26" s="22"/>
      <c r="AF26" s="22"/>
      <c r="AG26" s="92" t="e">
        <f t="shared" si="13"/>
        <v>#DIV/0!</v>
      </c>
      <c r="AH26" s="22">
        <f t="shared" si="14"/>
        <v>6631</v>
      </c>
      <c r="AI26" s="22">
        <f t="shared" si="15"/>
        <v>0</v>
      </c>
      <c r="AJ26" s="92">
        <f t="shared" si="16"/>
        <v>-1</v>
      </c>
      <c r="AK26" s="22"/>
      <c r="AL26" s="22"/>
      <c r="AM26" s="92" t="e">
        <f t="shared" si="17"/>
        <v>#DIV/0!</v>
      </c>
      <c r="AN26" s="22">
        <f t="shared" si="18"/>
        <v>6631</v>
      </c>
      <c r="AO26" s="22">
        <f t="shared" si="19"/>
        <v>0</v>
      </c>
      <c r="AP26" s="92">
        <f t="shared" si="20"/>
        <v>-1</v>
      </c>
      <c r="AQ26" s="22"/>
      <c r="AR26" s="22"/>
      <c r="AS26" s="92" t="e">
        <f t="shared" si="21"/>
        <v>#DIV/0!</v>
      </c>
      <c r="AT26" s="22">
        <f t="shared" si="22"/>
        <v>6631</v>
      </c>
      <c r="AU26" s="22">
        <f t="shared" si="23"/>
        <v>0</v>
      </c>
      <c r="AV26" s="92">
        <f t="shared" si="24"/>
        <v>-1</v>
      </c>
      <c r="AW26" s="38"/>
      <c r="AX26" s="38"/>
      <c r="AY26" s="92" t="e">
        <f t="shared" si="25"/>
        <v>#DIV/0!</v>
      </c>
      <c r="AZ26" s="38">
        <f t="shared" si="26"/>
        <v>6631</v>
      </c>
      <c r="BA26" s="38">
        <f t="shared" si="27"/>
        <v>0</v>
      </c>
      <c r="BB26" s="92">
        <f t="shared" si="28"/>
        <v>-1</v>
      </c>
      <c r="BC26" s="38"/>
      <c r="BD26" s="38"/>
      <c r="BE26" s="92" t="e">
        <f t="shared" si="29"/>
        <v>#DIV/0!</v>
      </c>
      <c r="BF26" s="38">
        <f t="shared" si="30"/>
        <v>6631</v>
      </c>
      <c r="BG26" s="38">
        <f t="shared" si="31"/>
        <v>0</v>
      </c>
      <c r="BH26" s="92">
        <f t="shared" si="32"/>
        <v>-1</v>
      </c>
      <c r="BI26" s="22"/>
      <c r="BJ26" s="22"/>
      <c r="BK26" s="22"/>
      <c r="BL26" s="22">
        <v>6631</v>
      </c>
      <c r="BM26" s="96">
        <f t="shared" si="33"/>
        <v>0</v>
      </c>
      <c r="BN26" s="22"/>
    </row>
    <row r="27" spans="1:66">
      <c r="A27" s="80" t="s">
        <v>33</v>
      </c>
      <c r="B27" s="80" t="s">
        <v>33</v>
      </c>
      <c r="C27" s="84" t="s">
        <v>380</v>
      </c>
      <c r="D27" s="33" t="s">
        <v>61</v>
      </c>
      <c r="E27" s="33" t="s">
        <v>61</v>
      </c>
      <c r="F27" s="33" t="s">
        <v>351</v>
      </c>
      <c r="G27" s="33" t="s">
        <v>351</v>
      </c>
      <c r="H27" s="33" t="s">
        <v>352</v>
      </c>
      <c r="I27" s="33"/>
      <c r="J27" s="91">
        <v>5230</v>
      </c>
      <c r="K27" s="91"/>
      <c r="L27" s="92">
        <f t="shared" si="0"/>
        <v>-1</v>
      </c>
      <c r="M27" s="91"/>
      <c r="N27" s="91"/>
      <c r="O27" s="92" t="e">
        <f t="shared" si="1"/>
        <v>#DIV/0!</v>
      </c>
      <c r="P27" s="91">
        <f t="shared" si="2"/>
        <v>5230</v>
      </c>
      <c r="Q27" s="91">
        <f t="shared" si="3"/>
        <v>0</v>
      </c>
      <c r="R27" s="92">
        <f t="shared" si="4"/>
        <v>-1</v>
      </c>
      <c r="S27" s="38">
        <v>2243</v>
      </c>
      <c r="T27" s="38"/>
      <c r="U27" s="92">
        <f t="shared" si="5"/>
        <v>-1</v>
      </c>
      <c r="V27" s="38">
        <f t="shared" si="6"/>
        <v>7473</v>
      </c>
      <c r="W27" s="38">
        <f t="shared" si="7"/>
        <v>0</v>
      </c>
      <c r="X27" s="92">
        <f t="shared" si="8"/>
        <v>-1</v>
      </c>
      <c r="Y27" s="38"/>
      <c r="Z27" s="38"/>
      <c r="AA27" s="92" t="e">
        <f t="shared" si="9"/>
        <v>#DIV/0!</v>
      </c>
      <c r="AB27" s="38">
        <f t="shared" si="10"/>
        <v>7473</v>
      </c>
      <c r="AC27" s="38">
        <f t="shared" si="11"/>
        <v>0</v>
      </c>
      <c r="AD27" s="92">
        <f t="shared" si="12"/>
        <v>-1</v>
      </c>
      <c r="AE27" s="22"/>
      <c r="AF27" s="22"/>
      <c r="AG27" s="92" t="e">
        <f t="shared" si="13"/>
        <v>#DIV/0!</v>
      </c>
      <c r="AH27" s="22">
        <f t="shared" si="14"/>
        <v>7473</v>
      </c>
      <c r="AI27" s="22">
        <f t="shared" si="15"/>
        <v>0</v>
      </c>
      <c r="AJ27" s="92">
        <f t="shared" si="16"/>
        <v>-1</v>
      </c>
      <c r="AK27" s="22"/>
      <c r="AL27" s="22"/>
      <c r="AM27" s="92" t="e">
        <f t="shared" si="17"/>
        <v>#DIV/0!</v>
      </c>
      <c r="AN27" s="22">
        <f t="shared" si="18"/>
        <v>7473</v>
      </c>
      <c r="AO27" s="22">
        <f t="shared" si="19"/>
        <v>0</v>
      </c>
      <c r="AP27" s="92">
        <f t="shared" si="20"/>
        <v>-1</v>
      </c>
      <c r="AQ27" s="22"/>
      <c r="AR27" s="22"/>
      <c r="AS27" s="92" t="e">
        <f t="shared" si="21"/>
        <v>#DIV/0!</v>
      </c>
      <c r="AT27" s="22">
        <f t="shared" si="22"/>
        <v>7473</v>
      </c>
      <c r="AU27" s="22">
        <f t="shared" si="23"/>
        <v>0</v>
      </c>
      <c r="AV27" s="92">
        <f t="shared" si="24"/>
        <v>-1</v>
      </c>
      <c r="AW27" s="38"/>
      <c r="AX27" s="38"/>
      <c r="AY27" s="92" t="e">
        <f t="shared" si="25"/>
        <v>#DIV/0!</v>
      </c>
      <c r="AZ27" s="38">
        <f t="shared" si="26"/>
        <v>7473</v>
      </c>
      <c r="BA27" s="38">
        <f t="shared" si="27"/>
        <v>0</v>
      </c>
      <c r="BB27" s="92">
        <f t="shared" si="28"/>
        <v>-1</v>
      </c>
      <c r="BC27" s="38"/>
      <c r="BD27" s="38"/>
      <c r="BE27" s="92" t="e">
        <f t="shared" si="29"/>
        <v>#DIV/0!</v>
      </c>
      <c r="BF27" s="38">
        <f t="shared" si="30"/>
        <v>7473</v>
      </c>
      <c r="BG27" s="38">
        <f t="shared" si="31"/>
        <v>0</v>
      </c>
      <c r="BH27" s="92">
        <f t="shared" si="32"/>
        <v>-1</v>
      </c>
      <c r="BI27" s="22"/>
      <c r="BJ27" s="22"/>
      <c r="BK27" s="22"/>
      <c r="BL27" s="22">
        <v>7473</v>
      </c>
      <c r="BM27" s="96" t="e">
        <f t="shared" si="33"/>
        <v>#DIV/0!</v>
      </c>
      <c r="BN27" s="22"/>
    </row>
    <row r="28" spans="1:66">
      <c r="A28" s="80" t="s">
        <v>33</v>
      </c>
      <c r="B28" s="80" t="s">
        <v>33</v>
      </c>
      <c r="C28" s="84" t="s">
        <v>381</v>
      </c>
      <c r="D28" s="33" t="s">
        <v>61</v>
      </c>
      <c r="E28" s="33" t="s">
        <v>61</v>
      </c>
      <c r="F28" s="33" t="s">
        <v>359</v>
      </c>
      <c r="G28" s="33" t="s">
        <v>364</v>
      </c>
      <c r="H28" s="33" t="s">
        <v>360</v>
      </c>
      <c r="I28" s="33">
        <v>10</v>
      </c>
      <c r="J28" s="91"/>
      <c r="K28" s="91"/>
      <c r="L28" s="92" t="e">
        <f t="shared" si="0"/>
        <v>#DIV/0!</v>
      </c>
      <c r="M28" s="91">
        <v>2005</v>
      </c>
      <c r="N28" s="91">
        <v>9511</v>
      </c>
      <c r="O28" s="92">
        <f t="shared" si="1"/>
        <v>3.7436408977556099</v>
      </c>
      <c r="P28" s="91">
        <f t="shared" si="2"/>
        <v>2005</v>
      </c>
      <c r="Q28" s="91">
        <f t="shared" si="3"/>
        <v>9511</v>
      </c>
      <c r="R28" s="92">
        <f t="shared" si="4"/>
        <v>3.7436408977556099</v>
      </c>
      <c r="S28" s="38"/>
      <c r="T28" s="38">
        <v>16569</v>
      </c>
      <c r="U28" s="92" t="e">
        <f t="shared" si="5"/>
        <v>#DIV/0!</v>
      </c>
      <c r="V28" s="38">
        <f t="shared" si="6"/>
        <v>2005</v>
      </c>
      <c r="W28" s="38">
        <f t="shared" si="7"/>
        <v>26080</v>
      </c>
      <c r="X28" s="92">
        <f t="shared" si="8"/>
        <v>12.007481296758099</v>
      </c>
      <c r="Y28" s="38"/>
      <c r="Z28" s="38">
        <v>7898</v>
      </c>
      <c r="AA28" s="92" t="e">
        <f t="shared" si="9"/>
        <v>#DIV/0!</v>
      </c>
      <c r="AB28" s="38">
        <f t="shared" si="10"/>
        <v>2005</v>
      </c>
      <c r="AC28" s="38">
        <f t="shared" si="11"/>
        <v>33978</v>
      </c>
      <c r="AD28" s="92">
        <f t="shared" si="12"/>
        <v>15.9466334164589</v>
      </c>
      <c r="AE28" s="22">
        <v>1920</v>
      </c>
      <c r="AF28" s="22"/>
      <c r="AG28" s="92">
        <f t="shared" si="13"/>
        <v>-1</v>
      </c>
      <c r="AH28" s="22">
        <f t="shared" si="14"/>
        <v>3925</v>
      </c>
      <c r="AI28" s="22">
        <f t="shared" si="15"/>
        <v>33978</v>
      </c>
      <c r="AJ28" s="92">
        <f t="shared" si="16"/>
        <v>7.6568152866241999</v>
      </c>
      <c r="AK28" s="22"/>
      <c r="AL28" s="22">
        <v>2100</v>
      </c>
      <c r="AM28" s="92" t="e">
        <f t="shared" si="17"/>
        <v>#DIV/0!</v>
      </c>
      <c r="AN28" s="22">
        <f t="shared" si="18"/>
        <v>3925</v>
      </c>
      <c r="AO28" s="22">
        <f t="shared" si="19"/>
        <v>36078</v>
      </c>
      <c r="AP28" s="92">
        <f t="shared" si="20"/>
        <v>8.1918471337579604</v>
      </c>
      <c r="AQ28" s="22"/>
      <c r="AR28" s="22"/>
      <c r="AS28" s="92" t="e">
        <f t="shared" si="21"/>
        <v>#DIV/0!</v>
      </c>
      <c r="AT28" s="22">
        <f t="shared" si="22"/>
        <v>3925</v>
      </c>
      <c r="AU28" s="22">
        <f t="shared" si="23"/>
        <v>36078</v>
      </c>
      <c r="AV28" s="92">
        <f t="shared" si="24"/>
        <v>8.1918471337579604</v>
      </c>
      <c r="AW28" s="38">
        <v>2243</v>
      </c>
      <c r="AX28" s="38"/>
      <c r="AY28" s="92">
        <f t="shared" si="25"/>
        <v>-1</v>
      </c>
      <c r="AZ28" s="38">
        <f t="shared" si="26"/>
        <v>6168</v>
      </c>
      <c r="BA28" s="38">
        <f t="shared" si="27"/>
        <v>36078</v>
      </c>
      <c r="BB28" s="92">
        <f t="shared" si="28"/>
        <v>4.8492217898832699</v>
      </c>
      <c r="BC28" s="38">
        <v>12484</v>
      </c>
      <c r="BD28" s="38"/>
      <c r="BE28" s="92">
        <f t="shared" si="29"/>
        <v>-1</v>
      </c>
      <c r="BF28" s="38">
        <f t="shared" si="30"/>
        <v>18652</v>
      </c>
      <c r="BG28" s="38">
        <f t="shared" si="31"/>
        <v>36078</v>
      </c>
      <c r="BH28" s="92">
        <f t="shared" si="32"/>
        <v>0.934269783401244</v>
      </c>
      <c r="BI28" s="22">
        <v>17258</v>
      </c>
      <c r="BJ28" s="22">
        <v>5873</v>
      </c>
      <c r="BK28" s="22">
        <v>13571</v>
      </c>
      <c r="BL28" s="22">
        <v>55354</v>
      </c>
      <c r="BM28" s="96">
        <f t="shared" si="33"/>
        <v>0.36077999999999999</v>
      </c>
      <c r="BN28" s="22"/>
    </row>
    <row r="29" spans="1:66">
      <c r="A29" s="80" t="s">
        <v>33</v>
      </c>
      <c r="B29" s="80" t="s">
        <v>33</v>
      </c>
      <c r="C29" s="84" t="s">
        <v>382</v>
      </c>
      <c r="D29" s="33" t="s">
        <v>61</v>
      </c>
      <c r="E29" s="33" t="s">
        <v>61</v>
      </c>
      <c r="F29" s="33" t="s">
        <v>351</v>
      </c>
      <c r="G29" s="33" t="s">
        <v>351</v>
      </c>
      <c r="H29" s="33" t="s">
        <v>352</v>
      </c>
      <c r="I29" s="33">
        <v>10</v>
      </c>
      <c r="J29" s="91"/>
      <c r="K29" s="91"/>
      <c r="L29" s="92" t="e">
        <f t="shared" si="0"/>
        <v>#DIV/0!</v>
      </c>
      <c r="M29" s="91"/>
      <c r="N29" s="91"/>
      <c r="O29" s="92" t="e">
        <f t="shared" si="1"/>
        <v>#DIV/0!</v>
      </c>
      <c r="P29" s="91">
        <f t="shared" si="2"/>
        <v>0</v>
      </c>
      <c r="Q29" s="91">
        <f t="shared" si="3"/>
        <v>0</v>
      </c>
      <c r="R29" s="92" t="e">
        <f t="shared" si="4"/>
        <v>#DIV/0!</v>
      </c>
      <c r="S29" s="38">
        <v>3823</v>
      </c>
      <c r="T29" s="38"/>
      <c r="U29" s="92">
        <f t="shared" si="5"/>
        <v>-1</v>
      </c>
      <c r="V29" s="38">
        <f t="shared" si="6"/>
        <v>3823</v>
      </c>
      <c r="W29" s="38">
        <f t="shared" si="7"/>
        <v>0</v>
      </c>
      <c r="X29" s="92">
        <f t="shared" si="8"/>
        <v>-1</v>
      </c>
      <c r="Y29" s="38"/>
      <c r="Z29" s="38">
        <v>21250</v>
      </c>
      <c r="AA29" s="92" t="e">
        <f t="shared" si="9"/>
        <v>#DIV/0!</v>
      </c>
      <c r="AB29" s="38">
        <f t="shared" si="10"/>
        <v>3823</v>
      </c>
      <c r="AC29" s="38">
        <f t="shared" si="11"/>
        <v>21250</v>
      </c>
      <c r="AD29" s="92">
        <f t="shared" si="12"/>
        <v>4.5584619408841203</v>
      </c>
      <c r="AE29" s="22">
        <v>2182</v>
      </c>
      <c r="AF29" s="22">
        <v>2182</v>
      </c>
      <c r="AG29" s="92">
        <f t="shared" si="13"/>
        <v>0</v>
      </c>
      <c r="AH29" s="22">
        <f t="shared" si="14"/>
        <v>6005</v>
      </c>
      <c r="AI29" s="22">
        <f t="shared" si="15"/>
        <v>23432</v>
      </c>
      <c r="AJ29" s="92">
        <f t="shared" si="16"/>
        <v>2.9020815986677801</v>
      </c>
      <c r="AK29" s="22"/>
      <c r="AL29" s="22"/>
      <c r="AM29" s="92" t="e">
        <f t="shared" si="17"/>
        <v>#DIV/0!</v>
      </c>
      <c r="AN29" s="22">
        <f t="shared" si="18"/>
        <v>6005</v>
      </c>
      <c r="AO29" s="22">
        <f t="shared" si="19"/>
        <v>23432</v>
      </c>
      <c r="AP29" s="92">
        <f t="shared" si="20"/>
        <v>2.9020815986677801</v>
      </c>
      <c r="AQ29" s="22"/>
      <c r="AR29" s="22"/>
      <c r="AS29" s="92" t="e">
        <f t="shared" si="21"/>
        <v>#DIV/0!</v>
      </c>
      <c r="AT29" s="22">
        <f t="shared" si="22"/>
        <v>6005</v>
      </c>
      <c r="AU29" s="22">
        <f t="shared" si="23"/>
        <v>23432</v>
      </c>
      <c r="AV29" s="92">
        <f t="shared" si="24"/>
        <v>2.9020815986677801</v>
      </c>
      <c r="AW29" s="38">
        <v>2182</v>
      </c>
      <c r="AX29" s="38"/>
      <c r="AY29" s="92">
        <f t="shared" si="25"/>
        <v>-1</v>
      </c>
      <c r="AZ29" s="38">
        <f t="shared" si="26"/>
        <v>8187</v>
      </c>
      <c r="BA29" s="38">
        <f t="shared" si="27"/>
        <v>23432</v>
      </c>
      <c r="BB29" s="92">
        <f t="shared" si="28"/>
        <v>1.8620984487602299</v>
      </c>
      <c r="BC29" s="38"/>
      <c r="BD29" s="38"/>
      <c r="BE29" s="92" t="e">
        <f t="shared" si="29"/>
        <v>#DIV/0!</v>
      </c>
      <c r="BF29" s="38">
        <f t="shared" si="30"/>
        <v>8187</v>
      </c>
      <c r="BG29" s="38">
        <f t="shared" si="31"/>
        <v>23432</v>
      </c>
      <c r="BH29" s="92">
        <f t="shared" si="32"/>
        <v>1.8620984487602299</v>
      </c>
      <c r="BI29" s="22">
        <v>4281</v>
      </c>
      <c r="BJ29" s="22">
        <v>6366</v>
      </c>
      <c r="BK29" s="22">
        <v>19278</v>
      </c>
      <c r="BL29" s="22">
        <v>38112</v>
      </c>
      <c r="BM29" s="96">
        <f t="shared" si="33"/>
        <v>0.23432</v>
      </c>
      <c r="BN29" s="22"/>
    </row>
    <row r="30" spans="1:66">
      <c r="A30" s="80" t="s">
        <v>33</v>
      </c>
      <c r="B30" s="80" t="s">
        <v>33</v>
      </c>
      <c r="C30" s="84" t="s">
        <v>383</v>
      </c>
      <c r="D30" s="33" t="s">
        <v>61</v>
      </c>
      <c r="E30" s="33" t="s">
        <v>61</v>
      </c>
      <c r="F30" s="33" t="s">
        <v>351</v>
      </c>
      <c r="G30" s="33" t="s">
        <v>351</v>
      </c>
      <c r="H30" s="33" t="s">
        <v>352</v>
      </c>
      <c r="I30" s="33"/>
      <c r="J30" s="91">
        <v>2339</v>
      </c>
      <c r="K30" s="91"/>
      <c r="L30" s="92">
        <f t="shared" si="0"/>
        <v>-1</v>
      </c>
      <c r="M30" s="91"/>
      <c r="N30" s="91"/>
      <c r="O30" s="92" t="e">
        <f t="shared" si="1"/>
        <v>#DIV/0!</v>
      </c>
      <c r="P30" s="91">
        <f t="shared" si="2"/>
        <v>2339</v>
      </c>
      <c r="Q30" s="91">
        <f t="shared" si="3"/>
        <v>0</v>
      </c>
      <c r="R30" s="92">
        <f t="shared" si="4"/>
        <v>-1</v>
      </c>
      <c r="S30" s="38"/>
      <c r="T30" s="38"/>
      <c r="U30" s="92" t="e">
        <f t="shared" si="5"/>
        <v>#DIV/0!</v>
      </c>
      <c r="V30" s="38">
        <f t="shared" si="6"/>
        <v>2339</v>
      </c>
      <c r="W30" s="38">
        <f t="shared" si="7"/>
        <v>0</v>
      </c>
      <c r="X30" s="92">
        <f t="shared" si="8"/>
        <v>-1</v>
      </c>
      <c r="Y30" s="38"/>
      <c r="Z30" s="38"/>
      <c r="AA30" s="92" t="e">
        <f t="shared" si="9"/>
        <v>#DIV/0!</v>
      </c>
      <c r="AB30" s="38">
        <f t="shared" si="10"/>
        <v>2339</v>
      </c>
      <c r="AC30" s="38">
        <f t="shared" si="11"/>
        <v>0</v>
      </c>
      <c r="AD30" s="92">
        <f t="shared" si="12"/>
        <v>-1</v>
      </c>
      <c r="AE30" s="22"/>
      <c r="AF30" s="22"/>
      <c r="AG30" s="92" t="e">
        <f t="shared" si="13"/>
        <v>#DIV/0!</v>
      </c>
      <c r="AH30" s="22">
        <f t="shared" si="14"/>
        <v>2339</v>
      </c>
      <c r="AI30" s="22">
        <f t="shared" si="15"/>
        <v>0</v>
      </c>
      <c r="AJ30" s="92">
        <f t="shared" si="16"/>
        <v>-1</v>
      </c>
      <c r="AK30" s="22"/>
      <c r="AL30" s="22"/>
      <c r="AM30" s="92" t="e">
        <f t="shared" si="17"/>
        <v>#DIV/0!</v>
      </c>
      <c r="AN30" s="22">
        <f t="shared" si="18"/>
        <v>2339</v>
      </c>
      <c r="AO30" s="22">
        <f t="shared" si="19"/>
        <v>0</v>
      </c>
      <c r="AP30" s="92">
        <f t="shared" si="20"/>
        <v>-1</v>
      </c>
      <c r="AQ30" s="22"/>
      <c r="AR30" s="22"/>
      <c r="AS30" s="92" t="e">
        <f t="shared" si="21"/>
        <v>#DIV/0!</v>
      </c>
      <c r="AT30" s="22">
        <f t="shared" si="22"/>
        <v>2339</v>
      </c>
      <c r="AU30" s="22">
        <f t="shared" si="23"/>
        <v>0</v>
      </c>
      <c r="AV30" s="92">
        <f t="shared" si="24"/>
        <v>-1</v>
      </c>
      <c r="AW30" s="38"/>
      <c r="AX30" s="38"/>
      <c r="AY30" s="92" t="e">
        <f t="shared" si="25"/>
        <v>#DIV/0!</v>
      </c>
      <c r="AZ30" s="38">
        <f t="shared" si="26"/>
        <v>2339</v>
      </c>
      <c r="BA30" s="38">
        <f t="shared" si="27"/>
        <v>0</v>
      </c>
      <c r="BB30" s="92">
        <f t="shared" si="28"/>
        <v>-1</v>
      </c>
      <c r="BC30" s="38"/>
      <c r="BD30" s="38"/>
      <c r="BE30" s="92" t="e">
        <f t="shared" si="29"/>
        <v>#DIV/0!</v>
      </c>
      <c r="BF30" s="38">
        <f t="shared" si="30"/>
        <v>2339</v>
      </c>
      <c r="BG30" s="38">
        <f t="shared" si="31"/>
        <v>0</v>
      </c>
      <c r="BH30" s="92">
        <f t="shared" si="32"/>
        <v>-1</v>
      </c>
      <c r="BI30" s="22"/>
      <c r="BJ30" s="22"/>
      <c r="BK30" s="22"/>
      <c r="BL30" s="22">
        <v>2339</v>
      </c>
      <c r="BM30" s="96" t="e">
        <f t="shared" si="33"/>
        <v>#DIV/0!</v>
      </c>
      <c r="BN30" s="22"/>
    </row>
    <row r="31" spans="1:66">
      <c r="A31" s="80" t="s">
        <v>33</v>
      </c>
      <c r="B31" s="80" t="s">
        <v>33</v>
      </c>
      <c r="C31" s="84" t="s">
        <v>384</v>
      </c>
      <c r="D31" s="33" t="s">
        <v>61</v>
      </c>
      <c r="E31" s="33" t="s">
        <v>61</v>
      </c>
      <c r="F31" s="33" t="s">
        <v>351</v>
      </c>
      <c r="G31" s="33" t="s">
        <v>351</v>
      </c>
      <c r="H31" s="33" t="s">
        <v>352</v>
      </c>
      <c r="I31" s="33">
        <v>10</v>
      </c>
      <c r="J31" s="91">
        <v>31268</v>
      </c>
      <c r="K31" s="91">
        <v>2138</v>
      </c>
      <c r="L31" s="92">
        <f t="shared" si="0"/>
        <v>-0.93162338493027996</v>
      </c>
      <c r="M31" s="91">
        <v>6215</v>
      </c>
      <c r="N31" s="91"/>
      <c r="O31" s="92">
        <f t="shared" si="1"/>
        <v>-1</v>
      </c>
      <c r="P31" s="91">
        <f t="shared" si="2"/>
        <v>37483</v>
      </c>
      <c r="Q31" s="91">
        <f t="shared" si="3"/>
        <v>2138</v>
      </c>
      <c r="R31" s="92">
        <f t="shared" si="4"/>
        <v>-0.94296080890003497</v>
      </c>
      <c r="S31" s="38">
        <v>5572</v>
      </c>
      <c r="T31" s="38">
        <v>4512</v>
      </c>
      <c r="U31" s="92">
        <f t="shared" si="5"/>
        <v>-0.190236898779612</v>
      </c>
      <c r="V31" s="38">
        <f t="shared" si="6"/>
        <v>43055</v>
      </c>
      <c r="W31" s="38">
        <f t="shared" si="7"/>
        <v>6650</v>
      </c>
      <c r="X31" s="92">
        <f t="shared" si="8"/>
        <v>-0.84554639414702104</v>
      </c>
      <c r="Y31" s="38">
        <v>11237</v>
      </c>
      <c r="Z31" s="38">
        <v>2065</v>
      </c>
      <c r="AA31" s="92">
        <f t="shared" si="9"/>
        <v>-0.81623209041559097</v>
      </c>
      <c r="AB31" s="38">
        <f t="shared" si="10"/>
        <v>54292</v>
      </c>
      <c r="AC31" s="38">
        <f t="shared" si="11"/>
        <v>8715</v>
      </c>
      <c r="AD31" s="92">
        <f t="shared" si="12"/>
        <v>-0.83947911294481703</v>
      </c>
      <c r="AE31" s="22">
        <v>40792</v>
      </c>
      <c r="AF31" s="22"/>
      <c r="AG31" s="92">
        <f t="shared" si="13"/>
        <v>-1</v>
      </c>
      <c r="AH31" s="22">
        <f t="shared" si="14"/>
        <v>95084</v>
      </c>
      <c r="AI31" s="22">
        <f t="shared" si="15"/>
        <v>8715</v>
      </c>
      <c r="AJ31" s="92">
        <f t="shared" si="16"/>
        <v>-0.90834420091708401</v>
      </c>
      <c r="AK31" s="22">
        <v>6542</v>
      </c>
      <c r="AL31" s="22">
        <v>6546</v>
      </c>
      <c r="AM31" s="92">
        <f t="shared" si="17"/>
        <v>6.1143381228978598E-4</v>
      </c>
      <c r="AN31" s="22">
        <f t="shared" si="18"/>
        <v>101626</v>
      </c>
      <c r="AO31" s="22">
        <f t="shared" si="19"/>
        <v>15261</v>
      </c>
      <c r="AP31" s="92">
        <f t="shared" si="20"/>
        <v>-0.84983173597307804</v>
      </c>
      <c r="AQ31" s="22">
        <v>8521</v>
      </c>
      <c r="AR31" s="22">
        <v>6500</v>
      </c>
      <c r="AS31" s="92">
        <f t="shared" si="21"/>
        <v>-0.237178734890271</v>
      </c>
      <c r="AT31" s="22">
        <f t="shared" si="22"/>
        <v>110147</v>
      </c>
      <c r="AU31" s="22">
        <f t="shared" si="23"/>
        <v>21761</v>
      </c>
      <c r="AV31" s="92">
        <f t="shared" si="24"/>
        <v>-0.80243674362442896</v>
      </c>
      <c r="AW31" s="38">
        <v>15667</v>
      </c>
      <c r="AX31" s="38"/>
      <c r="AY31" s="92">
        <f t="shared" si="25"/>
        <v>-1</v>
      </c>
      <c r="AZ31" s="38">
        <f t="shared" si="26"/>
        <v>125814</v>
      </c>
      <c r="BA31" s="38">
        <f t="shared" si="27"/>
        <v>21761</v>
      </c>
      <c r="BB31" s="92">
        <f t="shared" si="28"/>
        <v>-0.82703832641836394</v>
      </c>
      <c r="BC31" s="38">
        <v>11486</v>
      </c>
      <c r="BD31" s="38"/>
      <c r="BE31" s="92">
        <f t="shared" si="29"/>
        <v>-1</v>
      </c>
      <c r="BF31" s="38">
        <f t="shared" si="30"/>
        <v>137300</v>
      </c>
      <c r="BG31" s="38">
        <f t="shared" si="31"/>
        <v>21761</v>
      </c>
      <c r="BH31" s="92">
        <f t="shared" si="32"/>
        <v>-0.84150764748725404</v>
      </c>
      <c r="BI31" s="22">
        <v>2138</v>
      </c>
      <c r="BJ31" s="22">
        <v>17886</v>
      </c>
      <c r="BK31" s="22">
        <v>2182</v>
      </c>
      <c r="BL31" s="22">
        <v>159506</v>
      </c>
      <c r="BM31" s="96">
        <f t="shared" si="33"/>
        <v>0.21761</v>
      </c>
      <c r="BN31" s="22"/>
    </row>
    <row r="32" spans="1:66">
      <c r="A32" s="80" t="s">
        <v>33</v>
      </c>
      <c r="B32" s="80" t="s">
        <v>33</v>
      </c>
      <c r="C32" s="84" t="s">
        <v>385</v>
      </c>
      <c r="D32" s="33" t="s">
        <v>61</v>
      </c>
      <c r="E32" s="33" t="s">
        <v>61</v>
      </c>
      <c r="F32" s="33" t="s">
        <v>359</v>
      </c>
      <c r="G32" s="33" t="s">
        <v>364</v>
      </c>
      <c r="H32" s="33" t="s">
        <v>360</v>
      </c>
      <c r="I32" s="33"/>
      <c r="J32" s="91">
        <v>18500</v>
      </c>
      <c r="K32" s="91"/>
      <c r="L32" s="92">
        <f t="shared" si="0"/>
        <v>-1</v>
      </c>
      <c r="M32" s="91"/>
      <c r="N32" s="91"/>
      <c r="O32" s="92" t="e">
        <f t="shared" si="1"/>
        <v>#DIV/0!</v>
      </c>
      <c r="P32" s="91">
        <f t="shared" si="2"/>
        <v>18500</v>
      </c>
      <c r="Q32" s="91">
        <f t="shared" si="3"/>
        <v>0</v>
      </c>
      <c r="R32" s="92">
        <f t="shared" si="4"/>
        <v>-1</v>
      </c>
      <c r="S32" s="38"/>
      <c r="T32" s="38"/>
      <c r="U32" s="92" t="e">
        <f t="shared" si="5"/>
        <v>#DIV/0!</v>
      </c>
      <c r="V32" s="38">
        <f t="shared" si="6"/>
        <v>18500</v>
      </c>
      <c r="W32" s="38">
        <f t="shared" si="7"/>
        <v>0</v>
      </c>
      <c r="X32" s="92">
        <f t="shared" si="8"/>
        <v>-1</v>
      </c>
      <c r="Y32" s="38"/>
      <c r="Z32" s="38"/>
      <c r="AA32" s="92" t="e">
        <f t="shared" si="9"/>
        <v>#DIV/0!</v>
      </c>
      <c r="AB32" s="38">
        <f t="shared" si="10"/>
        <v>18500</v>
      </c>
      <c r="AC32" s="38">
        <f t="shared" si="11"/>
        <v>0</v>
      </c>
      <c r="AD32" s="92">
        <f t="shared" si="12"/>
        <v>-1</v>
      </c>
      <c r="AE32" s="22"/>
      <c r="AF32" s="22"/>
      <c r="AG32" s="92" t="e">
        <f t="shared" si="13"/>
        <v>#DIV/0!</v>
      </c>
      <c r="AH32" s="22">
        <f t="shared" si="14"/>
        <v>18500</v>
      </c>
      <c r="AI32" s="22">
        <f t="shared" si="15"/>
        <v>0</v>
      </c>
      <c r="AJ32" s="92">
        <f t="shared" si="16"/>
        <v>-1</v>
      </c>
      <c r="AK32" s="22"/>
      <c r="AL32" s="22"/>
      <c r="AM32" s="92" t="e">
        <f t="shared" si="17"/>
        <v>#DIV/0!</v>
      </c>
      <c r="AN32" s="22">
        <f t="shared" si="18"/>
        <v>18500</v>
      </c>
      <c r="AO32" s="22">
        <f t="shared" si="19"/>
        <v>0</v>
      </c>
      <c r="AP32" s="92">
        <f t="shared" si="20"/>
        <v>-1</v>
      </c>
      <c r="AQ32" s="22"/>
      <c r="AR32" s="22"/>
      <c r="AS32" s="92" t="e">
        <f t="shared" si="21"/>
        <v>#DIV/0!</v>
      </c>
      <c r="AT32" s="22">
        <f t="shared" si="22"/>
        <v>18500</v>
      </c>
      <c r="AU32" s="22">
        <f t="shared" si="23"/>
        <v>0</v>
      </c>
      <c r="AV32" s="92">
        <f t="shared" si="24"/>
        <v>-1</v>
      </c>
      <c r="AW32" s="38"/>
      <c r="AX32" s="38"/>
      <c r="AY32" s="92" t="e">
        <f t="shared" si="25"/>
        <v>#DIV/0!</v>
      </c>
      <c r="AZ32" s="38">
        <f t="shared" si="26"/>
        <v>18500</v>
      </c>
      <c r="BA32" s="38">
        <f t="shared" si="27"/>
        <v>0</v>
      </c>
      <c r="BB32" s="92">
        <f t="shared" si="28"/>
        <v>-1</v>
      </c>
      <c r="BC32" s="38"/>
      <c r="BD32" s="38"/>
      <c r="BE32" s="92" t="e">
        <f t="shared" si="29"/>
        <v>#DIV/0!</v>
      </c>
      <c r="BF32" s="38">
        <f t="shared" si="30"/>
        <v>18500</v>
      </c>
      <c r="BG32" s="38">
        <f t="shared" si="31"/>
        <v>0</v>
      </c>
      <c r="BH32" s="92">
        <f t="shared" si="32"/>
        <v>-1</v>
      </c>
      <c r="BI32" s="22"/>
      <c r="BJ32" s="22"/>
      <c r="BK32" s="22"/>
      <c r="BL32" s="22">
        <v>18500</v>
      </c>
      <c r="BM32" s="96" t="e">
        <f t="shared" si="33"/>
        <v>#DIV/0!</v>
      </c>
      <c r="BN32" s="22"/>
    </row>
    <row r="33" spans="1:66">
      <c r="A33" s="80" t="s">
        <v>33</v>
      </c>
      <c r="B33" s="80" t="s">
        <v>33</v>
      </c>
      <c r="C33" s="84" t="s">
        <v>386</v>
      </c>
      <c r="D33" s="33" t="s">
        <v>61</v>
      </c>
      <c r="E33" s="33" t="s">
        <v>61</v>
      </c>
      <c r="F33" s="33" t="s">
        <v>356</v>
      </c>
      <c r="G33" s="33" t="s">
        <v>356</v>
      </c>
      <c r="H33" s="33" t="s">
        <v>352</v>
      </c>
      <c r="I33" s="33"/>
      <c r="J33" s="91">
        <v>11800</v>
      </c>
      <c r="K33" s="91"/>
      <c r="L33" s="92">
        <f t="shared" si="0"/>
        <v>-1</v>
      </c>
      <c r="M33" s="91"/>
      <c r="N33" s="91"/>
      <c r="O33" s="92" t="e">
        <f t="shared" si="1"/>
        <v>#DIV/0!</v>
      </c>
      <c r="P33" s="91">
        <f t="shared" si="2"/>
        <v>11800</v>
      </c>
      <c r="Q33" s="91">
        <f t="shared" si="3"/>
        <v>0</v>
      </c>
      <c r="R33" s="92">
        <f t="shared" si="4"/>
        <v>-1</v>
      </c>
      <c r="S33" s="38"/>
      <c r="T33" s="38"/>
      <c r="U33" s="92" t="e">
        <f t="shared" si="5"/>
        <v>#DIV/0!</v>
      </c>
      <c r="V33" s="38">
        <f t="shared" si="6"/>
        <v>11800</v>
      </c>
      <c r="W33" s="38">
        <f t="shared" si="7"/>
        <v>0</v>
      </c>
      <c r="X33" s="92">
        <f t="shared" si="8"/>
        <v>-1</v>
      </c>
      <c r="Y33" s="38">
        <v>23000</v>
      </c>
      <c r="Z33" s="38"/>
      <c r="AA33" s="92">
        <f t="shared" si="9"/>
        <v>-1</v>
      </c>
      <c r="AB33" s="38">
        <f t="shared" si="10"/>
        <v>34800</v>
      </c>
      <c r="AC33" s="38">
        <f t="shared" si="11"/>
        <v>0</v>
      </c>
      <c r="AD33" s="92">
        <f t="shared" si="12"/>
        <v>-1</v>
      </c>
      <c r="AE33" s="22"/>
      <c r="AF33" s="22"/>
      <c r="AG33" s="92" t="e">
        <f t="shared" si="13"/>
        <v>#DIV/0!</v>
      </c>
      <c r="AH33" s="22">
        <f t="shared" si="14"/>
        <v>34800</v>
      </c>
      <c r="AI33" s="22">
        <f t="shared" si="15"/>
        <v>0</v>
      </c>
      <c r="AJ33" s="92">
        <f t="shared" si="16"/>
        <v>-1</v>
      </c>
      <c r="AK33" s="22"/>
      <c r="AL33" s="22"/>
      <c r="AM33" s="92" t="e">
        <f t="shared" si="17"/>
        <v>#DIV/0!</v>
      </c>
      <c r="AN33" s="22">
        <f t="shared" si="18"/>
        <v>34800</v>
      </c>
      <c r="AO33" s="22">
        <f t="shared" si="19"/>
        <v>0</v>
      </c>
      <c r="AP33" s="92">
        <f t="shared" si="20"/>
        <v>-1</v>
      </c>
      <c r="AQ33" s="22"/>
      <c r="AR33" s="22"/>
      <c r="AS33" s="92" t="e">
        <f t="shared" si="21"/>
        <v>#DIV/0!</v>
      </c>
      <c r="AT33" s="22">
        <f t="shared" si="22"/>
        <v>34800</v>
      </c>
      <c r="AU33" s="22">
        <f t="shared" si="23"/>
        <v>0</v>
      </c>
      <c r="AV33" s="92">
        <f t="shared" si="24"/>
        <v>-1</v>
      </c>
      <c r="AW33" s="38"/>
      <c r="AX33" s="38"/>
      <c r="AY33" s="92" t="e">
        <f t="shared" si="25"/>
        <v>#DIV/0!</v>
      </c>
      <c r="AZ33" s="38">
        <f t="shared" si="26"/>
        <v>34800</v>
      </c>
      <c r="BA33" s="38">
        <f t="shared" si="27"/>
        <v>0</v>
      </c>
      <c r="BB33" s="92">
        <f t="shared" si="28"/>
        <v>-1</v>
      </c>
      <c r="BC33" s="38"/>
      <c r="BD33" s="38"/>
      <c r="BE33" s="92" t="e">
        <f t="shared" si="29"/>
        <v>#DIV/0!</v>
      </c>
      <c r="BF33" s="38">
        <f t="shared" si="30"/>
        <v>34800</v>
      </c>
      <c r="BG33" s="38">
        <f t="shared" si="31"/>
        <v>0</v>
      </c>
      <c r="BH33" s="92">
        <f t="shared" si="32"/>
        <v>-1</v>
      </c>
      <c r="BI33" s="22"/>
      <c r="BJ33" s="22"/>
      <c r="BK33" s="22"/>
      <c r="BL33" s="22">
        <v>34800</v>
      </c>
      <c r="BM33" s="96" t="e">
        <f t="shared" si="33"/>
        <v>#DIV/0!</v>
      </c>
      <c r="BN33" s="22"/>
    </row>
    <row r="34" spans="1:66">
      <c r="A34" s="80" t="s">
        <v>33</v>
      </c>
      <c r="B34" s="80" t="s">
        <v>33</v>
      </c>
      <c r="C34" s="84" t="s">
        <v>387</v>
      </c>
      <c r="D34" s="33" t="s">
        <v>61</v>
      </c>
      <c r="E34" s="33" t="s">
        <v>61</v>
      </c>
      <c r="F34" s="33" t="s">
        <v>366</v>
      </c>
      <c r="G34" s="33" t="s">
        <v>366</v>
      </c>
      <c r="H34" s="33" t="s">
        <v>360</v>
      </c>
      <c r="I34" s="33">
        <v>15</v>
      </c>
      <c r="J34" s="91"/>
      <c r="K34" s="91">
        <v>12466</v>
      </c>
      <c r="L34" s="92" t="e">
        <f t="shared" si="0"/>
        <v>#DIV/0!</v>
      </c>
      <c r="M34" s="91">
        <v>1222.6199999999999</v>
      </c>
      <c r="N34" s="91">
        <v>6725</v>
      </c>
      <c r="O34" s="92">
        <f t="shared" si="1"/>
        <v>4.5004825702180602</v>
      </c>
      <c r="P34" s="91">
        <f t="shared" si="2"/>
        <v>1222.6199999999999</v>
      </c>
      <c r="Q34" s="91">
        <f t="shared" si="3"/>
        <v>19191</v>
      </c>
      <c r="R34" s="92">
        <f t="shared" si="4"/>
        <v>14.6966187368111</v>
      </c>
      <c r="S34" s="38"/>
      <c r="T34" s="38">
        <v>11207</v>
      </c>
      <c r="U34" s="92" t="e">
        <f t="shared" si="5"/>
        <v>#DIV/0!</v>
      </c>
      <c r="V34" s="38">
        <f t="shared" si="6"/>
        <v>1222.6199999999999</v>
      </c>
      <c r="W34" s="38">
        <f t="shared" si="7"/>
        <v>30398</v>
      </c>
      <c r="X34" s="92">
        <f t="shared" si="8"/>
        <v>23.862999133009399</v>
      </c>
      <c r="Y34" s="38">
        <v>2399</v>
      </c>
      <c r="Z34" s="38"/>
      <c r="AA34" s="92">
        <f t="shared" si="9"/>
        <v>-1</v>
      </c>
      <c r="AB34" s="38">
        <f t="shared" si="10"/>
        <v>3621.62</v>
      </c>
      <c r="AC34" s="38">
        <f t="shared" si="11"/>
        <v>30398</v>
      </c>
      <c r="AD34" s="92">
        <f t="shared" si="12"/>
        <v>7.3934813702155404</v>
      </c>
      <c r="AE34" s="22">
        <v>28449</v>
      </c>
      <c r="AF34" s="22">
        <v>34843</v>
      </c>
      <c r="AG34" s="92">
        <f t="shared" si="13"/>
        <v>0.22475306689163099</v>
      </c>
      <c r="AH34" s="22">
        <f t="shared" si="14"/>
        <v>32070.62</v>
      </c>
      <c r="AI34" s="22">
        <f t="shared" si="15"/>
        <v>65241</v>
      </c>
      <c r="AJ34" s="92">
        <f t="shared" si="16"/>
        <v>1.0342918222348101</v>
      </c>
      <c r="AK34" s="22">
        <v>16290</v>
      </c>
      <c r="AL34" s="22"/>
      <c r="AM34" s="92">
        <f t="shared" si="17"/>
        <v>-1</v>
      </c>
      <c r="AN34" s="22">
        <f t="shared" si="18"/>
        <v>48360.62</v>
      </c>
      <c r="AO34" s="22">
        <f t="shared" si="19"/>
        <v>65241</v>
      </c>
      <c r="AP34" s="92">
        <f t="shared" si="20"/>
        <v>0.34905218336737598</v>
      </c>
      <c r="AQ34" s="22">
        <v>1482</v>
      </c>
      <c r="AR34" s="22"/>
      <c r="AS34" s="92">
        <f t="shared" si="21"/>
        <v>-1</v>
      </c>
      <c r="AT34" s="22">
        <f t="shared" si="22"/>
        <v>49842.62</v>
      </c>
      <c r="AU34" s="22">
        <f t="shared" si="23"/>
        <v>65241</v>
      </c>
      <c r="AV34" s="92">
        <f t="shared" si="24"/>
        <v>0.30894001960571099</v>
      </c>
      <c r="AW34" s="38">
        <v>5220</v>
      </c>
      <c r="AX34" s="38"/>
      <c r="AY34" s="92">
        <f t="shared" si="25"/>
        <v>-1</v>
      </c>
      <c r="AZ34" s="38">
        <f t="shared" si="26"/>
        <v>55062.62</v>
      </c>
      <c r="BA34" s="38">
        <f t="shared" si="27"/>
        <v>65241</v>
      </c>
      <c r="BB34" s="92">
        <f t="shared" si="28"/>
        <v>0.184850993287279</v>
      </c>
      <c r="BC34" s="38">
        <v>31778</v>
      </c>
      <c r="BD34" s="38"/>
      <c r="BE34" s="92">
        <f t="shared" si="29"/>
        <v>-1</v>
      </c>
      <c r="BF34" s="38">
        <f t="shared" si="30"/>
        <v>86840.62</v>
      </c>
      <c r="BG34" s="38">
        <f t="shared" si="31"/>
        <v>65241</v>
      </c>
      <c r="BH34" s="92">
        <f t="shared" si="32"/>
        <v>-0.24872715095769701</v>
      </c>
      <c r="BI34" s="22"/>
      <c r="BJ34" s="22"/>
      <c r="BK34" s="22"/>
      <c r="BL34" s="22">
        <v>86840.62</v>
      </c>
      <c r="BM34" s="96">
        <f t="shared" si="33"/>
        <v>0.43493999999999999</v>
      </c>
      <c r="BN34" s="22"/>
    </row>
    <row r="35" spans="1:66">
      <c r="A35" s="80" t="s">
        <v>33</v>
      </c>
      <c r="B35" s="80" t="s">
        <v>33</v>
      </c>
      <c r="C35" s="84" t="s">
        <v>388</v>
      </c>
      <c r="D35" s="33" t="s">
        <v>61</v>
      </c>
      <c r="E35" s="33" t="s">
        <v>61</v>
      </c>
      <c r="F35" s="33" t="s">
        <v>376</v>
      </c>
      <c r="G35" s="33" t="s">
        <v>376</v>
      </c>
      <c r="H35" s="33" t="s">
        <v>352</v>
      </c>
      <c r="I35" s="33">
        <v>0</v>
      </c>
      <c r="J35" s="91">
        <v>7491</v>
      </c>
      <c r="K35" s="91"/>
      <c r="L35" s="92">
        <f t="shared" si="0"/>
        <v>-1</v>
      </c>
      <c r="M35" s="91"/>
      <c r="N35" s="91"/>
      <c r="O35" s="92" t="e">
        <f t="shared" si="1"/>
        <v>#DIV/0!</v>
      </c>
      <c r="P35" s="91">
        <f t="shared" si="2"/>
        <v>7491</v>
      </c>
      <c r="Q35" s="91">
        <f t="shared" si="3"/>
        <v>0</v>
      </c>
      <c r="R35" s="92">
        <f t="shared" si="4"/>
        <v>-1</v>
      </c>
      <c r="S35" s="38"/>
      <c r="T35" s="38"/>
      <c r="U35" s="92" t="e">
        <f t="shared" si="5"/>
        <v>#DIV/0!</v>
      </c>
      <c r="V35" s="38">
        <f t="shared" si="6"/>
        <v>7491</v>
      </c>
      <c r="W35" s="38">
        <f t="shared" si="7"/>
        <v>0</v>
      </c>
      <c r="X35" s="92">
        <f t="shared" si="8"/>
        <v>-1</v>
      </c>
      <c r="Y35" s="38"/>
      <c r="Z35" s="38"/>
      <c r="AA35" s="92" t="e">
        <f t="shared" si="9"/>
        <v>#DIV/0!</v>
      </c>
      <c r="AB35" s="38">
        <f t="shared" si="10"/>
        <v>7491</v>
      </c>
      <c r="AC35" s="38">
        <f t="shared" si="11"/>
        <v>0</v>
      </c>
      <c r="AD35" s="92">
        <f t="shared" si="12"/>
        <v>-1</v>
      </c>
      <c r="AE35" s="22"/>
      <c r="AF35" s="22"/>
      <c r="AG35" s="92" t="e">
        <f t="shared" si="13"/>
        <v>#DIV/0!</v>
      </c>
      <c r="AH35" s="22">
        <f t="shared" si="14"/>
        <v>7491</v>
      </c>
      <c r="AI35" s="22">
        <f t="shared" si="15"/>
        <v>0</v>
      </c>
      <c r="AJ35" s="92">
        <f t="shared" si="16"/>
        <v>-1</v>
      </c>
      <c r="AK35" s="22"/>
      <c r="AL35" s="22"/>
      <c r="AM35" s="92" t="e">
        <f t="shared" si="17"/>
        <v>#DIV/0!</v>
      </c>
      <c r="AN35" s="22">
        <f t="shared" si="18"/>
        <v>7491</v>
      </c>
      <c r="AO35" s="22">
        <f t="shared" si="19"/>
        <v>0</v>
      </c>
      <c r="AP35" s="92">
        <f t="shared" si="20"/>
        <v>-1</v>
      </c>
      <c r="AQ35" s="22"/>
      <c r="AR35" s="22"/>
      <c r="AS35" s="92" t="e">
        <f t="shared" si="21"/>
        <v>#DIV/0!</v>
      </c>
      <c r="AT35" s="22">
        <f t="shared" si="22"/>
        <v>7491</v>
      </c>
      <c r="AU35" s="22">
        <f t="shared" si="23"/>
        <v>0</v>
      </c>
      <c r="AV35" s="92">
        <f t="shared" si="24"/>
        <v>-1</v>
      </c>
      <c r="AW35" s="38"/>
      <c r="AX35" s="38"/>
      <c r="AY35" s="92" t="e">
        <f t="shared" si="25"/>
        <v>#DIV/0!</v>
      </c>
      <c r="AZ35" s="38">
        <f t="shared" si="26"/>
        <v>7491</v>
      </c>
      <c r="BA35" s="38">
        <f t="shared" si="27"/>
        <v>0</v>
      </c>
      <c r="BB35" s="92">
        <f t="shared" si="28"/>
        <v>-1</v>
      </c>
      <c r="BC35" s="38"/>
      <c r="BD35" s="38"/>
      <c r="BE35" s="92" t="e">
        <f t="shared" si="29"/>
        <v>#DIV/0!</v>
      </c>
      <c r="BF35" s="38">
        <f t="shared" si="30"/>
        <v>7491</v>
      </c>
      <c r="BG35" s="38">
        <f t="shared" si="31"/>
        <v>0</v>
      </c>
      <c r="BH35" s="92">
        <f t="shared" si="32"/>
        <v>-1</v>
      </c>
      <c r="BI35" s="22"/>
      <c r="BJ35" s="22"/>
      <c r="BK35" s="22"/>
      <c r="BL35" s="22">
        <v>7491</v>
      </c>
      <c r="BM35" s="96" t="e">
        <f t="shared" si="33"/>
        <v>#DIV/0!</v>
      </c>
      <c r="BN35" s="22"/>
    </row>
    <row r="36" spans="1:66">
      <c r="A36" s="80" t="s">
        <v>33</v>
      </c>
      <c r="B36" s="80" t="s">
        <v>33</v>
      </c>
      <c r="C36" s="84" t="s">
        <v>389</v>
      </c>
      <c r="D36" s="85" t="s">
        <v>61</v>
      </c>
      <c r="E36" s="33" t="s">
        <v>61</v>
      </c>
      <c r="F36" s="33" t="s">
        <v>366</v>
      </c>
      <c r="G36" s="33" t="s">
        <v>366</v>
      </c>
      <c r="H36" s="33" t="s">
        <v>360</v>
      </c>
      <c r="I36" s="33"/>
      <c r="J36" s="91"/>
      <c r="K36" s="91"/>
      <c r="L36" s="92" t="e">
        <f t="shared" si="0"/>
        <v>#DIV/0!</v>
      </c>
      <c r="M36" s="91"/>
      <c r="N36" s="91"/>
      <c r="O36" s="92" t="e">
        <f t="shared" si="1"/>
        <v>#DIV/0!</v>
      </c>
      <c r="P36" s="91">
        <f t="shared" si="2"/>
        <v>0</v>
      </c>
      <c r="Q36" s="91">
        <f t="shared" si="3"/>
        <v>0</v>
      </c>
      <c r="R36" s="92" t="e">
        <f t="shared" si="4"/>
        <v>#DIV/0!</v>
      </c>
      <c r="S36" s="38"/>
      <c r="T36" s="38"/>
      <c r="U36" s="92" t="e">
        <f t="shared" si="5"/>
        <v>#DIV/0!</v>
      </c>
      <c r="V36" s="38">
        <f t="shared" si="6"/>
        <v>0</v>
      </c>
      <c r="W36" s="38">
        <f t="shared" si="7"/>
        <v>0</v>
      </c>
      <c r="X36" s="92" t="e">
        <f t="shared" si="8"/>
        <v>#DIV/0!</v>
      </c>
      <c r="Y36" s="38">
        <v>5280</v>
      </c>
      <c r="Z36" s="38"/>
      <c r="AA36" s="92">
        <f t="shared" si="9"/>
        <v>-1</v>
      </c>
      <c r="AB36" s="38">
        <f t="shared" si="10"/>
        <v>5280</v>
      </c>
      <c r="AC36" s="38">
        <f t="shared" si="11"/>
        <v>0</v>
      </c>
      <c r="AD36" s="92">
        <f t="shared" si="12"/>
        <v>-1</v>
      </c>
      <c r="AE36" s="22"/>
      <c r="AF36" s="22"/>
      <c r="AG36" s="92" t="e">
        <f t="shared" si="13"/>
        <v>#DIV/0!</v>
      </c>
      <c r="AH36" s="22">
        <f t="shared" si="14"/>
        <v>5280</v>
      </c>
      <c r="AI36" s="22">
        <f t="shared" si="15"/>
        <v>0</v>
      </c>
      <c r="AJ36" s="92">
        <f t="shared" si="16"/>
        <v>-1</v>
      </c>
      <c r="AK36" s="22"/>
      <c r="AL36" s="22"/>
      <c r="AM36" s="92" t="e">
        <f t="shared" si="17"/>
        <v>#DIV/0!</v>
      </c>
      <c r="AN36" s="22">
        <f t="shared" si="18"/>
        <v>5280</v>
      </c>
      <c r="AO36" s="22">
        <f t="shared" si="19"/>
        <v>0</v>
      </c>
      <c r="AP36" s="92">
        <f t="shared" si="20"/>
        <v>-1</v>
      </c>
      <c r="AQ36" s="22"/>
      <c r="AR36" s="22"/>
      <c r="AS36" s="92" t="e">
        <f t="shared" si="21"/>
        <v>#DIV/0!</v>
      </c>
      <c r="AT36" s="22">
        <f t="shared" si="22"/>
        <v>5280</v>
      </c>
      <c r="AU36" s="22">
        <f t="shared" si="23"/>
        <v>0</v>
      </c>
      <c r="AV36" s="92">
        <f t="shared" si="24"/>
        <v>-1</v>
      </c>
      <c r="AW36" s="38"/>
      <c r="AX36" s="38"/>
      <c r="AY36" s="92" t="e">
        <f t="shared" si="25"/>
        <v>#DIV/0!</v>
      </c>
      <c r="AZ36" s="38">
        <f t="shared" si="26"/>
        <v>5280</v>
      </c>
      <c r="BA36" s="38">
        <f t="shared" si="27"/>
        <v>0</v>
      </c>
      <c r="BB36" s="92">
        <f t="shared" si="28"/>
        <v>-1</v>
      </c>
      <c r="BC36" s="38"/>
      <c r="BD36" s="38"/>
      <c r="BE36" s="92" t="e">
        <f t="shared" si="29"/>
        <v>#DIV/0!</v>
      </c>
      <c r="BF36" s="38">
        <f t="shared" si="30"/>
        <v>5280</v>
      </c>
      <c r="BG36" s="38">
        <f t="shared" si="31"/>
        <v>0</v>
      </c>
      <c r="BH36" s="92">
        <f t="shared" si="32"/>
        <v>-1</v>
      </c>
      <c r="BI36" s="22"/>
      <c r="BJ36" s="22"/>
      <c r="BK36" s="22"/>
      <c r="BL36" s="22">
        <v>5280</v>
      </c>
      <c r="BM36" s="96" t="e">
        <f t="shared" si="33"/>
        <v>#DIV/0!</v>
      </c>
      <c r="BN36" s="22"/>
    </row>
    <row r="37" spans="1:66">
      <c r="A37" s="80" t="s">
        <v>33</v>
      </c>
      <c r="B37" s="80" t="s">
        <v>33</v>
      </c>
      <c r="C37" s="84" t="s">
        <v>390</v>
      </c>
      <c r="D37" s="85" t="s">
        <v>61</v>
      </c>
      <c r="E37" s="33" t="s">
        <v>61</v>
      </c>
      <c r="F37" s="33" t="s">
        <v>376</v>
      </c>
      <c r="G37" s="33" t="s">
        <v>376</v>
      </c>
      <c r="H37" s="33" t="s">
        <v>352</v>
      </c>
      <c r="I37" s="33"/>
      <c r="J37" s="91"/>
      <c r="K37" s="91"/>
      <c r="L37" s="92" t="e">
        <f t="shared" si="0"/>
        <v>#DIV/0!</v>
      </c>
      <c r="M37" s="91"/>
      <c r="N37" s="91"/>
      <c r="O37" s="92" t="e">
        <f t="shared" si="1"/>
        <v>#DIV/0!</v>
      </c>
      <c r="P37" s="91">
        <f t="shared" si="2"/>
        <v>0</v>
      </c>
      <c r="Q37" s="91">
        <f t="shared" si="3"/>
        <v>0</v>
      </c>
      <c r="R37" s="92" t="e">
        <f t="shared" si="4"/>
        <v>#DIV/0!</v>
      </c>
      <c r="S37" s="38">
        <v>6699</v>
      </c>
      <c r="T37" s="38"/>
      <c r="U37" s="92">
        <f t="shared" si="5"/>
        <v>-1</v>
      </c>
      <c r="V37" s="38">
        <f t="shared" si="6"/>
        <v>6699</v>
      </c>
      <c r="W37" s="38">
        <f t="shared" si="7"/>
        <v>0</v>
      </c>
      <c r="X37" s="92">
        <f t="shared" si="8"/>
        <v>-1</v>
      </c>
      <c r="Y37" s="38"/>
      <c r="Z37" s="38"/>
      <c r="AA37" s="92" t="e">
        <f t="shared" si="9"/>
        <v>#DIV/0!</v>
      </c>
      <c r="AB37" s="38">
        <f t="shared" si="10"/>
        <v>6699</v>
      </c>
      <c r="AC37" s="38">
        <f t="shared" si="11"/>
        <v>0</v>
      </c>
      <c r="AD37" s="92">
        <f t="shared" si="12"/>
        <v>-1</v>
      </c>
      <c r="AE37" s="22"/>
      <c r="AF37" s="22"/>
      <c r="AG37" s="92" t="e">
        <f t="shared" si="13"/>
        <v>#DIV/0!</v>
      </c>
      <c r="AH37" s="22">
        <f t="shared" si="14"/>
        <v>6699</v>
      </c>
      <c r="AI37" s="22">
        <f t="shared" si="15"/>
        <v>0</v>
      </c>
      <c r="AJ37" s="92">
        <f t="shared" si="16"/>
        <v>-1</v>
      </c>
      <c r="AK37" s="22"/>
      <c r="AL37" s="22"/>
      <c r="AM37" s="92" t="e">
        <f t="shared" si="17"/>
        <v>#DIV/0!</v>
      </c>
      <c r="AN37" s="22">
        <f t="shared" si="18"/>
        <v>6699</v>
      </c>
      <c r="AO37" s="22">
        <f t="shared" si="19"/>
        <v>0</v>
      </c>
      <c r="AP37" s="92">
        <f t="shared" si="20"/>
        <v>-1</v>
      </c>
      <c r="AQ37" s="22"/>
      <c r="AR37" s="22"/>
      <c r="AS37" s="92" t="e">
        <f t="shared" si="21"/>
        <v>#DIV/0!</v>
      </c>
      <c r="AT37" s="22">
        <f t="shared" si="22"/>
        <v>6699</v>
      </c>
      <c r="AU37" s="22">
        <f t="shared" si="23"/>
        <v>0</v>
      </c>
      <c r="AV37" s="92">
        <f t="shared" si="24"/>
        <v>-1</v>
      </c>
      <c r="AW37" s="38"/>
      <c r="AX37" s="38"/>
      <c r="AY37" s="92" t="e">
        <f t="shared" si="25"/>
        <v>#DIV/0!</v>
      </c>
      <c r="AZ37" s="38">
        <f t="shared" si="26"/>
        <v>6699</v>
      </c>
      <c r="BA37" s="38">
        <f t="shared" si="27"/>
        <v>0</v>
      </c>
      <c r="BB37" s="92">
        <f t="shared" si="28"/>
        <v>-1</v>
      </c>
      <c r="BC37" s="38">
        <v>3692</v>
      </c>
      <c r="BD37" s="38"/>
      <c r="BE37" s="92">
        <f t="shared" si="29"/>
        <v>-1</v>
      </c>
      <c r="BF37" s="38">
        <f t="shared" si="30"/>
        <v>10391</v>
      </c>
      <c r="BG37" s="38">
        <f t="shared" si="31"/>
        <v>0</v>
      </c>
      <c r="BH37" s="92">
        <f t="shared" si="32"/>
        <v>-1</v>
      </c>
      <c r="BI37" s="22"/>
      <c r="BJ37" s="22"/>
      <c r="BK37" s="22"/>
      <c r="BL37" s="22">
        <v>10391</v>
      </c>
      <c r="BM37" s="96" t="e">
        <f t="shared" si="33"/>
        <v>#DIV/0!</v>
      </c>
      <c r="BN37" s="22"/>
    </row>
    <row r="38" spans="1:66">
      <c r="A38" s="80" t="s">
        <v>33</v>
      </c>
      <c r="B38" s="80" t="s">
        <v>33</v>
      </c>
      <c r="C38" s="84" t="s">
        <v>391</v>
      </c>
      <c r="D38" s="85" t="s">
        <v>61</v>
      </c>
      <c r="E38" s="33" t="s">
        <v>61</v>
      </c>
      <c r="F38" s="33" t="s">
        <v>376</v>
      </c>
      <c r="G38" s="33" t="s">
        <v>376</v>
      </c>
      <c r="H38" s="33" t="s">
        <v>352</v>
      </c>
      <c r="I38" s="33">
        <v>20</v>
      </c>
      <c r="J38" s="91"/>
      <c r="K38" s="91">
        <v>20000</v>
      </c>
      <c r="L38" s="92" t="e">
        <f t="shared" si="0"/>
        <v>#DIV/0!</v>
      </c>
      <c r="M38" s="91"/>
      <c r="N38" s="91"/>
      <c r="O38" s="92" t="e">
        <f t="shared" si="1"/>
        <v>#DIV/0!</v>
      </c>
      <c r="P38" s="91">
        <f t="shared" si="2"/>
        <v>0</v>
      </c>
      <c r="Q38" s="91">
        <f t="shared" si="3"/>
        <v>20000</v>
      </c>
      <c r="R38" s="92" t="e">
        <f t="shared" si="4"/>
        <v>#DIV/0!</v>
      </c>
      <c r="S38" s="38"/>
      <c r="T38" s="38"/>
      <c r="U38" s="92" t="e">
        <f t="shared" si="5"/>
        <v>#DIV/0!</v>
      </c>
      <c r="V38" s="38">
        <f t="shared" si="6"/>
        <v>0</v>
      </c>
      <c r="W38" s="38">
        <f t="shared" si="7"/>
        <v>20000</v>
      </c>
      <c r="X38" s="92" t="e">
        <f t="shared" si="8"/>
        <v>#DIV/0!</v>
      </c>
      <c r="Y38" s="38"/>
      <c r="Z38" s="38">
        <v>20000</v>
      </c>
      <c r="AA38" s="92" t="e">
        <f t="shared" si="9"/>
        <v>#DIV/0!</v>
      </c>
      <c r="AB38" s="38">
        <f t="shared" si="10"/>
        <v>0</v>
      </c>
      <c r="AC38" s="38">
        <f t="shared" si="11"/>
        <v>40000</v>
      </c>
      <c r="AD38" s="92" t="e">
        <f t="shared" si="12"/>
        <v>#DIV/0!</v>
      </c>
      <c r="AE38" s="22">
        <v>20000</v>
      </c>
      <c r="AF38" s="22"/>
      <c r="AG38" s="92">
        <f t="shared" si="13"/>
        <v>-1</v>
      </c>
      <c r="AH38" s="22">
        <f t="shared" si="14"/>
        <v>20000</v>
      </c>
      <c r="AI38" s="22">
        <f t="shared" si="15"/>
        <v>40000</v>
      </c>
      <c r="AJ38" s="92">
        <f t="shared" si="16"/>
        <v>1</v>
      </c>
      <c r="AK38" s="22"/>
      <c r="AL38" s="22"/>
      <c r="AM38" s="92" t="e">
        <f t="shared" si="17"/>
        <v>#DIV/0!</v>
      </c>
      <c r="AN38" s="22">
        <f t="shared" si="18"/>
        <v>20000</v>
      </c>
      <c r="AO38" s="22">
        <f t="shared" si="19"/>
        <v>40000</v>
      </c>
      <c r="AP38" s="92">
        <f t="shared" si="20"/>
        <v>1</v>
      </c>
      <c r="AQ38" s="22"/>
      <c r="AR38" s="22">
        <v>20000</v>
      </c>
      <c r="AS38" s="92" t="e">
        <f t="shared" si="21"/>
        <v>#DIV/0!</v>
      </c>
      <c r="AT38" s="22">
        <f t="shared" si="22"/>
        <v>20000</v>
      </c>
      <c r="AU38" s="22">
        <f t="shared" si="23"/>
        <v>60000</v>
      </c>
      <c r="AV38" s="92">
        <f t="shared" si="24"/>
        <v>2</v>
      </c>
      <c r="AW38" s="38"/>
      <c r="AX38" s="38"/>
      <c r="AY38" s="92" t="e">
        <f t="shared" si="25"/>
        <v>#DIV/0!</v>
      </c>
      <c r="AZ38" s="38">
        <f t="shared" si="26"/>
        <v>20000</v>
      </c>
      <c r="BA38" s="38">
        <f t="shared" si="27"/>
        <v>60000</v>
      </c>
      <c r="BB38" s="92">
        <f t="shared" si="28"/>
        <v>2</v>
      </c>
      <c r="BC38" s="38"/>
      <c r="BD38" s="38"/>
      <c r="BE38" s="92" t="e">
        <f t="shared" si="29"/>
        <v>#DIV/0!</v>
      </c>
      <c r="BF38" s="38">
        <f t="shared" si="30"/>
        <v>20000</v>
      </c>
      <c r="BG38" s="38">
        <f t="shared" si="31"/>
        <v>60000</v>
      </c>
      <c r="BH38" s="92">
        <f t="shared" si="32"/>
        <v>2</v>
      </c>
      <c r="BI38" s="22">
        <v>30000</v>
      </c>
      <c r="BJ38" s="22"/>
      <c r="BK38" s="22"/>
      <c r="BL38" s="22">
        <v>50000</v>
      </c>
      <c r="BM38" s="96">
        <f t="shared" si="33"/>
        <v>0.3</v>
      </c>
      <c r="BN38" s="22"/>
    </row>
    <row r="39" spans="1:66">
      <c r="A39" s="80" t="s">
        <v>33</v>
      </c>
      <c r="B39" s="80" t="s">
        <v>33</v>
      </c>
      <c r="C39" s="84" t="s">
        <v>392</v>
      </c>
      <c r="D39" s="85" t="s">
        <v>102</v>
      </c>
      <c r="E39" s="33" t="s">
        <v>102</v>
      </c>
      <c r="F39" s="33" t="s">
        <v>376</v>
      </c>
      <c r="G39" s="33" t="s">
        <v>376</v>
      </c>
      <c r="H39" s="33" t="s">
        <v>352</v>
      </c>
      <c r="I39" s="33"/>
      <c r="J39" s="91">
        <v>18718</v>
      </c>
      <c r="K39" s="91"/>
      <c r="L39" s="92">
        <f t="shared" si="0"/>
        <v>-1</v>
      </c>
      <c r="M39" s="91"/>
      <c r="N39" s="91"/>
      <c r="O39" s="92" t="e">
        <f t="shared" si="1"/>
        <v>#DIV/0!</v>
      </c>
      <c r="P39" s="91">
        <f t="shared" si="2"/>
        <v>18718</v>
      </c>
      <c r="Q39" s="91">
        <f t="shared" si="3"/>
        <v>0</v>
      </c>
      <c r="R39" s="92">
        <f t="shared" si="4"/>
        <v>-1</v>
      </c>
      <c r="S39" s="38"/>
      <c r="T39" s="38"/>
      <c r="U39" s="92" t="e">
        <f t="shared" si="5"/>
        <v>#DIV/0!</v>
      </c>
      <c r="V39" s="38">
        <f t="shared" si="6"/>
        <v>18718</v>
      </c>
      <c r="W39" s="38">
        <f t="shared" si="7"/>
        <v>0</v>
      </c>
      <c r="X39" s="92">
        <f t="shared" si="8"/>
        <v>-1</v>
      </c>
      <c r="Y39" s="38">
        <v>2309</v>
      </c>
      <c r="Z39" s="38"/>
      <c r="AA39" s="92">
        <f t="shared" si="9"/>
        <v>-1</v>
      </c>
      <c r="AB39" s="38">
        <f t="shared" si="10"/>
        <v>21027</v>
      </c>
      <c r="AC39" s="38">
        <f t="shared" si="11"/>
        <v>0</v>
      </c>
      <c r="AD39" s="92">
        <f t="shared" si="12"/>
        <v>-1</v>
      </c>
      <c r="AE39" s="22"/>
      <c r="AF39" s="22"/>
      <c r="AG39" s="92" t="e">
        <f t="shared" si="13"/>
        <v>#DIV/0!</v>
      </c>
      <c r="AH39" s="22">
        <f t="shared" si="14"/>
        <v>21027</v>
      </c>
      <c r="AI39" s="22">
        <f t="shared" si="15"/>
        <v>0</v>
      </c>
      <c r="AJ39" s="92">
        <f t="shared" si="16"/>
        <v>-1</v>
      </c>
      <c r="AK39" s="22"/>
      <c r="AL39" s="22"/>
      <c r="AM39" s="92" t="e">
        <f t="shared" si="17"/>
        <v>#DIV/0!</v>
      </c>
      <c r="AN39" s="22">
        <f t="shared" si="18"/>
        <v>21027</v>
      </c>
      <c r="AO39" s="22">
        <f t="shared" si="19"/>
        <v>0</v>
      </c>
      <c r="AP39" s="92">
        <f t="shared" si="20"/>
        <v>-1</v>
      </c>
      <c r="AQ39" s="22"/>
      <c r="AR39" s="22"/>
      <c r="AS39" s="92" t="e">
        <f t="shared" si="21"/>
        <v>#DIV/0!</v>
      </c>
      <c r="AT39" s="22">
        <f t="shared" si="22"/>
        <v>21027</v>
      </c>
      <c r="AU39" s="22">
        <f t="shared" si="23"/>
        <v>0</v>
      </c>
      <c r="AV39" s="92">
        <f t="shared" si="24"/>
        <v>-1</v>
      </c>
      <c r="AW39" s="38"/>
      <c r="AX39" s="38"/>
      <c r="AY39" s="92" t="e">
        <f t="shared" si="25"/>
        <v>#DIV/0!</v>
      </c>
      <c r="AZ39" s="38">
        <f t="shared" si="26"/>
        <v>21027</v>
      </c>
      <c r="BA39" s="38">
        <f t="shared" si="27"/>
        <v>0</v>
      </c>
      <c r="BB39" s="92">
        <f t="shared" si="28"/>
        <v>-1</v>
      </c>
      <c r="BC39" s="38"/>
      <c r="BD39" s="38"/>
      <c r="BE39" s="92" t="e">
        <f t="shared" si="29"/>
        <v>#DIV/0!</v>
      </c>
      <c r="BF39" s="38">
        <f t="shared" si="30"/>
        <v>21027</v>
      </c>
      <c r="BG39" s="38">
        <f t="shared" si="31"/>
        <v>0</v>
      </c>
      <c r="BH39" s="92">
        <f t="shared" si="32"/>
        <v>-1</v>
      </c>
      <c r="BI39" s="22"/>
      <c r="BJ39" s="22"/>
      <c r="BK39" s="22"/>
      <c r="BL39" s="22">
        <v>21027</v>
      </c>
      <c r="BM39" s="96" t="e">
        <f t="shared" si="33"/>
        <v>#DIV/0!</v>
      </c>
      <c r="BN39" s="22"/>
    </row>
    <row r="40" spans="1:66">
      <c r="A40" s="80" t="s">
        <v>33</v>
      </c>
      <c r="B40" s="80" t="s">
        <v>33</v>
      </c>
      <c r="C40" s="86" t="s">
        <v>393</v>
      </c>
      <c r="D40" s="85" t="s">
        <v>61</v>
      </c>
      <c r="E40" s="33" t="s">
        <v>61</v>
      </c>
      <c r="F40" s="33" t="s">
        <v>376</v>
      </c>
      <c r="G40" s="33" t="s">
        <v>376</v>
      </c>
      <c r="H40" s="33" t="s">
        <v>352</v>
      </c>
      <c r="I40" s="33"/>
      <c r="J40" s="91">
        <v>25000</v>
      </c>
      <c r="K40" s="91"/>
      <c r="L40" s="92">
        <f t="shared" si="0"/>
        <v>-1</v>
      </c>
      <c r="M40" s="91"/>
      <c r="N40" s="91"/>
      <c r="O40" s="92" t="e">
        <f t="shared" si="1"/>
        <v>#DIV/0!</v>
      </c>
      <c r="P40" s="91">
        <f t="shared" si="2"/>
        <v>25000</v>
      </c>
      <c r="Q40" s="91">
        <f t="shared" si="3"/>
        <v>0</v>
      </c>
      <c r="R40" s="92">
        <f t="shared" si="4"/>
        <v>-1</v>
      </c>
      <c r="S40" s="38"/>
      <c r="T40" s="38"/>
      <c r="U40" s="92" t="e">
        <f t="shared" si="5"/>
        <v>#DIV/0!</v>
      </c>
      <c r="V40" s="38">
        <f t="shared" si="6"/>
        <v>25000</v>
      </c>
      <c r="W40" s="38">
        <f t="shared" si="7"/>
        <v>0</v>
      </c>
      <c r="X40" s="92">
        <f t="shared" si="8"/>
        <v>-1</v>
      </c>
      <c r="Y40" s="38"/>
      <c r="Z40" s="38"/>
      <c r="AA40" s="92" t="e">
        <f t="shared" si="9"/>
        <v>#DIV/0!</v>
      </c>
      <c r="AB40" s="38">
        <f t="shared" si="10"/>
        <v>25000</v>
      </c>
      <c r="AC40" s="38">
        <f t="shared" si="11"/>
        <v>0</v>
      </c>
      <c r="AD40" s="92">
        <f t="shared" si="12"/>
        <v>-1</v>
      </c>
      <c r="AE40" s="22"/>
      <c r="AF40" s="22"/>
      <c r="AG40" s="92" t="e">
        <f t="shared" si="13"/>
        <v>#DIV/0!</v>
      </c>
      <c r="AH40" s="22">
        <f t="shared" si="14"/>
        <v>25000</v>
      </c>
      <c r="AI40" s="22">
        <f t="shared" si="15"/>
        <v>0</v>
      </c>
      <c r="AJ40" s="92">
        <f t="shared" si="16"/>
        <v>-1</v>
      </c>
      <c r="AK40" s="22"/>
      <c r="AL40" s="22"/>
      <c r="AM40" s="92" t="e">
        <f t="shared" si="17"/>
        <v>#DIV/0!</v>
      </c>
      <c r="AN40" s="22">
        <f t="shared" si="18"/>
        <v>25000</v>
      </c>
      <c r="AO40" s="22">
        <f t="shared" si="19"/>
        <v>0</v>
      </c>
      <c r="AP40" s="92">
        <f t="shared" si="20"/>
        <v>-1</v>
      </c>
      <c r="AQ40" s="22"/>
      <c r="AR40" s="22"/>
      <c r="AS40" s="92" t="e">
        <f t="shared" si="21"/>
        <v>#DIV/0!</v>
      </c>
      <c r="AT40" s="22">
        <f t="shared" si="22"/>
        <v>25000</v>
      </c>
      <c r="AU40" s="22">
        <f t="shared" si="23"/>
        <v>0</v>
      </c>
      <c r="AV40" s="92">
        <f t="shared" si="24"/>
        <v>-1</v>
      </c>
      <c r="AW40" s="38"/>
      <c r="AX40" s="38"/>
      <c r="AY40" s="92" t="e">
        <f t="shared" si="25"/>
        <v>#DIV/0!</v>
      </c>
      <c r="AZ40" s="38">
        <f t="shared" si="26"/>
        <v>25000</v>
      </c>
      <c r="BA40" s="38">
        <f t="shared" si="27"/>
        <v>0</v>
      </c>
      <c r="BB40" s="92">
        <f t="shared" si="28"/>
        <v>-1</v>
      </c>
      <c r="BC40" s="38"/>
      <c r="BD40" s="38"/>
      <c r="BE40" s="92" t="e">
        <f t="shared" si="29"/>
        <v>#DIV/0!</v>
      </c>
      <c r="BF40" s="38">
        <f t="shared" si="30"/>
        <v>25000</v>
      </c>
      <c r="BG40" s="38">
        <f t="shared" si="31"/>
        <v>0</v>
      </c>
      <c r="BH40" s="92">
        <f t="shared" si="32"/>
        <v>-1</v>
      </c>
      <c r="BI40" s="22"/>
      <c r="BJ40" s="22"/>
      <c r="BK40" s="22">
        <v>1213</v>
      </c>
      <c r="BL40" s="22">
        <v>26213</v>
      </c>
      <c r="BM40" s="96" t="e">
        <f t="shared" si="33"/>
        <v>#DIV/0!</v>
      </c>
      <c r="BN40" s="22"/>
    </row>
    <row r="41" spans="1:66">
      <c r="A41" s="80" t="s">
        <v>33</v>
      </c>
      <c r="B41" s="80" t="s">
        <v>33</v>
      </c>
      <c r="C41" s="86" t="s">
        <v>394</v>
      </c>
      <c r="D41" s="85" t="s">
        <v>65</v>
      </c>
      <c r="E41" s="33" t="s">
        <v>65</v>
      </c>
      <c r="F41" s="33" t="s">
        <v>351</v>
      </c>
      <c r="G41" s="33" t="s">
        <v>351</v>
      </c>
      <c r="H41" s="33" t="s">
        <v>352</v>
      </c>
      <c r="I41" s="33">
        <v>90</v>
      </c>
      <c r="J41" s="91">
        <v>81672</v>
      </c>
      <c r="K41" s="91">
        <v>90219</v>
      </c>
      <c r="L41" s="92">
        <f t="shared" si="0"/>
        <v>0.10465030855127801</v>
      </c>
      <c r="M41" s="91">
        <v>8111</v>
      </c>
      <c r="N41" s="91">
        <v>17526</v>
      </c>
      <c r="O41" s="92">
        <f t="shared" si="1"/>
        <v>1.1607693256072</v>
      </c>
      <c r="P41" s="91">
        <f t="shared" si="2"/>
        <v>89783</v>
      </c>
      <c r="Q41" s="91">
        <f t="shared" si="3"/>
        <v>107745</v>
      </c>
      <c r="R41" s="92">
        <f t="shared" si="4"/>
        <v>0.200060145016317</v>
      </c>
      <c r="S41" s="38">
        <v>54438</v>
      </c>
      <c r="T41" s="38">
        <v>86163</v>
      </c>
      <c r="U41" s="92">
        <f t="shared" si="5"/>
        <v>0.58277306293398001</v>
      </c>
      <c r="V41" s="38">
        <f t="shared" si="6"/>
        <v>144221</v>
      </c>
      <c r="W41" s="38">
        <f t="shared" si="7"/>
        <v>193908</v>
      </c>
      <c r="X41" s="92">
        <f t="shared" si="8"/>
        <v>0.344519868812448</v>
      </c>
      <c r="Y41" s="38">
        <v>35540</v>
      </c>
      <c r="Z41" s="38">
        <v>43229</v>
      </c>
      <c r="AA41" s="92">
        <f t="shared" si="9"/>
        <v>0.216347777152504</v>
      </c>
      <c r="AB41" s="38">
        <f t="shared" si="10"/>
        <v>179761</v>
      </c>
      <c r="AC41" s="38">
        <f t="shared" si="11"/>
        <v>237137</v>
      </c>
      <c r="AD41" s="92">
        <f t="shared" si="12"/>
        <v>0.31917935480999798</v>
      </c>
      <c r="AE41" s="22">
        <v>36714</v>
      </c>
      <c r="AF41" s="22">
        <v>97365</v>
      </c>
      <c r="AG41" s="92">
        <f t="shared" si="13"/>
        <v>1.65198561856513</v>
      </c>
      <c r="AH41" s="22">
        <f t="shared" si="14"/>
        <v>216475</v>
      </c>
      <c r="AI41" s="22">
        <f t="shared" si="15"/>
        <v>334502</v>
      </c>
      <c r="AJ41" s="92">
        <f t="shared" si="16"/>
        <v>0.54522231204527105</v>
      </c>
      <c r="AK41" s="22">
        <v>43904</v>
      </c>
      <c r="AL41" s="22">
        <v>16592</v>
      </c>
      <c r="AM41" s="92">
        <f t="shared" si="17"/>
        <v>-0.62208454810495595</v>
      </c>
      <c r="AN41" s="22">
        <f t="shared" si="18"/>
        <v>260379</v>
      </c>
      <c r="AO41" s="22">
        <f t="shared" si="19"/>
        <v>351094</v>
      </c>
      <c r="AP41" s="92">
        <f t="shared" si="20"/>
        <v>0.34839599199628202</v>
      </c>
      <c r="AQ41" s="22">
        <v>98153</v>
      </c>
      <c r="AR41" s="22">
        <v>38561</v>
      </c>
      <c r="AS41" s="92">
        <f t="shared" si="21"/>
        <v>-0.60713376055749702</v>
      </c>
      <c r="AT41" s="22">
        <f t="shared" si="22"/>
        <v>358532</v>
      </c>
      <c r="AU41" s="22">
        <f t="shared" si="23"/>
        <v>389655</v>
      </c>
      <c r="AV41" s="92">
        <f t="shared" si="24"/>
        <v>8.6806756440150498E-2</v>
      </c>
      <c r="AW41" s="38">
        <v>31695</v>
      </c>
      <c r="AX41" s="38">
        <v>65798</v>
      </c>
      <c r="AY41" s="92">
        <f t="shared" si="25"/>
        <v>1.0759741284114199</v>
      </c>
      <c r="AZ41" s="38">
        <f t="shared" si="26"/>
        <v>390227</v>
      </c>
      <c r="BA41" s="38">
        <f t="shared" si="27"/>
        <v>455453</v>
      </c>
      <c r="BB41" s="92">
        <f t="shared" si="28"/>
        <v>0.16714886463520001</v>
      </c>
      <c r="BC41" s="38">
        <v>52822</v>
      </c>
      <c r="BD41" s="38">
        <v>110372</v>
      </c>
      <c r="BE41" s="92">
        <f t="shared" si="29"/>
        <v>1.0895081594790099</v>
      </c>
      <c r="BF41" s="38">
        <f t="shared" si="30"/>
        <v>443049</v>
      </c>
      <c r="BG41" s="38">
        <f t="shared" si="31"/>
        <v>565825</v>
      </c>
      <c r="BH41" s="92">
        <f t="shared" si="32"/>
        <v>0.27711607519710002</v>
      </c>
      <c r="BI41" s="22">
        <v>123743</v>
      </c>
      <c r="BJ41" s="22">
        <v>135943</v>
      </c>
      <c r="BK41" s="22">
        <v>70129</v>
      </c>
      <c r="BL41" s="22">
        <v>772864</v>
      </c>
      <c r="BM41" s="96">
        <f t="shared" si="33"/>
        <v>0.628694444444444</v>
      </c>
      <c r="BN41" s="22">
        <v>27642</v>
      </c>
    </row>
    <row r="42" spans="1:66">
      <c r="A42" s="80" t="s">
        <v>33</v>
      </c>
      <c r="B42" s="80" t="s">
        <v>33</v>
      </c>
      <c r="C42" s="86" t="s">
        <v>395</v>
      </c>
      <c r="D42" s="85" t="s">
        <v>65</v>
      </c>
      <c r="E42" s="33" t="s">
        <v>65</v>
      </c>
      <c r="F42" s="33" t="s">
        <v>376</v>
      </c>
      <c r="G42" s="33" t="s">
        <v>376</v>
      </c>
      <c r="H42" s="33" t="s">
        <v>352</v>
      </c>
      <c r="I42" s="33">
        <v>80</v>
      </c>
      <c r="J42" s="91">
        <v>140602</v>
      </c>
      <c r="K42" s="91">
        <v>148655</v>
      </c>
      <c r="L42" s="92">
        <f t="shared" si="0"/>
        <v>5.7275145446010797E-2</v>
      </c>
      <c r="M42" s="91">
        <v>25677</v>
      </c>
      <c r="N42" s="91">
        <v>86524</v>
      </c>
      <c r="O42" s="92">
        <f t="shared" si="1"/>
        <v>2.36970829925614</v>
      </c>
      <c r="P42" s="91">
        <f t="shared" si="2"/>
        <v>166279</v>
      </c>
      <c r="Q42" s="91">
        <f t="shared" si="3"/>
        <v>235179</v>
      </c>
      <c r="R42" s="92">
        <f t="shared" si="4"/>
        <v>0.41436381022257801</v>
      </c>
      <c r="S42" s="38">
        <v>5543</v>
      </c>
      <c r="T42" s="38"/>
      <c r="U42" s="92">
        <f t="shared" si="5"/>
        <v>-1</v>
      </c>
      <c r="V42" s="38">
        <f t="shared" si="6"/>
        <v>171822</v>
      </c>
      <c r="W42" s="38">
        <f t="shared" si="7"/>
        <v>235179</v>
      </c>
      <c r="X42" s="92">
        <f t="shared" si="8"/>
        <v>0.36873625030554902</v>
      </c>
      <c r="Y42" s="38">
        <v>88660</v>
      </c>
      <c r="Z42" s="38"/>
      <c r="AA42" s="92">
        <f t="shared" si="9"/>
        <v>-1</v>
      </c>
      <c r="AB42" s="38">
        <f t="shared" si="10"/>
        <v>260482</v>
      </c>
      <c r="AC42" s="38">
        <f t="shared" si="11"/>
        <v>235179</v>
      </c>
      <c r="AD42" s="92">
        <f t="shared" si="12"/>
        <v>-9.7139149730115698E-2</v>
      </c>
      <c r="AE42" s="22">
        <v>67916</v>
      </c>
      <c r="AF42" s="22"/>
      <c r="AG42" s="92">
        <f t="shared" si="13"/>
        <v>-1</v>
      </c>
      <c r="AH42" s="22">
        <f t="shared" si="14"/>
        <v>328398</v>
      </c>
      <c r="AI42" s="22">
        <f t="shared" si="15"/>
        <v>235179</v>
      </c>
      <c r="AJ42" s="92">
        <f t="shared" si="16"/>
        <v>-0.28385982862258602</v>
      </c>
      <c r="AK42" s="22">
        <v>55674</v>
      </c>
      <c r="AL42" s="22"/>
      <c r="AM42" s="92">
        <f t="shared" si="17"/>
        <v>-1</v>
      </c>
      <c r="AN42" s="22">
        <f t="shared" si="18"/>
        <v>384072</v>
      </c>
      <c r="AO42" s="22">
        <f t="shared" si="19"/>
        <v>235179</v>
      </c>
      <c r="AP42" s="92">
        <f t="shared" si="20"/>
        <v>-0.38766949946884999</v>
      </c>
      <c r="AQ42" s="22">
        <v>9051</v>
      </c>
      <c r="AR42" s="22"/>
      <c r="AS42" s="92">
        <f t="shared" si="21"/>
        <v>-1</v>
      </c>
      <c r="AT42" s="22">
        <f t="shared" si="22"/>
        <v>393123</v>
      </c>
      <c r="AU42" s="22">
        <f t="shared" si="23"/>
        <v>235179</v>
      </c>
      <c r="AV42" s="92">
        <f t="shared" si="24"/>
        <v>-0.40176738578002302</v>
      </c>
      <c r="AW42" s="38">
        <v>3024</v>
      </c>
      <c r="AX42" s="38"/>
      <c r="AY42" s="92">
        <f t="shared" si="25"/>
        <v>-1</v>
      </c>
      <c r="AZ42" s="38">
        <f t="shared" si="26"/>
        <v>396147</v>
      </c>
      <c r="BA42" s="38">
        <f t="shared" si="27"/>
        <v>235179</v>
      </c>
      <c r="BB42" s="92">
        <f t="shared" si="28"/>
        <v>-0.40633401237419398</v>
      </c>
      <c r="BC42" s="38">
        <v>61657</v>
      </c>
      <c r="BD42" s="38"/>
      <c r="BE42" s="92">
        <f t="shared" si="29"/>
        <v>-1</v>
      </c>
      <c r="BF42" s="38">
        <f t="shared" si="30"/>
        <v>457804</v>
      </c>
      <c r="BG42" s="38">
        <f t="shared" si="31"/>
        <v>235179</v>
      </c>
      <c r="BH42" s="92">
        <f t="shared" si="32"/>
        <v>-0.48628889218967097</v>
      </c>
      <c r="BI42" s="22">
        <v>113877</v>
      </c>
      <c r="BJ42" s="22">
        <v>74064</v>
      </c>
      <c r="BK42" s="22">
        <v>77666</v>
      </c>
      <c r="BL42" s="22">
        <v>723411</v>
      </c>
      <c r="BM42" s="96">
        <f t="shared" si="33"/>
        <v>0.29397374999999998</v>
      </c>
      <c r="BN42" s="22">
        <v>9051</v>
      </c>
    </row>
    <row r="43" spans="1:66">
      <c r="A43" s="80" t="s">
        <v>33</v>
      </c>
      <c r="B43" s="80" t="s">
        <v>33</v>
      </c>
      <c r="C43" s="86" t="s">
        <v>396</v>
      </c>
      <c r="D43" s="85" t="s">
        <v>61</v>
      </c>
      <c r="E43" s="33" t="s">
        <v>61</v>
      </c>
      <c r="F43" s="33" t="s">
        <v>351</v>
      </c>
      <c r="G43" s="33" t="s">
        <v>351</v>
      </c>
      <c r="H43" s="33" t="s">
        <v>352</v>
      </c>
      <c r="I43" s="33"/>
      <c r="J43" s="91"/>
      <c r="K43" s="91"/>
      <c r="L43" s="92" t="e">
        <f t="shared" si="0"/>
        <v>#DIV/0!</v>
      </c>
      <c r="M43" s="91"/>
      <c r="N43" s="91"/>
      <c r="O43" s="92" t="e">
        <f t="shared" si="1"/>
        <v>#DIV/0!</v>
      </c>
      <c r="P43" s="91">
        <f t="shared" si="2"/>
        <v>0</v>
      </c>
      <c r="Q43" s="91">
        <f t="shared" si="3"/>
        <v>0</v>
      </c>
      <c r="R43" s="92" t="e">
        <f t="shared" si="4"/>
        <v>#DIV/0!</v>
      </c>
      <c r="S43" s="38">
        <v>729</v>
      </c>
      <c r="T43" s="38"/>
      <c r="U43" s="92">
        <f t="shared" si="5"/>
        <v>-1</v>
      </c>
      <c r="V43" s="38">
        <f t="shared" si="6"/>
        <v>729</v>
      </c>
      <c r="W43" s="38">
        <f t="shared" si="7"/>
        <v>0</v>
      </c>
      <c r="X43" s="92">
        <f t="shared" si="8"/>
        <v>-1</v>
      </c>
      <c r="Y43" s="38"/>
      <c r="Z43" s="38"/>
      <c r="AA43" s="92" t="e">
        <f t="shared" si="9"/>
        <v>#DIV/0!</v>
      </c>
      <c r="AB43" s="38">
        <f t="shared" si="10"/>
        <v>729</v>
      </c>
      <c r="AC43" s="38">
        <f t="shared" si="11"/>
        <v>0</v>
      </c>
      <c r="AD43" s="92">
        <f t="shared" si="12"/>
        <v>-1</v>
      </c>
      <c r="AE43" s="22"/>
      <c r="AF43" s="22"/>
      <c r="AG43" s="92" t="e">
        <f t="shared" si="13"/>
        <v>#DIV/0!</v>
      </c>
      <c r="AH43" s="22">
        <f t="shared" si="14"/>
        <v>729</v>
      </c>
      <c r="AI43" s="22">
        <f t="shared" si="15"/>
        <v>0</v>
      </c>
      <c r="AJ43" s="92">
        <f t="shared" si="16"/>
        <v>-1</v>
      </c>
      <c r="AK43" s="22"/>
      <c r="AL43" s="22"/>
      <c r="AM43" s="92" t="e">
        <f t="shared" si="17"/>
        <v>#DIV/0!</v>
      </c>
      <c r="AN43" s="22">
        <f t="shared" si="18"/>
        <v>729</v>
      </c>
      <c r="AO43" s="22">
        <f t="shared" si="19"/>
        <v>0</v>
      </c>
      <c r="AP43" s="92">
        <f t="shared" si="20"/>
        <v>-1</v>
      </c>
      <c r="AQ43" s="22"/>
      <c r="AR43" s="22"/>
      <c r="AS43" s="92" t="e">
        <f t="shared" si="21"/>
        <v>#DIV/0!</v>
      </c>
      <c r="AT43" s="22">
        <f t="shared" si="22"/>
        <v>729</v>
      </c>
      <c r="AU43" s="22">
        <f t="shared" si="23"/>
        <v>0</v>
      </c>
      <c r="AV43" s="92">
        <f t="shared" si="24"/>
        <v>-1</v>
      </c>
      <c r="AW43" s="38"/>
      <c r="AX43" s="38"/>
      <c r="AY43" s="92" t="e">
        <f t="shared" si="25"/>
        <v>#DIV/0!</v>
      </c>
      <c r="AZ43" s="38">
        <f t="shared" si="26"/>
        <v>729</v>
      </c>
      <c r="BA43" s="38">
        <f t="shared" si="27"/>
        <v>0</v>
      </c>
      <c r="BB43" s="92">
        <f t="shared" si="28"/>
        <v>-1</v>
      </c>
      <c r="BC43" s="38"/>
      <c r="BD43" s="38"/>
      <c r="BE43" s="92" t="e">
        <f t="shared" si="29"/>
        <v>#DIV/0!</v>
      </c>
      <c r="BF43" s="38">
        <f t="shared" si="30"/>
        <v>729</v>
      </c>
      <c r="BG43" s="38">
        <f t="shared" si="31"/>
        <v>0</v>
      </c>
      <c r="BH43" s="92">
        <f t="shared" si="32"/>
        <v>-1</v>
      </c>
      <c r="BI43" s="22"/>
      <c r="BJ43" s="22"/>
      <c r="BK43" s="22"/>
      <c r="BL43" s="22">
        <v>729</v>
      </c>
      <c r="BM43" s="96" t="e">
        <f t="shared" si="33"/>
        <v>#DIV/0!</v>
      </c>
      <c r="BN43" s="22"/>
    </row>
    <row r="44" spans="1:66">
      <c r="A44" s="80" t="s">
        <v>33</v>
      </c>
      <c r="B44" s="80" t="s">
        <v>33</v>
      </c>
      <c r="C44" s="86" t="s">
        <v>397</v>
      </c>
      <c r="D44" s="85" t="s">
        <v>61</v>
      </c>
      <c r="E44" s="33" t="s">
        <v>61</v>
      </c>
      <c r="F44" s="33" t="s">
        <v>351</v>
      </c>
      <c r="G44" s="33" t="s">
        <v>351</v>
      </c>
      <c r="H44" s="33" t="s">
        <v>352</v>
      </c>
      <c r="I44" s="33">
        <v>10</v>
      </c>
      <c r="J44" s="33"/>
      <c r="K44" s="91"/>
      <c r="L44" s="92" t="e">
        <f t="shared" si="0"/>
        <v>#DIV/0!</v>
      </c>
      <c r="M44" s="91"/>
      <c r="N44" s="91"/>
      <c r="O44" s="92" t="e">
        <f t="shared" si="1"/>
        <v>#DIV/0!</v>
      </c>
      <c r="P44" s="91">
        <f t="shared" si="2"/>
        <v>0</v>
      </c>
      <c r="Q44" s="91">
        <f t="shared" si="3"/>
        <v>0</v>
      </c>
      <c r="R44" s="92" t="e">
        <f t="shared" si="4"/>
        <v>#DIV/0!</v>
      </c>
      <c r="S44" s="38"/>
      <c r="T44" s="38"/>
      <c r="U44" s="92" t="e">
        <f t="shared" si="5"/>
        <v>#DIV/0!</v>
      </c>
      <c r="V44" s="38">
        <f t="shared" si="6"/>
        <v>0</v>
      </c>
      <c r="W44" s="38">
        <f t="shared" si="7"/>
        <v>0</v>
      </c>
      <c r="X44" s="92" t="e">
        <f t="shared" si="8"/>
        <v>#DIV/0!</v>
      </c>
      <c r="Y44" s="38"/>
      <c r="Z44" s="38"/>
      <c r="AA44" s="92" t="e">
        <f t="shared" si="9"/>
        <v>#DIV/0!</v>
      </c>
      <c r="AB44" s="38">
        <f t="shared" si="10"/>
        <v>0</v>
      </c>
      <c r="AC44" s="38">
        <f t="shared" si="11"/>
        <v>0</v>
      </c>
      <c r="AD44" s="92" t="e">
        <f t="shared" si="12"/>
        <v>#DIV/0!</v>
      </c>
      <c r="AE44" s="22"/>
      <c r="AF44" s="22"/>
      <c r="AG44" s="92" t="e">
        <f t="shared" si="13"/>
        <v>#DIV/0!</v>
      </c>
      <c r="AH44" s="22">
        <f t="shared" si="14"/>
        <v>0</v>
      </c>
      <c r="AI44" s="22">
        <f t="shared" si="15"/>
        <v>0</v>
      </c>
      <c r="AJ44" s="92" t="e">
        <f t="shared" si="16"/>
        <v>#DIV/0!</v>
      </c>
      <c r="AK44" s="22">
        <v>17999</v>
      </c>
      <c r="AL44" s="22"/>
      <c r="AM44" s="92">
        <f t="shared" si="17"/>
        <v>-1</v>
      </c>
      <c r="AN44" s="22">
        <f t="shared" si="18"/>
        <v>17999</v>
      </c>
      <c r="AO44" s="22">
        <f t="shared" si="19"/>
        <v>0</v>
      </c>
      <c r="AP44" s="92">
        <f t="shared" si="20"/>
        <v>-1</v>
      </c>
      <c r="AQ44" s="22">
        <v>3970</v>
      </c>
      <c r="AR44" s="22"/>
      <c r="AS44" s="92">
        <f t="shared" si="21"/>
        <v>-1</v>
      </c>
      <c r="AT44" s="22">
        <f t="shared" si="22"/>
        <v>21969</v>
      </c>
      <c r="AU44" s="22">
        <f t="shared" si="23"/>
        <v>0</v>
      </c>
      <c r="AV44" s="92">
        <f t="shared" si="24"/>
        <v>-1</v>
      </c>
      <c r="AW44" s="38"/>
      <c r="AX44" s="38"/>
      <c r="AY44" s="92" t="e">
        <f t="shared" si="25"/>
        <v>#DIV/0!</v>
      </c>
      <c r="AZ44" s="38">
        <f t="shared" si="26"/>
        <v>21969</v>
      </c>
      <c r="BA44" s="38">
        <f t="shared" si="27"/>
        <v>0</v>
      </c>
      <c r="BB44" s="92">
        <f t="shared" si="28"/>
        <v>-1</v>
      </c>
      <c r="BC44" s="38"/>
      <c r="BD44" s="38"/>
      <c r="BE44" s="92" t="e">
        <f t="shared" si="29"/>
        <v>#DIV/0!</v>
      </c>
      <c r="BF44" s="38">
        <f t="shared" si="30"/>
        <v>21969</v>
      </c>
      <c r="BG44" s="38">
        <f t="shared" si="31"/>
        <v>0</v>
      </c>
      <c r="BH44" s="92">
        <f t="shared" si="32"/>
        <v>-1</v>
      </c>
      <c r="BI44" s="22">
        <v>24576</v>
      </c>
      <c r="BJ44" s="22"/>
      <c r="BK44" s="22">
        <v>8376</v>
      </c>
      <c r="BL44" s="22">
        <v>54921</v>
      </c>
      <c r="BM44" s="96">
        <f t="shared" si="33"/>
        <v>0</v>
      </c>
      <c r="BN44" s="22"/>
    </row>
    <row r="45" spans="1:66">
      <c r="A45" s="80" t="s">
        <v>33</v>
      </c>
      <c r="B45" s="80" t="s">
        <v>33</v>
      </c>
      <c r="C45" s="86" t="s">
        <v>398</v>
      </c>
      <c r="D45" s="85" t="s">
        <v>102</v>
      </c>
      <c r="E45" s="33" t="s">
        <v>102</v>
      </c>
      <c r="F45" s="33" t="s">
        <v>351</v>
      </c>
      <c r="G45" s="33" t="s">
        <v>351</v>
      </c>
      <c r="H45" s="33" t="s">
        <v>352</v>
      </c>
      <c r="I45" s="33">
        <v>10</v>
      </c>
      <c r="J45" s="33"/>
      <c r="K45" s="91"/>
      <c r="L45" s="92" t="e">
        <f t="shared" si="0"/>
        <v>#DIV/0!</v>
      </c>
      <c r="M45" s="91"/>
      <c r="N45" s="91"/>
      <c r="O45" s="92" t="e">
        <f t="shared" si="1"/>
        <v>#DIV/0!</v>
      </c>
      <c r="P45" s="91">
        <f t="shared" si="2"/>
        <v>0</v>
      </c>
      <c r="Q45" s="91">
        <f t="shared" si="3"/>
        <v>0</v>
      </c>
      <c r="R45" s="92" t="e">
        <f t="shared" si="4"/>
        <v>#DIV/0!</v>
      </c>
      <c r="S45" s="38"/>
      <c r="T45" s="38"/>
      <c r="U45" s="92" t="e">
        <f t="shared" si="5"/>
        <v>#DIV/0!</v>
      </c>
      <c r="V45" s="38">
        <f t="shared" si="6"/>
        <v>0</v>
      </c>
      <c r="W45" s="38">
        <f t="shared" si="7"/>
        <v>0</v>
      </c>
      <c r="X45" s="92" t="e">
        <f t="shared" si="8"/>
        <v>#DIV/0!</v>
      </c>
      <c r="Y45" s="38"/>
      <c r="Z45" s="38"/>
      <c r="AA45" s="92" t="e">
        <f t="shared" si="9"/>
        <v>#DIV/0!</v>
      </c>
      <c r="AB45" s="38">
        <f t="shared" si="10"/>
        <v>0</v>
      </c>
      <c r="AC45" s="38">
        <f t="shared" si="11"/>
        <v>0</v>
      </c>
      <c r="AD45" s="92" t="e">
        <f t="shared" si="12"/>
        <v>#DIV/0!</v>
      </c>
      <c r="AE45" s="22"/>
      <c r="AF45" s="22"/>
      <c r="AG45" s="92" t="e">
        <f t="shared" si="13"/>
        <v>#DIV/0!</v>
      </c>
      <c r="AH45" s="22">
        <f t="shared" si="14"/>
        <v>0</v>
      </c>
      <c r="AI45" s="22">
        <f t="shared" si="15"/>
        <v>0</v>
      </c>
      <c r="AJ45" s="92" t="e">
        <f t="shared" si="16"/>
        <v>#DIV/0!</v>
      </c>
      <c r="AK45" s="22"/>
      <c r="AL45" s="22"/>
      <c r="AM45" s="92" t="e">
        <f t="shared" si="17"/>
        <v>#DIV/0!</v>
      </c>
      <c r="AN45" s="22">
        <f t="shared" si="18"/>
        <v>0</v>
      </c>
      <c r="AO45" s="22">
        <f t="shared" si="19"/>
        <v>0</v>
      </c>
      <c r="AP45" s="92" t="e">
        <f t="shared" si="20"/>
        <v>#DIV/0!</v>
      </c>
      <c r="AQ45" s="22">
        <v>71632</v>
      </c>
      <c r="AR45" s="22"/>
      <c r="AS45" s="92">
        <f t="shared" si="21"/>
        <v>-1</v>
      </c>
      <c r="AT45" s="22">
        <f t="shared" si="22"/>
        <v>71632</v>
      </c>
      <c r="AU45" s="22">
        <f t="shared" si="23"/>
        <v>0</v>
      </c>
      <c r="AV45" s="92">
        <f t="shared" si="24"/>
        <v>-1</v>
      </c>
      <c r="AW45" s="38"/>
      <c r="AX45" s="38"/>
      <c r="AY45" s="92" t="e">
        <f t="shared" si="25"/>
        <v>#DIV/0!</v>
      </c>
      <c r="AZ45" s="38">
        <f t="shared" si="26"/>
        <v>71632</v>
      </c>
      <c r="BA45" s="38">
        <f t="shared" si="27"/>
        <v>0</v>
      </c>
      <c r="BB45" s="92">
        <f t="shared" si="28"/>
        <v>-1</v>
      </c>
      <c r="BC45" s="38"/>
      <c r="BD45" s="38"/>
      <c r="BE45" s="92" t="e">
        <f t="shared" si="29"/>
        <v>#DIV/0!</v>
      </c>
      <c r="BF45" s="38">
        <f t="shared" si="30"/>
        <v>71632</v>
      </c>
      <c r="BG45" s="38">
        <f t="shared" si="31"/>
        <v>0</v>
      </c>
      <c r="BH45" s="92">
        <f t="shared" si="32"/>
        <v>-1</v>
      </c>
      <c r="BI45" s="22"/>
      <c r="BJ45" s="22"/>
      <c r="BK45" s="22"/>
      <c r="BL45" s="22">
        <v>71632</v>
      </c>
      <c r="BM45" s="96">
        <f t="shared" si="33"/>
        <v>0</v>
      </c>
      <c r="BN45" s="22"/>
    </row>
    <row r="46" spans="1:66">
      <c r="A46" s="80" t="s">
        <v>33</v>
      </c>
      <c r="B46" s="80" t="s">
        <v>33</v>
      </c>
      <c r="C46" s="86" t="s">
        <v>399</v>
      </c>
      <c r="D46" s="85" t="s">
        <v>61</v>
      </c>
      <c r="E46" s="33" t="s">
        <v>61</v>
      </c>
      <c r="F46" s="33" t="s">
        <v>359</v>
      </c>
      <c r="G46" s="33" t="s">
        <v>364</v>
      </c>
      <c r="H46" s="33" t="s">
        <v>360</v>
      </c>
      <c r="I46" s="33"/>
      <c r="J46" s="33"/>
      <c r="K46" s="91"/>
      <c r="L46" s="92" t="e">
        <f t="shared" si="0"/>
        <v>#DIV/0!</v>
      </c>
      <c r="M46" s="91"/>
      <c r="N46" s="91"/>
      <c r="O46" s="92" t="e">
        <f t="shared" si="1"/>
        <v>#DIV/0!</v>
      </c>
      <c r="P46" s="91">
        <f t="shared" si="2"/>
        <v>0</v>
      </c>
      <c r="Q46" s="91">
        <f t="shared" si="3"/>
        <v>0</v>
      </c>
      <c r="R46" s="92" t="e">
        <f t="shared" si="4"/>
        <v>#DIV/0!</v>
      </c>
      <c r="S46" s="38"/>
      <c r="T46" s="38"/>
      <c r="U46" s="92" t="e">
        <f t="shared" si="5"/>
        <v>#DIV/0!</v>
      </c>
      <c r="V46" s="38">
        <f t="shared" si="6"/>
        <v>0</v>
      </c>
      <c r="W46" s="38">
        <f t="shared" si="7"/>
        <v>0</v>
      </c>
      <c r="X46" s="92" t="e">
        <f t="shared" si="8"/>
        <v>#DIV/0!</v>
      </c>
      <c r="Y46" s="38"/>
      <c r="Z46" s="38"/>
      <c r="AA46" s="92" t="e">
        <f t="shared" si="9"/>
        <v>#DIV/0!</v>
      </c>
      <c r="AB46" s="38">
        <f t="shared" si="10"/>
        <v>0</v>
      </c>
      <c r="AC46" s="38">
        <f t="shared" si="11"/>
        <v>0</v>
      </c>
      <c r="AD46" s="92" t="e">
        <f t="shared" si="12"/>
        <v>#DIV/0!</v>
      </c>
      <c r="AE46" s="22"/>
      <c r="AF46" s="22"/>
      <c r="AG46" s="92" t="e">
        <f t="shared" si="13"/>
        <v>#DIV/0!</v>
      </c>
      <c r="AH46" s="22">
        <f t="shared" si="14"/>
        <v>0</v>
      </c>
      <c r="AI46" s="22">
        <f t="shared" si="15"/>
        <v>0</v>
      </c>
      <c r="AJ46" s="92" t="e">
        <f t="shared" si="16"/>
        <v>#DIV/0!</v>
      </c>
      <c r="AK46" s="22"/>
      <c r="AL46" s="22"/>
      <c r="AM46" s="92" t="e">
        <f t="shared" si="17"/>
        <v>#DIV/0!</v>
      </c>
      <c r="AN46" s="22">
        <f t="shared" si="18"/>
        <v>0</v>
      </c>
      <c r="AO46" s="22">
        <f t="shared" si="19"/>
        <v>0</v>
      </c>
      <c r="AP46" s="92" t="e">
        <f t="shared" si="20"/>
        <v>#DIV/0!</v>
      </c>
      <c r="AQ46" s="22"/>
      <c r="AR46" s="22"/>
      <c r="AS46" s="92" t="e">
        <f t="shared" si="21"/>
        <v>#DIV/0!</v>
      </c>
      <c r="AT46" s="22">
        <f t="shared" si="22"/>
        <v>0</v>
      </c>
      <c r="AU46" s="22">
        <f t="shared" si="23"/>
        <v>0</v>
      </c>
      <c r="AV46" s="92" t="e">
        <f t="shared" si="24"/>
        <v>#DIV/0!</v>
      </c>
      <c r="AW46" s="38"/>
      <c r="AX46" s="38"/>
      <c r="AY46" s="92" t="e">
        <f t="shared" si="25"/>
        <v>#DIV/0!</v>
      </c>
      <c r="AZ46" s="38">
        <f t="shared" si="26"/>
        <v>0</v>
      </c>
      <c r="BA46" s="38">
        <f t="shared" si="27"/>
        <v>0</v>
      </c>
      <c r="BB46" s="92" t="e">
        <f t="shared" si="28"/>
        <v>#DIV/0!</v>
      </c>
      <c r="BC46" s="38"/>
      <c r="BD46" s="38"/>
      <c r="BE46" s="92" t="e">
        <f t="shared" si="29"/>
        <v>#DIV/0!</v>
      </c>
      <c r="BF46" s="38">
        <f t="shared" si="30"/>
        <v>0</v>
      </c>
      <c r="BG46" s="38">
        <f t="shared" si="31"/>
        <v>0</v>
      </c>
      <c r="BH46" s="92" t="e">
        <f t="shared" si="32"/>
        <v>#DIV/0!</v>
      </c>
      <c r="BI46" s="22">
        <v>3258</v>
      </c>
      <c r="BJ46" s="22"/>
      <c r="BK46" s="22">
        <v>2510</v>
      </c>
      <c r="BL46" s="22">
        <v>5768</v>
      </c>
      <c r="BM46" s="96" t="e">
        <f t="shared" si="33"/>
        <v>#DIV/0!</v>
      </c>
      <c r="BN46" s="22"/>
    </row>
    <row r="47" spans="1:66">
      <c r="A47" s="80" t="s">
        <v>33</v>
      </c>
      <c r="B47" s="80" t="s">
        <v>33</v>
      </c>
      <c r="C47" s="86" t="s">
        <v>400</v>
      </c>
      <c r="D47" s="85" t="s">
        <v>61</v>
      </c>
      <c r="E47" s="33" t="s">
        <v>61</v>
      </c>
      <c r="F47" s="33" t="s">
        <v>359</v>
      </c>
      <c r="G47" s="33" t="s">
        <v>364</v>
      </c>
      <c r="H47" s="33" t="s">
        <v>360</v>
      </c>
      <c r="I47" s="33">
        <v>20</v>
      </c>
      <c r="J47" s="33"/>
      <c r="K47" s="91">
        <v>29261</v>
      </c>
      <c r="L47" s="92" t="e">
        <f t="shared" si="0"/>
        <v>#DIV/0!</v>
      </c>
      <c r="M47" s="91"/>
      <c r="N47" s="91"/>
      <c r="O47" s="92" t="e">
        <f t="shared" si="1"/>
        <v>#DIV/0!</v>
      </c>
      <c r="P47" s="91">
        <f t="shared" si="2"/>
        <v>0</v>
      </c>
      <c r="Q47" s="91">
        <f t="shared" si="3"/>
        <v>29261</v>
      </c>
      <c r="R47" s="92" t="e">
        <f t="shared" si="4"/>
        <v>#DIV/0!</v>
      </c>
      <c r="S47" s="38"/>
      <c r="T47" s="38"/>
      <c r="U47" s="92" t="e">
        <f t="shared" si="5"/>
        <v>#DIV/0!</v>
      </c>
      <c r="V47" s="38">
        <f t="shared" si="6"/>
        <v>0</v>
      </c>
      <c r="W47" s="38">
        <f t="shared" si="7"/>
        <v>29261</v>
      </c>
      <c r="X47" s="92" t="e">
        <f t="shared" si="8"/>
        <v>#DIV/0!</v>
      </c>
      <c r="Y47" s="38"/>
      <c r="Z47" s="38"/>
      <c r="AA47" s="92" t="e">
        <f t="shared" si="9"/>
        <v>#DIV/0!</v>
      </c>
      <c r="AB47" s="38">
        <f t="shared" si="10"/>
        <v>0</v>
      </c>
      <c r="AC47" s="38">
        <f t="shared" si="11"/>
        <v>29261</v>
      </c>
      <c r="AD47" s="92" t="e">
        <f t="shared" si="12"/>
        <v>#DIV/0!</v>
      </c>
      <c r="AE47" s="22"/>
      <c r="AF47" s="22"/>
      <c r="AG47" s="92" t="e">
        <f t="shared" si="13"/>
        <v>#DIV/0!</v>
      </c>
      <c r="AH47" s="22">
        <f t="shared" si="14"/>
        <v>0</v>
      </c>
      <c r="AI47" s="22">
        <f t="shared" si="15"/>
        <v>29261</v>
      </c>
      <c r="AJ47" s="92" t="e">
        <f t="shared" si="16"/>
        <v>#DIV/0!</v>
      </c>
      <c r="AK47" s="22"/>
      <c r="AL47" s="22"/>
      <c r="AM47" s="92" t="e">
        <f t="shared" si="17"/>
        <v>#DIV/0!</v>
      </c>
      <c r="AN47" s="22">
        <f t="shared" si="18"/>
        <v>0</v>
      </c>
      <c r="AO47" s="22">
        <f t="shared" si="19"/>
        <v>29261</v>
      </c>
      <c r="AP47" s="92" t="e">
        <f t="shared" si="20"/>
        <v>#DIV/0!</v>
      </c>
      <c r="AQ47" s="22"/>
      <c r="AR47" s="22"/>
      <c r="AS47" s="92" t="e">
        <f t="shared" si="21"/>
        <v>#DIV/0!</v>
      </c>
      <c r="AT47" s="22">
        <f t="shared" si="22"/>
        <v>0</v>
      </c>
      <c r="AU47" s="22">
        <f t="shared" si="23"/>
        <v>29261</v>
      </c>
      <c r="AV47" s="92" t="e">
        <f t="shared" si="24"/>
        <v>#DIV/0!</v>
      </c>
      <c r="AW47" s="38"/>
      <c r="AX47" s="38"/>
      <c r="AY47" s="92" t="e">
        <f t="shared" si="25"/>
        <v>#DIV/0!</v>
      </c>
      <c r="AZ47" s="38">
        <f t="shared" si="26"/>
        <v>0</v>
      </c>
      <c r="BA47" s="38">
        <f t="shared" si="27"/>
        <v>29261</v>
      </c>
      <c r="BB47" s="92" t="e">
        <f t="shared" si="28"/>
        <v>#DIV/0!</v>
      </c>
      <c r="BC47" s="38"/>
      <c r="BD47" s="38"/>
      <c r="BE47" s="92" t="e">
        <f t="shared" si="29"/>
        <v>#DIV/0!</v>
      </c>
      <c r="BF47" s="38">
        <f t="shared" si="30"/>
        <v>0</v>
      </c>
      <c r="BG47" s="38">
        <f t="shared" si="31"/>
        <v>29261</v>
      </c>
      <c r="BH47" s="92" t="e">
        <f t="shared" si="32"/>
        <v>#DIV/0!</v>
      </c>
      <c r="BI47" s="22"/>
      <c r="BJ47" s="22"/>
      <c r="BK47" s="22">
        <v>9284</v>
      </c>
      <c r="BL47" s="22">
        <v>9284</v>
      </c>
      <c r="BM47" s="96">
        <f t="shared" si="33"/>
        <v>0.14630499999999999</v>
      </c>
      <c r="BN47" s="22"/>
    </row>
    <row r="48" spans="1:66">
      <c r="A48" s="80" t="s">
        <v>33</v>
      </c>
      <c r="B48" s="80" t="s">
        <v>33</v>
      </c>
      <c r="C48" s="87" t="s">
        <v>119</v>
      </c>
      <c r="D48" s="88" t="s">
        <v>61</v>
      </c>
      <c r="E48" s="89" t="s">
        <v>61</v>
      </c>
      <c r="F48" s="89" t="s">
        <v>359</v>
      </c>
      <c r="G48" s="89" t="s">
        <v>364</v>
      </c>
      <c r="H48" s="89" t="s">
        <v>360</v>
      </c>
      <c r="I48" s="33"/>
      <c r="J48" s="33"/>
      <c r="K48" s="91">
        <v>7426.24</v>
      </c>
      <c r="L48" s="92" t="e">
        <f t="shared" si="0"/>
        <v>#DIV/0!</v>
      </c>
      <c r="M48" s="91"/>
      <c r="N48" s="91"/>
      <c r="O48" s="92" t="e">
        <f t="shared" si="1"/>
        <v>#DIV/0!</v>
      </c>
      <c r="P48" s="91">
        <f t="shared" si="2"/>
        <v>0</v>
      </c>
      <c r="Q48" s="91">
        <f t="shared" si="3"/>
        <v>7426.24</v>
      </c>
      <c r="R48" s="92" t="e">
        <f t="shared" si="4"/>
        <v>#DIV/0!</v>
      </c>
      <c r="S48" s="38"/>
      <c r="T48" s="38"/>
      <c r="U48" s="92" t="e">
        <f t="shared" si="5"/>
        <v>#DIV/0!</v>
      </c>
      <c r="V48" s="38">
        <f t="shared" si="6"/>
        <v>0</v>
      </c>
      <c r="W48" s="38">
        <f t="shared" si="7"/>
        <v>7426.24</v>
      </c>
      <c r="X48" s="92" t="e">
        <f t="shared" si="8"/>
        <v>#DIV/0!</v>
      </c>
      <c r="Y48" s="38"/>
      <c r="Z48" s="38"/>
      <c r="AA48" s="92" t="e">
        <f t="shared" si="9"/>
        <v>#DIV/0!</v>
      </c>
      <c r="AB48" s="38">
        <f t="shared" si="10"/>
        <v>0</v>
      </c>
      <c r="AC48" s="38">
        <f t="shared" si="11"/>
        <v>7426.24</v>
      </c>
      <c r="AD48" s="92" t="e">
        <f t="shared" si="12"/>
        <v>#DIV/0!</v>
      </c>
      <c r="AE48" s="22"/>
      <c r="AF48" s="22"/>
      <c r="AG48" s="92" t="e">
        <f t="shared" si="13"/>
        <v>#DIV/0!</v>
      </c>
      <c r="AH48" s="22">
        <f t="shared" si="14"/>
        <v>0</v>
      </c>
      <c r="AI48" s="22">
        <f t="shared" si="15"/>
        <v>7426.24</v>
      </c>
      <c r="AJ48" s="92" t="e">
        <f t="shared" si="16"/>
        <v>#DIV/0!</v>
      </c>
      <c r="AK48" s="22"/>
      <c r="AL48" s="22"/>
      <c r="AM48" s="92" t="e">
        <f t="shared" si="17"/>
        <v>#DIV/0!</v>
      </c>
      <c r="AN48" s="22">
        <f t="shared" si="18"/>
        <v>0</v>
      </c>
      <c r="AO48" s="22">
        <f t="shared" si="19"/>
        <v>7426.24</v>
      </c>
      <c r="AP48" s="92" t="e">
        <f t="shared" si="20"/>
        <v>#DIV/0!</v>
      </c>
      <c r="AQ48" s="22"/>
      <c r="AR48" s="22"/>
      <c r="AS48" s="92" t="e">
        <f t="shared" si="21"/>
        <v>#DIV/0!</v>
      </c>
      <c r="AT48" s="22">
        <f t="shared" si="22"/>
        <v>0</v>
      </c>
      <c r="AU48" s="22">
        <f t="shared" si="23"/>
        <v>7426.24</v>
      </c>
      <c r="AV48" s="92" t="e">
        <f t="shared" si="24"/>
        <v>#DIV/0!</v>
      </c>
      <c r="AW48" s="38"/>
      <c r="AX48" s="38"/>
      <c r="AY48" s="92" t="e">
        <f t="shared" si="25"/>
        <v>#DIV/0!</v>
      </c>
      <c r="AZ48" s="38">
        <f t="shared" si="26"/>
        <v>0</v>
      </c>
      <c r="BA48" s="38">
        <f t="shared" si="27"/>
        <v>7426.24</v>
      </c>
      <c r="BB48" s="92" t="e">
        <f t="shared" si="28"/>
        <v>#DIV/0!</v>
      </c>
      <c r="BC48" s="38"/>
      <c r="BD48" s="38"/>
      <c r="BE48" s="92" t="e">
        <f t="shared" si="29"/>
        <v>#DIV/0!</v>
      </c>
      <c r="BF48" s="38">
        <f t="shared" si="30"/>
        <v>0</v>
      </c>
      <c r="BG48" s="38">
        <f t="shared" si="31"/>
        <v>7426.24</v>
      </c>
      <c r="BH48" s="92" t="e">
        <f t="shared" si="32"/>
        <v>#DIV/0!</v>
      </c>
      <c r="BI48" s="22">
        <v>1856.56</v>
      </c>
      <c r="BJ48" s="22"/>
      <c r="BK48" s="22">
        <v>2139</v>
      </c>
      <c r="BL48" s="22">
        <v>3995.56</v>
      </c>
      <c r="BM48" s="96" t="e">
        <f t="shared" si="33"/>
        <v>#DIV/0!</v>
      </c>
      <c r="BN48" s="22"/>
    </row>
    <row r="49" spans="1:66">
      <c r="A49" s="80" t="s">
        <v>33</v>
      </c>
      <c r="B49" s="80" t="s">
        <v>33</v>
      </c>
      <c r="C49" s="87" t="s">
        <v>401</v>
      </c>
      <c r="D49" s="85" t="s">
        <v>61</v>
      </c>
      <c r="E49" s="33" t="s">
        <v>61</v>
      </c>
      <c r="F49" s="33" t="s">
        <v>351</v>
      </c>
      <c r="G49" s="33" t="s">
        <v>351</v>
      </c>
      <c r="H49" s="33" t="s">
        <v>352</v>
      </c>
      <c r="I49" s="33"/>
      <c r="J49" s="33"/>
      <c r="K49" s="91">
        <v>4364</v>
      </c>
      <c r="L49" s="92" t="e">
        <f t="shared" si="0"/>
        <v>#DIV/0!</v>
      </c>
      <c r="M49" s="91"/>
      <c r="N49" s="91"/>
      <c r="O49" s="92" t="e">
        <f t="shared" si="1"/>
        <v>#DIV/0!</v>
      </c>
      <c r="P49" s="91">
        <f t="shared" si="2"/>
        <v>0</v>
      </c>
      <c r="Q49" s="91">
        <f t="shared" si="3"/>
        <v>4364</v>
      </c>
      <c r="R49" s="92" t="e">
        <f t="shared" si="4"/>
        <v>#DIV/0!</v>
      </c>
      <c r="S49" s="38"/>
      <c r="T49" s="38"/>
      <c r="U49" s="92" t="e">
        <f t="shared" si="5"/>
        <v>#DIV/0!</v>
      </c>
      <c r="V49" s="38">
        <f t="shared" si="6"/>
        <v>0</v>
      </c>
      <c r="W49" s="38">
        <f t="shared" si="7"/>
        <v>4364</v>
      </c>
      <c r="X49" s="92" t="e">
        <f t="shared" si="8"/>
        <v>#DIV/0!</v>
      </c>
      <c r="Y49" s="38"/>
      <c r="Z49" s="38"/>
      <c r="AA49" s="92" t="e">
        <f t="shared" si="9"/>
        <v>#DIV/0!</v>
      </c>
      <c r="AB49" s="38">
        <f t="shared" si="10"/>
        <v>0</v>
      </c>
      <c r="AC49" s="38">
        <f t="shared" si="11"/>
        <v>4364</v>
      </c>
      <c r="AD49" s="92" t="e">
        <f t="shared" si="12"/>
        <v>#DIV/0!</v>
      </c>
      <c r="AE49" s="22"/>
      <c r="AF49" s="22"/>
      <c r="AG49" s="92" t="e">
        <f t="shared" si="13"/>
        <v>#DIV/0!</v>
      </c>
      <c r="AH49" s="22">
        <f t="shared" si="14"/>
        <v>0</v>
      </c>
      <c r="AI49" s="22">
        <f t="shared" si="15"/>
        <v>4364</v>
      </c>
      <c r="AJ49" s="92" t="e">
        <f t="shared" si="16"/>
        <v>#DIV/0!</v>
      </c>
      <c r="AK49" s="22"/>
      <c r="AL49" s="22"/>
      <c r="AM49" s="92" t="e">
        <f t="shared" si="17"/>
        <v>#DIV/0!</v>
      </c>
      <c r="AN49" s="22">
        <f t="shared" si="18"/>
        <v>0</v>
      </c>
      <c r="AO49" s="22">
        <f t="shared" si="19"/>
        <v>4364</v>
      </c>
      <c r="AP49" s="92" t="e">
        <f t="shared" si="20"/>
        <v>#DIV/0!</v>
      </c>
      <c r="AQ49" s="22"/>
      <c r="AR49" s="22"/>
      <c r="AS49" s="92" t="e">
        <f t="shared" si="21"/>
        <v>#DIV/0!</v>
      </c>
      <c r="AT49" s="22">
        <f t="shared" si="22"/>
        <v>0</v>
      </c>
      <c r="AU49" s="22">
        <f t="shared" si="23"/>
        <v>4364</v>
      </c>
      <c r="AV49" s="92" t="e">
        <f t="shared" si="24"/>
        <v>#DIV/0!</v>
      </c>
      <c r="AW49" s="38"/>
      <c r="AX49" s="38"/>
      <c r="AY49" s="92" t="e">
        <f t="shared" si="25"/>
        <v>#DIV/0!</v>
      </c>
      <c r="AZ49" s="38">
        <f t="shared" si="26"/>
        <v>0</v>
      </c>
      <c r="BA49" s="38">
        <f t="shared" si="27"/>
        <v>4364</v>
      </c>
      <c r="BB49" s="92" t="e">
        <f t="shared" si="28"/>
        <v>#DIV/0!</v>
      </c>
      <c r="BC49" s="38"/>
      <c r="BD49" s="38"/>
      <c r="BE49" s="92" t="e">
        <f t="shared" si="29"/>
        <v>#DIV/0!</v>
      </c>
      <c r="BF49" s="38">
        <f t="shared" si="30"/>
        <v>0</v>
      </c>
      <c r="BG49" s="38">
        <f t="shared" si="31"/>
        <v>4364</v>
      </c>
      <c r="BH49" s="92" t="e">
        <f t="shared" si="32"/>
        <v>#DIV/0!</v>
      </c>
      <c r="BI49" s="22"/>
      <c r="BJ49" s="22"/>
      <c r="BK49" s="22">
        <v>9819</v>
      </c>
      <c r="BL49" s="22">
        <v>9819</v>
      </c>
      <c r="BM49" s="96" t="e">
        <f t="shared" si="33"/>
        <v>#DIV/0!</v>
      </c>
      <c r="BN49" s="22"/>
    </row>
    <row r="50" spans="1:66">
      <c r="A50" s="80" t="s">
        <v>33</v>
      </c>
      <c r="B50" s="80" t="s">
        <v>33</v>
      </c>
      <c r="C50" s="87" t="s">
        <v>402</v>
      </c>
      <c r="D50" s="85" t="s">
        <v>61</v>
      </c>
      <c r="E50" s="33" t="s">
        <v>61</v>
      </c>
      <c r="F50" s="33" t="s">
        <v>366</v>
      </c>
      <c r="G50" s="33" t="s">
        <v>366</v>
      </c>
      <c r="H50" s="33" t="s">
        <v>360</v>
      </c>
      <c r="I50" s="33"/>
      <c r="J50" s="33"/>
      <c r="K50" s="91">
        <v>1454</v>
      </c>
      <c r="L50" s="92" t="e">
        <f t="shared" si="0"/>
        <v>#DIV/0!</v>
      </c>
      <c r="M50" s="91"/>
      <c r="N50" s="91"/>
      <c r="O50" s="92" t="e">
        <f t="shared" si="1"/>
        <v>#DIV/0!</v>
      </c>
      <c r="P50" s="91">
        <f t="shared" si="2"/>
        <v>0</v>
      </c>
      <c r="Q50" s="91">
        <f t="shared" si="3"/>
        <v>1454</v>
      </c>
      <c r="R50" s="92" t="e">
        <f t="shared" si="4"/>
        <v>#DIV/0!</v>
      </c>
      <c r="S50" s="38"/>
      <c r="T50" s="38"/>
      <c r="U50" s="92" t="e">
        <f t="shared" si="5"/>
        <v>#DIV/0!</v>
      </c>
      <c r="V50" s="38">
        <f t="shared" si="6"/>
        <v>0</v>
      </c>
      <c r="W50" s="38">
        <f t="shared" si="7"/>
        <v>1454</v>
      </c>
      <c r="X50" s="92" t="e">
        <f t="shared" si="8"/>
        <v>#DIV/0!</v>
      </c>
      <c r="Y50" s="38"/>
      <c r="Z50" s="38"/>
      <c r="AA50" s="92" t="e">
        <f t="shared" si="9"/>
        <v>#DIV/0!</v>
      </c>
      <c r="AB50" s="38">
        <f t="shared" si="10"/>
        <v>0</v>
      </c>
      <c r="AC50" s="38">
        <f t="shared" si="11"/>
        <v>1454</v>
      </c>
      <c r="AD50" s="92" t="e">
        <f t="shared" si="12"/>
        <v>#DIV/0!</v>
      </c>
      <c r="AE50" s="22"/>
      <c r="AF50" s="22"/>
      <c r="AG50" s="92" t="e">
        <f t="shared" si="13"/>
        <v>#DIV/0!</v>
      </c>
      <c r="AH50" s="22">
        <f t="shared" si="14"/>
        <v>0</v>
      </c>
      <c r="AI50" s="22">
        <f t="shared" si="15"/>
        <v>1454</v>
      </c>
      <c r="AJ50" s="92" t="e">
        <f t="shared" si="16"/>
        <v>#DIV/0!</v>
      </c>
      <c r="AK50" s="22"/>
      <c r="AL50" s="22"/>
      <c r="AM50" s="92" t="e">
        <f t="shared" si="17"/>
        <v>#DIV/0!</v>
      </c>
      <c r="AN50" s="22">
        <f t="shared" si="18"/>
        <v>0</v>
      </c>
      <c r="AO50" s="22">
        <f t="shared" si="19"/>
        <v>1454</v>
      </c>
      <c r="AP50" s="92" t="e">
        <f t="shared" si="20"/>
        <v>#DIV/0!</v>
      </c>
      <c r="AQ50" s="22"/>
      <c r="AR50" s="22"/>
      <c r="AS50" s="92" t="e">
        <f t="shared" si="21"/>
        <v>#DIV/0!</v>
      </c>
      <c r="AT50" s="22">
        <f t="shared" si="22"/>
        <v>0</v>
      </c>
      <c r="AU50" s="22">
        <f t="shared" si="23"/>
        <v>1454</v>
      </c>
      <c r="AV50" s="92" t="e">
        <f t="shared" si="24"/>
        <v>#DIV/0!</v>
      </c>
      <c r="AW50" s="38"/>
      <c r="AX50" s="38"/>
      <c r="AY50" s="92" t="e">
        <f t="shared" si="25"/>
        <v>#DIV/0!</v>
      </c>
      <c r="AZ50" s="38">
        <f t="shared" si="26"/>
        <v>0</v>
      </c>
      <c r="BA50" s="38">
        <f t="shared" si="27"/>
        <v>1454</v>
      </c>
      <c r="BB50" s="92" t="e">
        <f t="shared" si="28"/>
        <v>#DIV/0!</v>
      </c>
      <c r="BC50" s="38"/>
      <c r="BD50" s="38"/>
      <c r="BE50" s="92" t="e">
        <f t="shared" si="29"/>
        <v>#DIV/0!</v>
      </c>
      <c r="BF50" s="38">
        <f t="shared" si="30"/>
        <v>0</v>
      </c>
      <c r="BG50" s="38">
        <f t="shared" si="31"/>
        <v>1454</v>
      </c>
      <c r="BH50" s="92" t="e">
        <f t="shared" si="32"/>
        <v>#DIV/0!</v>
      </c>
      <c r="BI50" s="22"/>
      <c r="BJ50" s="22"/>
      <c r="BK50" s="22"/>
      <c r="BL50" s="22"/>
      <c r="BM50" s="96" t="e">
        <f t="shared" si="33"/>
        <v>#DIV/0!</v>
      </c>
      <c r="BN50" s="22"/>
    </row>
    <row r="51" spans="1:66">
      <c r="A51" s="80" t="s">
        <v>33</v>
      </c>
      <c r="B51" s="80" t="s">
        <v>33</v>
      </c>
      <c r="C51" s="86" t="s">
        <v>403</v>
      </c>
      <c r="D51" s="85" t="s">
        <v>61</v>
      </c>
      <c r="E51" s="33" t="s">
        <v>61</v>
      </c>
      <c r="F51" s="33" t="s">
        <v>351</v>
      </c>
      <c r="G51" s="33" t="s">
        <v>351</v>
      </c>
      <c r="H51" s="33" t="s">
        <v>352</v>
      </c>
      <c r="I51" s="33">
        <v>5</v>
      </c>
      <c r="J51" s="33"/>
      <c r="K51" s="91"/>
      <c r="L51" s="92"/>
      <c r="M51" s="91"/>
      <c r="N51" s="91"/>
      <c r="O51" s="92"/>
      <c r="P51" s="91"/>
      <c r="Q51" s="91"/>
      <c r="R51" s="92"/>
      <c r="S51" s="38"/>
      <c r="T51" s="38">
        <v>8647</v>
      </c>
      <c r="U51" s="92" t="e">
        <f t="shared" si="5"/>
        <v>#DIV/0!</v>
      </c>
      <c r="V51" s="38">
        <f t="shared" si="6"/>
        <v>0</v>
      </c>
      <c r="W51" s="38">
        <f t="shared" si="7"/>
        <v>8647</v>
      </c>
      <c r="X51" s="92" t="e">
        <f t="shared" si="8"/>
        <v>#DIV/0!</v>
      </c>
      <c r="Y51" s="38"/>
      <c r="Z51" s="38"/>
      <c r="AA51" s="92" t="e">
        <f t="shared" si="9"/>
        <v>#DIV/0!</v>
      </c>
      <c r="AB51" s="38">
        <f t="shared" si="10"/>
        <v>0</v>
      </c>
      <c r="AC51" s="38">
        <f t="shared" si="11"/>
        <v>8647</v>
      </c>
      <c r="AD51" s="92" t="e">
        <f t="shared" si="12"/>
        <v>#DIV/0!</v>
      </c>
      <c r="AE51" s="22"/>
      <c r="AF51" s="22">
        <v>18085</v>
      </c>
      <c r="AG51" s="92" t="e">
        <f t="shared" si="13"/>
        <v>#DIV/0!</v>
      </c>
      <c r="AH51" s="22">
        <f t="shared" si="14"/>
        <v>0</v>
      </c>
      <c r="AI51" s="22">
        <f t="shared" si="15"/>
        <v>26732</v>
      </c>
      <c r="AJ51" s="92" t="e">
        <f t="shared" si="16"/>
        <v>#DIV/0!</v>
      </c>
      <c r="AK51" s="22"/>
      <c r="AL51" s="22">
        <v>10637</v>
      </c>
      <c r="AM51" s="92" t="e">
        <f t="shared" si="17"/>
        <v>#DIV/0!</v>
      </c>
      <c r="AN51" s="22">
        <f t="shared" si="18"/>
        <v>0</v>
      </c>
      <c r="AO51" s="22">
        <f t="shared" si="19"/>
        <v>37369</v>
      </c>
      <c r="AP51" s="92" t="e">
        <f t="shared" si="20"/>
        <v>#DIV/0!</v>
      </c>
      <c r="AQ51" s="22"/>
      <c r="AR51" s="22"/>
      <c r="AS51" s="92" t="e">
        <f t="shared" si="21"/>
        <v>#DIV/0!</v>
      </c>
      <c r="AT51" s="22">
        <f t="shared" si="22"/>
        <v>0</v>
      </c>
      <c r="AU51" s="22">
        <f t="shared" si="23"/>
        <v>37369</v>
      </c>
      <c r="AV51" s="92" t="e">
        <f t="shared" si="24"/>
        <v>#DIV/0!</v>
      </c>
      <c r="AW51" s="38"/>
      <c r="AX51" s="38">
        <v>17339</v>
      </c>
      <c r="AY51" s="92" t="e">
        <f t="shared" si="25"/>
        <v>#DIV/0!</v>
      </c>
      <c r="AZ51" s="38">
        <f t="shared" si="26"/>
        <v>0</v>
      </c>
      <c r="BA51" s="38">
        <f t="shared" si="27"/>
        <v>54708</v>
      </c>
      <c r="BB51" s="92" t="e">
        <f t="shared" si="28"/>
        <v>#DIV/0!</v>
      </c>
      <c r="BC51" s="38"/>
      <c r="BD51" s="38">
        <v>13012</v>
      </c>
      <c r="BE51" s="92" t="e">
        <f t="shared" si="29"/>
        <v>#DIV/0!</v>
      </c>
      <c r="BF51" s="38">
        <f t="shared" si="30"/>
        <v>0</v>
      </c>
      <c r="BG51" s="38">
        <f t="shared" si="31"/>
        <v>67720</v>
      </c>
      <c r="BH51" s="92" t="e">
        <f t="shared" si="32"/>
        <v>#DIV/0!</v>
      </c>
      <c r="BI51" s="22"/>
      <c r="BJ51" s="22"/>
      <c r="BK51" s="22"/>
      <c r="BL51" s="22"/>
      <c r="BM51" s="96">
        <f t="shared" si="33"/>
        <v>1.3544</v>
      </c>
      <c r="BN51" s="22"/>
    </row>
    <row r="52" spans="1:66">
      <c r="A52" s="80" t="s">
        <v>33</v>
      </c>
      <c r="B52" s="80" t="s">
        <v>33</v>
      </c>
      <c r="C52" s="84" t="s">
        <v>404</v>
      </c>
      <c r="D52" s="85" t="s">
        <v>61</v>
      </c>
      <c r="E52" s="33" t="s">
        <v>61</v>
      </c>
      <c r="F52" s="33" t="s">
        <v>366</v>
      </c>
      <c r="G52" s="33" t="s">
        <v>366</v>
      </c>
      <c r="H52" s="33" t="s">
        <v>360</v>
      </c>
      <c r="I52" s="33"/>
      <c r="J52" s="33"/>
      <c r="K52" s="91"/>
      <c r="L52" s="92"/>
      <c r="M52" s="91"/>
      <c r="N52" s="91"/>
      <c r="O52" s="92"/>
      <c r="P52" s="91"/>
      <c r="Q52" s="91"/>
      <c r="R52" s="92"/>
      <c r="S52" s="38"/>
      <c r="T52" s="38"/>
      <c r="U52" s="92"/>
      <c r="V52" s="38"/>
      <c r="W52" s="38"/>
      <c r="X52" s="92"/>
      <c r="Y52" s="38"/>
      <c r="Z52" s="38">
        <v>25206</v>
      </c>
      <c r="AA52" s="92" t="e">
        <f t="shared" si="9"/>
        <v>#DIV/0!</v>
      </c>
      <c r="AB52" s="38">
        <f t="shared" si="10"/>
        <v>0</v>
      </c>
      <c r="AC52" s="38">
        <f t="shared" si="11"/>
        <v>25206</v>
      </c>
      <c r="AD52" s="92" t="e">
        <f t="shared" si="12"/>
        <v>#DIV/0!</v>
      </c>
      <c r="AE52" s="22"/>
      <c r="AF52" s="22"/>
      <c r="AG52" s="92" t="e">
        <f t="shared" si="13"/>
        <v>#DIV/0!</v>
      </c>
      <c r="AH52" s="22">
        <f t="shared" si="14"/>
        <v>0</v>
      </c>
      <c r="AI52" s="22">
        <f t="shared" si="15"/>
        <v>25206</v>
      </c>
      <c r="AJ52" s="92" t="e">
        <f t="shared" si="16"/>
        <v>#DIV/0!</v>
      </c>
      <c r="AK52" s="22"/>
      <c r="AL52" s="22">
        <v>3149</v>
      </c>
      <c r="AM52" s="92" t="e">
        <f t="shared" si="17"/>
        <v>#DIV/0!</v>
      </c>
      <c r="AN52" s="22">
        <f t="shared" si="18"/>
        <v>0</v>
      </c>
      <c r="AO52" s="22">
        <f t="shared" si="19"/>
        <v>28355</v>
      </c>
      <c r="AP52" s="92" t="e">
        <f t="shared" si="20"/>
        <v>#DIV/0!</v>
      </c>
      <c r="AQ52" s="22"/>
      <c r="AR52" s="22">
        <v>6182</v>
      </c>
      <c r="AS52" s="92" t="e">
        <f t="shared" si="21"/>
        <v>#DIV/0!</v>
      </c>
      <c r="AT52" s="22">
        <f t="shared" si="22"/>
        <v>0</v>
      </c>
      <c r="AU52" s="22">
        <f t="shared" si="23"/>
        <v>34537</v>
      </c>
      <c r="AV52" s="92" t="e">
        <f t="shared" si="24"/>
        <v>#DIV/0!</v>
      </c>
      <c r="AW52" s="38"/>
      <c r="AX52" s="38"/>
      <c r="AY52" s="92" t="e">
        <f t="shared" si="25"/>
        <v>#DIV/0!</v>
      </c>
      <c r="AZ52" s="38">
        <f t="shared" si="26"/>
        <v>0</v>
      </c>
      <c r="BA52" s="38">
        <f t="shared" si="27"/>
        <v>34537</v>
      </c>
      <c r="BB52" s="92" t="e">
        <f t="shared" si="28"/>
        <v>#DIV/0!</v>
      </c>
      <c r="BC52" s="38"/>
      <c r="BD52" s="38"/>
      <c r="BE52" s="92" t="e">
        <f t="shared" si="29"/>
        <v>#DIV/0!</v>
      </c>
      <c r="BF52" s="38">
        <f t="shared" si="30"/>
        <v>0</v>
      </c>
      <c r="BG52" s="38">
        <f t="shared" si="31"/>
        <v>34537</v>
      </c>
      <c r="BH52" s="92" t="e">
        <f t="shared" si="32"/>
        <v>#DIV/0!</v>
      </c>
      <c r="BI52" s="22"/>
      <c r="BJ52" s="22"/>
      <c r="BK52" s="22"/>
      <c r="BL52" s="22"/>
      <c r="BM52" s="96" t="e">
        <f t="shared" si="33"/>
        <v>#DIV/0!</v>
      </c>
      <c r="BN52" s="22"/>
    </row>
    <row r="53" spans="1:66">
      <c r="A53" s="80" t="s">
        <v>33</v>
      </c>
      <c r="B53" s="80" t="s">
        <v>33</v>
      </c>
      <c r="C53" s="85" t="s">
        <v>405</v>
      </c>
      <c r="D53" s="85" t="s">
        <v>61</v>
      </c>
      <c r="E53" s="33" t="s">
        <v>61</v>
      </c>
      <c r="F53" s="33" t="s">
        <v>366</v>
      </c>
      <c r="G53" s="33" t="s">
        <v>366</v>
      </c>
      <c r="H53" s="33" t="s">
        <v>360</v>
      </c>
      <c r="I53" s="33">
        <v>3</v>
      </c>
      <c r="J53" s="33"/>
      <c r="K53" s="91"/>
      <c r="L53" s="92"/>
      <c r="M53" s="91"/>
      <c r="N53" s="91"/>
      <c r="O53" s="92"/>
      <c r="P53" s="91"/>
      <c r="Q53" s="91"/>
      <c r="R53" s="92"/>
      <c r="S53" s="38"/>
      <c r="T53" s="38"/>
      <c r="U53" s="92"/>
      <c r="V53" s="38"/>
      <c r="W53" s="38"/>
      <c r="X53" s="92"/>
      <c r="Y53" s="38"/>
      <c r="Z53" s="38"/>
      <c r="AA53" s="92"/>
      <c r="AB53" s="38"/>
      <c r="AC53" s="38"/>
      <c r="AD53" s="92"/>
      <c r="AE53" s="22"/>
      <c r="AF53" s="22"/>
      <c r="AG53" s="92" t="e">
        <f t="shared" si="13"/>
        <v>#DIV/0!</v>
      </c>
      <c r="AH53" s="22">
        <f t="shared" si="14"/>
        <v>0</v>
      </c>
      <c r="AI53" s="22">
        <f t="shared" si="15"/>
        <v>0</v>
      </c>
      <c r="AJ53" s="92" t="e">
        <f t="shared" si="16"/>
        <v>#DIV/0!</v>
      </c>
      <c r="AK53" s="22"/>
      <c r="AL53" s="22"/>
      <c r="AM53" s="92" t="e">
        <f t="shared" si="17"/>
        <v>#DIV/0!</v>
      </c>
      <c r="AN53" s="22">
        <f t="shared" si="18"/>
        <v>0</v>
      </c>
      <c r="AO53" s="22">
        <f t="shared" si="19"/>
        <v>0</v>
      </c>
      <c r="AP53" s="92" t="e">
        <f t="shared" si="20"/>
        <v>#DIV/0!</v>
      </c>
      <c r="AQ53" s="22"/>
      <c r="AR53" s="22"/>
      <c r="AS53" s="92" t="e">
        <f t="shared" si="21"/>
        <v>#DIV/0!</v>
      </c>
      <c r="AT53" s="22">
        <f t="shared" si="22"/>
        <v>0</v>
      </c>
      <c r="AU53" s="22">
        <f t="shared" si="23"/>
        <v>0</v>
      </c>
      <c r="AV53" s="92" t="e">
        <f t="shared" si="24"/>
        <v>#DIV/0!</v>
      </c>
      <c r="AW53" s="38"/>
      <c r="AX53" s="38"/>
      <c r="AY53" s="92" t="e">
        <f t="shared" si="25"/>
        <v>#DIV/0!</v>
      </c>
      <c r="AZ53" s="38">
        <f t="shared" si="26"/>
        <v>0</v>
      </c>
      <c r="BA53" s="38">
        <f t="shared" si="27"/>
        <v>0</v>
      </c>
      <c r="BB53" s="92" t="e">
        <f t="shared" si="28"/>
        <v>#DIV/0!</v>
      </c>
      <c r="BC53" s="38"/>
      <c r="BD53" s="38"/>
      <c r="BE53" s="92" t="e">
        <f t="shared" si="29"/>
        <v>#DIV/0!</v>
      </c>
      <c r="BF53" s="38">
        <f t="shared" si="30"/>
        <v>0</v>
      </c>
      <c r="BG53" s="38">
        <f t="shared" si="31"/>
        <v>0</v>
      </c>
      <c r="BH53" s="92" t="e">
        <f t="shared" si="32"/>
        <v>#DIV/0!</v>
      </c>
      <c r="BI53" s="22"/>
      <c r="BJ53" s="22"/>
      <c r="BK53" s="22"/>
      <c r="BL53" s="22"/>
      <c r="BM53" s="96">
        <f t="shared" si="33"/>
        <v>0</v>
      </c>
      <c r="BN53" s="22"/>
    </row>
    <row r="54" spans="1:66">
      <c r="A54" s="61" t="s">
        <v>33</v>
      </c>
      <c r="B54" s="61" t="s">
        <v>33</v>
      </c>
      <c r="C54" s="85" t="s">
        <v>406</v>
      </c>
      <c r="D54" s="85" t="s">
        <v>61</v>
      </c>
      <c r="E54" s="33" t="s">
        <v>61</v>
      </c>
      <c r="F54" s="33" t="s">
        <v>366</v>
      </c>
      <c r="G54" s="33" t="s">
        <v>366</v>
      </c>
      <c r="H54" s="33" t="s">
        <v>360</v>
      </c>
      <c r="I54" s="33">
        <v>0</v>
      </c>
      <c r="J54" s="33"/>
      <c r="K54" s="91"/>
      <c r="L54" s="92"/>
      <c r="M54" s="91"/>
      <c r="N54" s="91"/>
      <c r="O54" s="92"/>
      <c r="P54" s="91"/>
      <c r="Q54" s="91"/>
      <c r="R54" s="92"/>
      <c r="S54" s="38"/>
      <c r="T54" s="38"/>
      <c r="U54" s="92"/>
      <c r="V54" s="38"/>
      <c r="W54" s="38"/>
      <c r="X54" s="92"/>
      <c r="Y54" s="38"/>
      <c r="Z54" s="38"/>
      <c r="AA54" s="92"/>
      <c r="AB54" s="38"/>
      <c r="AC54" s="38"/>
      <c r="AD54" s="92"/>
      <c r="AE54" s="22"/>
      <c r="AF54" s="22">
        <v>30000</v>
      </c>
      <c r="AG54" s="92" t="e">
        <f t="shared" si="13"/>
        <v>#DIV/0!</v>
      </c>
      <c r="AH54" s="22">
        <f t="shared" si="14"/>
        <v>0</v>
      </c>
      <c r="AI54" s="22">
        <f t="shared" si="15"/>
        <v>30000</v>
      </c>
      <c r="AJ54" s="92" t="e">
        <f t="shared" si="16"/>
        <v>#DIV/0!</v>
      </c>
      <c r="AK54" s="22"/>
      <c r="AL54" s="22"/>
      <c r="AM54" s="92" t="e">
        <f t="shared" si="17"/>
        <v>#DIV/0!</v>
      </c>
      <c r="AN54" s="22">
        <f t="shared" si="18"/>
        <v>0</v>
      </c>
      <c r="AO54" s="22">
        <f t="shared" si="19"/>
        <v>30000</v>
      </c>
      <c r="AP54" s="92" t="e">
        <f t="shared" si="20"/>
        <v>#DIV/0!</v>
      </c>
      <c r="AQ54" s="22"/>
      <c r="AR54" s="22">
        <v>12977</v>
      </c>
      <c r="AS54" s="92" t="e">
        <f t="shared" si="21"/>
        <v>#DIV/0!</v>
      </c>
      <c r="AT54" s="22">
        <f t="shared" si="22"/>
        <v>0</v>
      </c>
      <c r="AU54" s="22">
        <f t="shared" si="23"/>
        <v>42977</v>
      </c>
      <c r="AV54" s="92" t="e">
        <f t="shared" si="24"/>
        <v>#DIV/0!</v>
      </c>
      <c r="AW54" s="38"/>
      <c r="AX54" s="38">
        <v>12129</v>
      </c>
      <c r="AY54" s="92" t="e">
        <f t="shared" si="25"/>
        <v>#DIV/0!</v>
      </c>
      <c r="AZ54" s="38">
        <f t="shared" si="26"/>
        <v>0</v>
      </c>
      <c r="BA54" s="38">
        <f t="shared" si="27"/>
        <v>55106</v>
      </c>
      <c r="BB54" s="92" t="e">
        <f t="shared" si="28"/>
        <v>#DIV/0!</v>
      </c>
      <c r="BC54" s="38"/>
      <c r="BD54" s="38">
        <v>4482</v>
      </c>
      <c r="BE54" s="92" t="e">
        <f t="shared" si="29"/>
        <v>#DIV/0!</v>
      </c>
      <c r="BF54" s="38">
        <f t="shared" si="30"/>
        <v>0</v>
      </c>
      <c r="BG54" s="38">
        <f t="shared" si="31"/>
        <v>59588</v>
      </c>
      <c r="BH54" s="92" t="e">
        <f t="shared" si="32"/>
        <v>#DIV/0!</v>
      </c>
      <c r="BI54" s="22"/>
      <c r="BJ54" s="22"/>
      <c r="BK54" s="22"/>
      <c r="BL54" s="22"/>
      <c r="BM54" s="96" t="e">
        <f t="shared" si="33"/>
        <v>#DIV/0!</v>
      </c>
      <c r="BN54" s="22"/>
    </row>
    <row r="55" spans="1:66">
      <c r="A55" s="61" t="s">
        <v>33</v>
      </c>
      <c r="B55" s="61" t="s">
        <v>33</v>
      </c>
      <c r="C55" s="55" t="s">
        <v>407</v>
      </c>
      <c r="D55" s="61" t="s">
        <v>61</v>
      </c>
      <c r="E55" s="61" t="s">
        <v>61</v>
      </c>
      <c r="F55" s="61" t="s">
        <v>376</v>
      </c>
      <c r="G55" s="61" t="s">
        <v>376</v>
      </c>
      <c r="H55" s="61" t="s">
        <v>360</v>
      </c>
      <c r="I55" s="33"/>
      <c r="J55" s="33"/>
      <c r="K55" s="91"/>
      <c r="L55" s="92"/>
      <c r="M55" s="91"/>
      <c r="N55" s="91"/>
      <c r="O55" s="92"/>
      <c r="P55" s="91"/>
      <c r="Q55" s="91"/>
      <c r="R55" s="92"/>
      <c r="S55" s="38"/>
      <c r="T55" s="38">
        <v>61525</v>
      </c>
      <c r="U55" s="92" t="e">
        <f>T55/S55-1</f>
        <v>#DIV/0!</v>
      </c>
      <c r="V55" s="38">
        <f>S55+P55</f>
        <v>0</v>
      </c>
      <c r="W55" s="38">
        <f>T55+Q55</f>
        <v>61525</v>
      </c>
      <c r="X55" s="92" t="e">
        <f>W55/V55-1</f>
        <v>#DIV/0!</v>
      </c>
      <c r="Y55" s="38"/>
      <c r="Z55" s="38">
        <v>91231</v>
      </c>
      <c r="AA55" s="92" t="e">
        <f>Z55/Y55-1</f>
        <v>#DIV/0!</v>
      </c>
      <c r="AB55" s="38">
        <f>V55+Y55</f>
        <v>0</v>
      </c>
      <c r="AC55" s="38">
        <f>W55+Z55</f>
        <v>152756</v>
      </c>
      <c r="AD55" s="92" t="e">
        <f>AC55/AB55-1</f>
        <v>#DIV/0!</v>
      </c>
      <c r="AE55" s="22"/>
      <c r="AF55" s="22">
        <v>34471</v>
      </c>
      <c r="AG55" s="92" t="e">
        <f t="shared" si="13"/>
        <v>#DIV/0!</v>
      </c>
      <c r="AH55" s="22">
        <f t="shared" si="14"/>
        <v>0</v>
      </c>
      <c r="AI55" s="22">
        <f t="shared" si="15"/>
        <v>187227</v>
      </c>
      <c r="AJ55" s="92" t="e">
        <f t="shared" si="16"/>
        <v>#DIV/0!</v>
      </c>
      <c r="AK55" s="22"/>
      <c r="AL55" s="22">
        <v>56029</v>
      </c>
      <c r="AM55" s="92" t="e">
        <f t="shared" si="17"/>
        <v>#DIV/0!</v>
      </c>
      <c r="AN55" s="22">
        <f t="shared" si="18"/>
        <v>0</v>
      </c>
      <c r="AO55" s="22">
        <f t="shared" si="19"/>
        <v>243256</v>
      </c>
      <c r="AP55" s="92" t="e">
        <f t="shared" si="20"/>
        <v>#DIV/0!</v>
      </c>
      <c r="AQ55" s="22"/>
      <c r="AR55" s="22">
        <v>95427</v>
      </c>
      <c r="AS55" s="92" t="e">
        <f t="shared" si="21"/>
        <v>#DIV/0!</v>
      </c>
      <c r="AT55" s="22">
        <f t="shared" si="22"/>
        <v>0</v>
      </c>
      <c r="AU55" s="22">
        <f t="shared" si="23"/>
        <v>338683</v>
      </c>
      <c r="AV55" s="92" t="e">
        <f t="shared" si="24"/>
        <v>#DIV/0!</v>
      </c>
      <c r="AW55" s="38"/>
      <c r="AX55" s="38">
        <v>43248</v>
      </c>
      <c r="AY55" s="92" t="e">
        <f t="shared" si="25"/>
        <v>#DIV/0!</v>
      </c>
      <c r="AZ55" s="38">
        <f t="shared" si="26"/>
        <v>0</v>
      </c>
      <c r="BA55" s="38">
        <f t="shared" si="27"/>
        <v>381931</v>
      </c>
      <c r="BB55" s="92" t="e">
        <f t="shared" si="28"/>
        <v>#DIV/0!</v>
      </c>
      <c r="BC55" s="38"/>
      <c r="BD55" s="38"/>
      <c r="BE55" s="92" t="e">
        <f t="shared" si="29"/>
        <v>#DIV/0!</v>
      </c>
      <c r="BF55" s="38">
        <f t="shared" si="30"/>
        <v>0</v>
      </c>
      <c r="BG55" s="38">
        <f t="shared" si="31"/>
        <v>381931</v>
      </c>
      <c r="BH55" s="92" t="e">
        <f t="shared" si="32"/>
        <v>#DIV/0!</v>
      </c>
      <c r="BI55" s="22"/>
      <c r="BJ55" s="22"/>
      <c r="BK55" s="22"/>
      <c r="BL55" s="22"/>
      <c r="BM55" s="96" t="e">
        <f t="shared" si="33"/>
        <v>#DIV/0!</v>
      </c>
      <c r="BN55" s="22"/>
    </row>
    <row r="56" spans="1:66">
      <c r="A56" s="61" t="s">
        <v>33</v>
      </c>
      <c r="B56" s="61" t="s">
        <v>33</v>
      </c>
      <c r="C56" s="22" t="s">
        <v>408</v>
      </c>
      <c r="D56" s="61" t="s">
        <v>61</v>
      </c>
      <c r="E56" s="61" t="s">
        <v>61</v>
      </c>
      <c r="F56" s="33" t="s">
        <v>359</v>
      </c>
      <c r="G56" s="33" t="s">
        <v>364</v>
      </c>
      <c r="H56" s="33" t="s">
        <v>360</v>
      </c>
      <c r="I56" s="33">
        <v>10</v>
      </c>
      <c r="J56" s="33"/>
      <c r="K56" s="91"/>
      <c r="L56" s="92"/>
      <c r="M56" s="91"/>
      <c r="N56" s="91"/>
      <c r="O56" s="92"/>
      <c r="P56" s="91"/>
      <c r="Q56" s="91"/>
      <c r="R56" s="92"/>
      <c r="S56" s="38"/>
      <c r="T56" s="38"/>
      <c r="U56" s="92"/>
      <c r="V56" s="38"/>
      <c r="W56" s="38"/>
      <c r="X56" s="92"/>
      <c r="Y56" s="38"/>
      <c r="Z56" s="38"/>
      <c r="AA56" s="92"/>
      <c r="AB56" s="38"/>
      <c r="AC56" s="38"/>
      <c r="AD56" s="92"/>
      <c r="AE56" s="22"/>
      <c r="AF56" s="22"/>
      <c r="AG56" s="92"/>
      <c r="AH56" s="22"/>
      <c r="AI56" s="22"/>
      <c r="AJ56" s="92"/>
      <c r="AK56" s="22"/>
      <c r="AL56" s="22"/>
      <c r="AM56" s="92"/>
      <c r="AN56" s="22"/>
      <c r="AO56" s="22"/>
      <c r="AP56" s="92"/>
      <c r="AQ56" s="22"/>
      <c r="AR56" s="22">
        <v>8600</v>
      </c>
      <c r="AS56" s="92" t="e">
        <f t="shared" si="21"/>
        <v>#DIV/0!</v>
      </c>
      <c r="AT56" s="22">
        <f t="shared" si="22"/>
        <v>0</v>
      </c>
      <c r="AU56" s="22">
        <f t="shared" si="23"/>
        <v>8600</v>
      </c>
      <c r="AV56" s="92" t="e">
        <f t="shared" si="24"/>
        <v>#DIV/0!</v>
      </c>
      <c r="AW56" s="38"/>
      <c r="AX56" s="38"/>
      <c r="AY56" s="92" t="e">
        <f t="shared" si="25"/>
        <v>#DIV/0!</v>
      </c>
      <c r="AZ56" s="38">
        <f t="shared" si="26"/>
        <v>0</v>
      </c>
      <c r="BA56" s="38">
        <f t="shared" si="27"/>
        <v>8600</v>
      </c>
      <c r="BB56" s="92" t="e">
        <f t="shared" si="28"/>
        <v>#DIV/0!</v>
      </c>
      <c r="BC56" s="38"/>
      <c r="BD56" s="38">
        <v>41057.82</v>
      </c>
      <c r="BE56" s="92" t="e">
        <f t="shared" si="29"/>
        <v>#DIV/0!</v>
      </c>
      <c r="BF56" s="38">
        <f t="shared" si="30"/>
        <v>0</v>
      </c>
      <c r="BG56" s="38">
        <f t="shared" si="31"/>
        <v>49657.82</v>
      </c>
      <c r="BH56" s="92" t="e">
        <f t="shared" si="32"/>
        <v>#DIV/0!</v>
      </c>
      <c r="BI56" s="22"/>
      <c r="BJ56" s="22"/>
      <c r="BK56" s="22"/>
      <c r="BL56" s="22"/>
      <c r="BM56" s="96">
        <f t="shared" si="33"/>
        <v>0.49657820000000003</v>
      </c>
      <c r="BN56" s="22"/>
    </row>
    <row r="57" spans="1:66">
      <c r="A57" s="61" t="s">
        <v>33</v>
      </c>
      <c r="B57" s="61" t="s">
        <v>33</v>
      </c>
      <c r="C57" s="22" t="s">
        <v>409</v>
      </c>
      <c r="D57" s="61" t="s">
        <v>61</v>
      </c>
      <c r="E57" s="61" t="s">
        <v>61</v>
      </c>
      <c r="F57" s="61" t="s">
        <v>351</v>
      </c>
      <c r="G57" s="33" t="s">
        <v>351</v>
      </c>
      <c r="H57" s="33" t="s">
        <v>352</v>
      </c>
      <c r="I57" s="33">
        <v>10</v>
      </c>
      <c r="J57" s="33"/>
      <c r="K57" s="91"/>
      <c r="L57" s="92"/>
      <c r="M57" s="91"/>
      <c r="N57" s="91"/>
      <c r="O57" s="92"/>
      <c r="P57" s="91"/>
      <c r="Q57" s="91"/>
      <c r="R57" s="92"/>
      <c r="S57" s="38"/>
      <c r="T57" s="38"/>
      <c r="U57" s="92"/>
      <c r="V57" s="38"/>
      <c r="W57" s="38"/>
      <c r="X57" s="92"/>
      <c r="Y57" s="38"/>
      <c r="Z57" s="38"/>
      <c r="AA57" s="92"/>
      <c r="AB57" s="38"/>
      <c r="AC57" s="38"/>
      <c r="AD57" s="92"/>
      <c r="AE57" s="22"/>
      <c r="AF57" s="22"/>
      <c r="AG57" s="92"/>
      <c r="AH57" s="22"/>
      <c r="AI57" s="22"/>
      <c r="AJ57" s="92"/>
      <c r="AK57" s="22"/>
      <c r="AL57" s="22"/>
      <c r="AM57" s="92"/>
      <c r="AN57" s="22"/>
      <c r="AO57" s="22"/>
      <c r="AP57" s="92"/>
      <c r="AQ57" s="22"/>
      <c r="AR57" s="22">
        <v>14623</v>
      </c>
      <c r="AS57" s="92" t="e">
        <f t="shared" si="21"/>
        <v>#DIV/0!</v>
      </c>
      <c r="AT57" s="22">
        <f t="shared" si="22"/>
        <v>0</v>
      </c>
      <c r="AU57" s="22">
        <f t="shared" si="23"/>
        <v>14623</v>
      </c>
      <c r="AV57" s="92" t="e">
        <f t="shared" si="24"/>
        <v>#DIV/0!</v>
      </c>
      <c r="AW57" s="38"/>
      <c r="AX57" s="38">
        <v>11267</v>
      </c>
      <c r="AY57" s="92" t="e">
        <f t="shared" si="25"/>
        <v>#DIV/0!</v>
      </c>
      <c r="AZ57" s="38">
        <f t="shared" si="26"/>
        <v>0</v>
      </c>
      <c r="BA57" s="38">
        <f t="shared" si="27"/>
        <v>25890</v>
      </c>
      <c r="BB57" s="92" t="e">
        <f t="shared" si="28"/>
        <v>#DIV/0!</v>
      </c>
      <c r="BC57" s="38"/>
      <c r="BD57" s="38">
        <v>4348</v>
      </c>
      <c r="BE57" s="92" t="e">
        <f t="shared" si="29"/>
        <v>#DIV/0!</v>
      </c>
      <c r="BF57" s="38">
        <f t="shared" si="30"/>
        <v>0</v>
      </c>
      <c r="BG57" s="38">
        <f t="shared" si="31"/>
        <v>30238</v>
      </c>
      <c r="BH57" s="92" t="e">
        <f t="shared" si="32"/>
        <v>#DIV/0!</v>
      </c>
      <c r="BI57" s="22"/>
      <c r="BJ57" s="22"/>
      <c r="BK57" s="22"/>
      <c r="BL57" s="22"/>
      <c r="BM57" s="96">
        <f t="shared" si="33"/>
        <v>0.30237999999999998</v>
      </c>
      <c r="BN57" s="22"/>
    </row>
    <row r="58" spans="1:66">
      <c r="A58" s="61" t="s">
        <v>33</v>
      </c>
      <c r="B58" s="61" t="s">
        <v>33</v>
      </c>
      <c r="C58" s="22" t="s">
        <v>410</v>
      </c>
      <c r="D58" s="61" t="s">
        <v>61</v>
      </c>
      <c r="E58" s="61" t="s">
        <v>61</v>
      </c>
      <c r="F58" s="33" t="s">
        <v>359</v>
      </c>
      <c r="G58" s="33" t="s">
        <v>364</v>
      </c>
      <c r="H58" s="33" t="s">
        <v>360</v>
      </c>
      <c r="I58" s="33">
        <v>10</v>
      </c>
      <c r="J58" s="33"/>
      <c r="K58" s="91"/>
      <c r="L58" s="92"/>
      <c r="M58" s="91"/>
      <c r="N58" s="91"/>
      <c r="O58" s="92"/>
      <c r="P58" s="91"/>
      <c r="Q58" s="91"/>
      <c r="R58" s="92"/>
      <c r="S58" s="38"/>
      <c r="T58" s="38"/>
      <c r="U58" s="92"/>
      <c r="V58" s="38"/>
      <c r="W58" s="38"/>
      <c r="X58" s="92"/>
      <c r="Y58" s="38"/>
      <c r="Z58" s="38"/>
      <c r="AA58" s="92"/>
      <c r="AB58" s="38"/>
      <c r="AC58" s="38"/>
      <c r="AD58" s="92"/>
      <c r="AE58" s="22"/>
      <c r="AF58" s="22"/>
      <c r="AG58" s="92"/>
      <c r="AH58" s="22"/>
      <c r="AI58" s="22"/>
      <c r="AJ58" s="92"/>
      <c r="AK58" s="22"/>
      <c r="AL58" s="22"/>
      <c r="AM58" s="92"/>
      <c r="AN58" s="22"/>
      <c r="AO58" s="22"/>
      <c r="AP58" s="92"/>
      <c r="AQ58" s="22"/>
      <c r="AR58" s="22">
        <v>6000</v>
      </c>
      <c r="AS58" s="92" t="e">
        <f t="shared" si="21"/>
        <v>#DIV/0!</v>
      </c>
      <c r="AT58" s="22">
        <f t="shared" si="22"/>
        <v>0</v>
      </c>
      <c r="AU58" s="22">
        <f t="shared" si="23"/>
        <v>6000</v>
      </c>
      <c r="AV58" s="92" t="e">
        <f t="shared" si="24"/>
        <v>#DIV/0!</v>
      </c>
      <c r="AW58" s="38"/>
      <c r="AX58" s="38">
        <v>13570</v>
      </c>
      <c r="AY58" s="92" t="e">
        <f t="shared" si="25"/>
        <v>#DIV/0!</v>
      </c>
      <c r="AZ58" s="38">
        <f t="shared" si="26"/>
        <v>0</v>
      </c>
      <c r="BA58" s="38">
        <f t="shared" si="27"/>
        <v>19570</v>
      </c>
      <c r="BB58" s="92" t="e">
        <f t="shared" si="28"/>
        <v>#DIV/0!</v>
      </c>
      <c r="BC58" s="38"/>
      <c r="BD58" s="38">
        <v>78615.12</v>
      </c>
      <c r="BE58" s="92" t="e">
        <f t="shared" si="29"/>
        <v>#DIV/0!</v>
      </c>
      <c r="BF58" s="38">
        <f t="shared" si="30"/>
        <v>0</v>
      </c>
      <c r="BG58" s="38">
        <f t="shared" si="31"/>
        <v>98185.12</v>
      </c>
      <c r="BH58" s="92" t="e">
        <f t="shared" si="32"/>
        <v>#DIV/0!</v>
      </c>
      <c r="BI58" s="22"/>
      <c r="BJ58" s="22"/>
      <c r="BK58" s="22"/>
      <c r="BL58" s="22"/>
      <c r="BM58" s="96">
        <f t="shared" si="33"/>
        <v>0.98185120000000004</v>
      </c>
      <c r="BN58" s="22"/>
    </row>
    <row r="59" spans="1:66">
      <c r="A59" s="61" t="s">
        <v>33</v>
      </c>
      <c r="B59" s="61" t="s">
        <v>33</v>
      </c>
      <c r="C59" s="22" t="s">
        <v>411</v>
      </c>
      <c r="D59" s="61" t="s">
        <v>61</v>
      </c>
      <c r="E59" s="61" t="s">
        <v>61</v>
      </c>
      <c r="F59" s="61" t="s">
        <v>366</v>
      </c>
      <c r="G59" s="61" t="s">
        <v>366</v>
      </c>
      <c r="H59" s="33" t="s">
        <v>360</v>
      </c>
      <c r="I59" s="33">
        <v>10</v>
      </c>
      <c r="J59" s="33"/>
      <c r="K59" s="91"/>
      <c r="L59" s="92"/>
      <c r="M59" s="91"/>
      <c r="N59" s="91"/>
      <c r="O59" s="92"/>
      <c r="P59" s="91"/>
      <c r="Q59" s="91"/>
      <c r="R59" s="92"/>
      <c r="S59" s="38"/>
      <c r="T59" s="38"/>
      <c r="U59" s="92"/>
      <c r="V59" s="38"/>
      <c r="W59" s="38"/>
      <c r="X59" s="92"/>
      <c r="Y59" s="38"/>
      <c r="Z59" s="38"/>
      <c r="AA59" s="92"/>
      <c r="AB59" s="38"/>
      <c r="AC59" s="38"/>
      <c r="AD59" s="92"/>
      <c r="AE59" s="22"/>
      <c r="AF59" s="22"/>
      <c r="AG59" s="92"/>
      <c r="AH59" s="22"/>
      <c r="AI59" s="22"/>
      <c r="AJ59" s="92"/>
      <c r="AK59" s="22"/>
      <c r="AL59" s="22"/>
      <c r="AM59" s="92"/>
      <c r="AN59" s="22"/>
      <c r="AO59" s="22"/>
      <c r="AP59" s="92"/>
      <c r="AQ59" s="22"/>
      <c r="AR59" s="22">
        <v>4400</v>
      </c>
      <c r="AS59" s="92" t="e">
        <f t="shared" si="21"/>
        <v>#DIV/0!</v>
      </c>
      <c r="AT59" s="22">
        <f t="shared" si="22"/>
        <v>0</v>
      </c>
      <c r="AU59" s="22">
        <f t="shared" si="23"/>
        <v>4400</v>
      </c>
      <c r="AV59" s="92" t="e">
        <f t="shared" si="24"/>
        <v>#DIV/0!</v>
      </c>
      <c r="AW59" s="38"/>
      <c r="AX59" s="38">
        <v>26893</v>
      </c>
      <c r="AY59" s="92" t="e">
        <f t="shared" si="25"/>
        <v>#DIV/0!</v>
      </c>
      <c r="AZ59" s="38">
        <f t="shared" si="26"/>
        <v>0</v>
      </c>
      <c r="BA59" s="38">
        <f t="shared" si="27"/>
        <v>31293</v>
      </c>
      <c r="BB59" s="92" t="e">
        <f t="shared" si="28"/>
        <v>#DIV/0!</v>
      </c>
      <c r="BC59" s="38"/>
      <c r="BD59" s="38"/>
      <c r="BE59" s="92" t="e">
        <f t="shared" si="29"/>
        <v>#DIV/0!</v>
      </c>
      <c r="BF59" s="38">
        <f t="shared" si="30"/>
        <v>0</v>
      </c>
      <c r="BG59" s="38">
        <f t="shared" si="31"/>
        <v>31293</v>
      </c>
      <c r="BH59" s="92" t="e">
        <f t="shared" si="32"/>
        <v>#DIV/0!</v>
      </c>
      <c r="BI59" s="22"/>
      <c r="BJ59" s="22"/>
      <c r="BK59" s="22"/>
      <c r="BL59" s="22"/>
      <c r="BM59" s="96">
        <f t="shared" si="33"/>
        <v>0.31292999999999999</v>
      </c>
      <c r="BN59" s="22"/>
    </row>
    <row r="60" spans="1:66">
      <c r="A60" s="61" t="s">
        <v>33</v>
      </c>
      <c r="B60" s="61" t="s">
        <v>33</v>
      </c>
      <c r="C60" s="22" t="s">
        <v>412</v>
      </c>
      <c r="D60" s="61" t="s">
        <v>61</v>
      </c>
      <c r="E60" s="61" t="s">
        <v>61</v>
      </c>
      <c r="F60" s="61" t="s">
        <v>366</v>
      </c>
      <c r="G60" s="61" t="s">
        <v>366</v>
      </c>
      <c r="H60" s="33" t="s">
        <v>360</v>
      </c>
      <c r="I60" s="33">
        <v>10</v>
      </c>
      <c r="J60" s="33"/>
      <c r="K60" s="91"/>
      <c r="L60" s="92"/>
      <c r="M60" s="91"/>
      <c r="N60" s="91"/>
      <c r="O60" s="92"/>
      <c r="P60" s="91"/>
      <c r="Q60" s="91"/>
      <c r="R60" s="92"/>
      <c r="S60" s="38"/>
      <c r="T60" s="38"/>
      <c r="U60" s="92"/>
      <c r="V60" s="38"/>
      <c r="W60" s="38"/>
      <c r="X60" s="92"/>
      <c r="Y60" s="38"/>
      <c r="Z60" s="38"/>
      <c r="AA60" s="92"/>
      <c r="AB60" s="38"/>
      <c r="AC60" s="38"/>
      <c r="AD60" s="92"/>
      <c r="AE60" s="22"/>
      <c r="AF60" s="22"/>
      <c r="AG60" s="92"/>
      <c r="AH60" s="22"/>
      <c r="AI60" s="22"/>
      <c r="AJ60" s="92"/>
      <c r="AK60" s="22"/>
      <c r="AL60" s="22"/>
      <c r="AM60" s="92"/>
      <c r="AN60" s="22"/>
      <c r="AO60" s="22"/>
      <c r="AP60" s="92"/>
      <c r="AQ60" s="22"/>
      <c r="AR60" s="22">
        <v>25421.52</v>
      </c>
      <c r="AS60" s="92" t="e">
        <f t="shared" si="21"/>
        <v>#DIV/0!</v>
      </c>
      <c r="AT60" s="22">
        <f t="shared" si="22"/>
        <v>0</v>
      </c>
      <c r="AU60" s="22">
        <f t="shared" si="23"/>
        <v>25421.52</v>
      </c>
      <c r="AV60" s="92" t="e">
        <f t="shared" si="24"/>
        <v>#DIV/0!</v>
      </c>
      <c r="AW60" s="38"/>
      <c r="AX60" s="38">
        <v>8776</v>
      </c>
      <c r="AY60" s="92" t="e">
        <f t="shared" si="25"/>
        <v>#DIV/0!</v>
      </c>
      <c r="AZ60" s="38">
        <f t="shared" si="26"/>
        <v>0</v>
      </c>
      <c r="BA60" s="38">
        <f t="shared" si="27"/>
        <v>34197.519999999997</v>
      </c>
      <c r="BB60" s="92" t="e">
        <f t="shared" si="28"/>
        <v>#DIV/0!</v>
      </c>
      <c r="BC60" s="38"/>
      <c r="BD60" s="38">
        <v>23065</v>
      </c>
      <c r="BE60" s="92" t="e">
        <f t="shared" si="29"/>
        <v>#DIV/0!</v>
      </c>
      <c r="BF60" s="38">
        <f t="shared" si="30"/>
        <v>0</v>
      </c>
      <c r="BG60" s="38">
        <f t="shared" si="31"/>
        <v>57262.52</v>
      </c>
      <c r="BH60" s="92" t="e">
        <f t="shared" si="32"/>
        <v>#DIV/0!</v>
      </c>
      <c r="BI60" s="22"/>
      <c r="BJ60" s="22"/>
      <c r="BK60" s="22"/>
      <c r="BL60" s="22"/>
      <c r="BM60" s="96">
        <f t="shared" si="33"/>
        <v>0.57262519999999995</v>
      </c>
      <c r="BN60" s="22"/>
    </row>
    <row r="61" spans="1:66">
      <c r="A61" s="61" t="s">
        <v>33</v>
      </c>
      <c r="B61" s="61" t="s">
        <v>33</v>
      </c>
      <c r="C61" s="22" t="s">
        <v>413</v>
      </c>
      <c r="D61" s="61" t="s">
        <v>61</v>
      </c>
      <c r="E61" s="61" t="s">
        <v>61</v>
      </c>
      <c r="F61" s="176" t="s">
        <v>347</v>
      </c>
      <c r="G61" s="176" t="s">
        <v>347</v>
      </c>
      <c r="H61" s="33" t="s">
        <v>348</v>
      </c>
      <c r="I61" s="33"/>
      <c r="J61" s="33"/>
      <c r="K61" s="91"/>
      <c r="L61" s="92"/>
      <c r="M61" s="91"/>
      <c r="N61" s="91"/>
      <c r="O61" s="92"/>
      <c r="P61" s="91"/>
      <c r="Q61" s="91"/>
      <c r="R61" s="92"/>
      <c r="S61" s="38"/>
      <c r="T61" s="38"/>
      <c r="U61" s="92"/>
      <c r="V61" s="38"/>
      <c r="W61" s="38"/>
      <c r="X61" s="92"/>
      <c r="Y61" s="38"/>
      <c r="Z61" s="38"/>
      <c r="AA61" s="92"/>
      <c r="AB61" s="38"/>
      <c r="AC61" s="38"/>
      <c r="AD61" s="92"/>
      <c r="AE61" s="22"/>
      <c r="AF61" s="22"/>
      <c r="AG61" s="92"/>
      <c r="AH61" s="22"/>
      <c r="AI61" s="22"/>
      <c r="AJ61" s="92"/>
      <c r="AK61" s="22"/>
      <c r="AL61" s="22"/>
      <c r="AM61" s="92"/>
      <c r="AN61" s="22"/>
      <c r="AO61" s="22"/>
      <c r="AP61" s="92"/>
      <c r="AQ61" s="22"/>
      <c r="AR61" s="22"/>
      <c r="AS61" s="92"/>
      <c r="AT61" s="22"/>
      <c r="AU61" s="22"/>
      <c r="AV61" s="92"/>
      <c r="AW61" s="38"/>
      <c r="AX61" s="38">
        <v>6550</v>
      </c>
      <c r="AY61" s="92" t="e">
        <f t="shared" si="25"/>
        <v>#DIV/0!</v>
      </c>
      <c r="AZ61" s="38">
        <f t="shared" si="26"/>
        <v>0</v>
      </c>
      <c r="BA61" s="38">
        <f t="shared" si="27"/>
        <v>6550</v>
      </c>
      <c r="BB61" s="92" t="e">
        <f t="shared" si="28"/>
        <v>#DIV/0!</v>
      </c>
      <c r="BC61" s="38"/>
      <c r="BD61" s="38">
        <v>13100</v>
      </c>
      <c r="BE61" s="92" t="e">
        <f t="shared" si="29"/>
        <v>#DIV/0!</v>
      </c>
      <c r="BF61" s="38">
        <f t="shared" si="30"/>
        <v>0</v>
      </c>
      <c r="BG61" s="38">
        <f t="shared" si="31"/>
        <v>19650</v>
      </c>
      <c r="BH61" s="92" t="e">
        <f t="shared" si="32"/>
        <v>#DIV/0!</v>
      </c>
      <c r="BI61" s="22"/>
      <c r="BJ61" s="22"/>
      <c r="BK61" s="22"/>
      <c r="BL61" s="22"/>
      <c r="BM61" s="96" t="e">
        <f t="shared" si="33"/>
        <v>#DIV/0!</v>
      </c>
      <c r="BN61" s="22"/>
    </row>
    <row r="62" spans="1:66">
      <c r="A62" s="80"/>
      <c r="B62" s="80"/>
      <c r="C62" s="33" t="s">
        <v>31</v>
      </c>
      <c r="D62" s="33"/>
      <c r="E62" s="33"/>
      <c r="F62" s="33"/>
      <c r="G62" s="33"/>
      <c r="H62" s="33"/>
      <c r="I62" s="93">
        <f>SUBTOTAL(9,I3:I61)</f>
        <v>2220</v>
      </c>
      <c r="J62" s="93">
        <f t="shared" ref="J62:N62" si="34">SUBTOTAL(9,J3:J55)</f>
        <v>1971859.46</v>
      </c>
      <c r="K62" s="93">
        <f t="shared" si="34"/>
        <v>1683228.28</v>
      </c>
      <c r="L62" s="92">
        <f>K62/J62-1</f>
        <v>-0.14637512756613999</v>
      </c>
      <c r="M62" s="93">
        <f t="shared" si="34"/>
        <v>862585.12</v>
      </c>
      <c r="N62" s="93">
        <f t="shared" si="34"/>
        <v>832659.54</v>
      </c>
      <c r="O62" s="92">
        <f>N62/M62-1</f>
        <v>-3.4692900800329197E-2</v>
      </c>
      <c r="P62" s="93">
        <f t="shared" ref="P62:T62" si="35">SUBTOTAL(9,P3:P55)</f>
        <v>2834444.58</v>
      </c>
      <c r="Q62" s="93">
        <f t="shared" si="35"/>
        <v>2515887.8199999998</v>
      </c>
      <c r="R62" s="92">
        <f>Q62/P62-1</f>
        <v>-0.11238771865491901</v>
      </c>
      <c r="S62" s="93">
        <f t="shared" si="35"/>
        <v>1454016.01</v>
      </c>
      <c r="T62" s="93">
        <f t="shared" si="35"/>
        <v>2188918.41</v>
      </c>
      <c r="U62" s="92">
        <f>T62/S62-1</f>
        <v>0.50542937281687905</v>
      </c>
      <c r="V62" s="93">
        <f t="shared" ref="V62:Z62" si="36">SUBTOTAL(9,V3:V55)</f>
        <v>4288460.59</v>
      </c>
      <c r="W62" s="93">
        <f t="shared" si="36"/>
        <v>4704806.2300000004</v>
      </c>
      <c r="X62" s="92">
        <f>W62/V62-1</f>
        <v>9.7085103445010396E-2</v>
      </c>
      <c r="Y62" s="93">
        <f t="shared" si="36"/>
        <v>1189993.77</v>
      </c>
      <c r="Z62" s="93">
        <f t="shared" si="36"/>
        <v>1508708.25</v>
      </c>
      <c r="AA62" s="92">
        <f>Z62/Y62-1</f>
        <v>0.26782869627964501</v>
      </c>
      <c r="AB62" s="93">
        <f t="shared" ref="AB62:AF62" si="37">SUBTOTAL(9,AB3:AB55)</f>
        <v>5478454.3600000003</v>
      </c>
      <c r="AC62" s="93">
        <f t="shared" si="37"/>
        <v>6213514.4800000004</v>
      </c>
      <c r="AD62" s="92">
        <f>AC62/AB62-1</f>
        <v>0.13417290200807599</v>
      </c>
      <c r="AE62" s="93">
        <f t="shared" si="37"/>
        <v>1649605.21</v>
      </c>
      <c r="AF62" s="93">
        <f t="shared" si="37"/>
        <v>1736224.19</v>
      </c>
      <c r="AG62" s="92">
        <f>AF62/AE62-1</f>
        <v>5.2508915148249402E-2</v>
      </c>
      <c r="AH62" s="93">
        <f t="shared" ref="AH62:AL62" si="38">SUBTOTAL(9,AH3:AH55)</f>
        <v>7128059.5700000003</v>
      </c>
      <c r="AI62" s="93">
        <f t="shared" si="38"/>
        <v>7949738.6699999999</v>
      </c>
      <c r="AJ62" s="92">
        <f>AI62/AH62-1</f>
        <v>0.11527388231409</v>
      </c>
      <c r="AK62" s="93">
        <f t="shared" si="38"/>
        <v>1202502.8400000001</v>
      </c>
      <c r="AL62" s="93">
        <f t="shared" si="38"/>
        <v>2136560.09</v>
      </c>
      <c r="AM62" s="92">
        <f>AL62/AK62-1</f>
        <v>0.77676095135043499</v>
      </c>
      <c r="AN62" s="93">
        <f>SUBTOTAL(9,AN3:AN55)</f>
        <v>8330562.4100000001</v>
      </c>
      <c r="AO62" s="93">
        <f>SUBTOTAL(9,AO3:AO55)</f>
        <v>10086298.76</v>
      </c>
      <c r="AP62" s="92">
        <f>AO62/AN62-1</f>
        <v>0.21075844145797601</v>
      </c>
      <c r="AQ62" s="93">
        <f t="shared" ref="AQ62:AU62" si="39">SUBTOTAL(9,AQ3:AQ60)</f>
        <v>1775233.87</v>
      </c>
      <c r="AR62" s="93">
        <f t="shared" si="39"/>
        <v>1520600.24</v>
      </c>
      <c r="AS62" s="92">
        <f>AR62/AQ62-1</f>
        <v>-0.14343666730513599</v>
      </c>
      <c r="AT62" s="93">
        <f t="shared" si="39"/>
        <v>10105796.279999999</v>
      </c>
      <c r="AU62" s="93">
        <f t="shared" si="39"/>
        <v>11606899</v>
      </c>
      <c r="AV62" s="92">
        <f>AU62/AT62-1</f>
        <v>0.14853878689112099</v>
      </c>
      <c r="AW62" s="93">
        <f t="shared" ref="AW62:BA62" si="40">SUBTOTAL(9,AW3:AW61)</f>
        <v>1110802.6000000001</v>
      </c>
      <c r="AX62" s="93">
        <f t="shared" si="40"/>
        <v>748570.86</v>
      </c>
      <c r="AY62" s="92">
        <f t="shared" si="25"/>
        <v>-0.32609911067907099</v>
      </c>
      <c r="AZ62" s="93">
        <f t="shared" si="40"/>
        <v>11216598.880000001</v>
      </c>
      <c r="BA62" s="93">
        <f t="shared" si="40"/>
        <v>12355469.859999999</v>
      </c>
      <c r="BB62" s="92">
        <f t="shared" si="28"/>
        <v>0.101534430551019</v>
      </c>
      <c r="BC62" s="93">
        <f t="shared" ref="BC62:BG62" si="41">SUBTOTAL(9,BC3:BC61)</f>
        <v>2053571.01</v>
      </c>
      <c r="BD62" s="93">
        <f t="shared" si="41"/>
        <v>1180401.6499999999</v>
      </c>
      <c r="BE62" s="92">
        <f t="shared" si="29"/>
        <v>-0.42519560110073801</v>
      </c>
      <c r="BF62" s="93">
        <f t="shared" si="41"/>
        <v>13270169.890000001</v>
      </c>
      <c r="BG62" s="93">
        <f t="shared" si="41"/>
        <v>13535871.51</v>
      </c>
      <c r="BH62" s="92">
        <f t="shared" si="32"/>
        <v>2.0022473126001701E-2</v>
      </c>
      <c r="BI62" s="95">
        <v>2117929.23</v>
      </c>
      <c r="BJ62" s="95">
        <v>3533210.09</v>
      </c>
      <c r="BK62" s="95">
        <v>3045871.87</v>
      </c>
      <c r="BL62" s="95">
        <v>21967181.079999998</v>
      </c>
      <c r="BM62" s="96">
        <f t="shared" si="33"/>
        <v>0.60972394189189205</v>
      </c>
      <c r="BN62" s="22"/>
    </row>
    <row r="63" spans="1:66">
      <c r="A63" s="32"/>
      <c r="B63" s="32"/>
      <c r="C63" s="90"/>
      <c r="D63" s="32"/>
      <c r="E63" s="32"/>
      <c r="F63" s="32"/>
      <c r="G63" s="32"/>
      <c r="H63" s="32"/>
      <c r="I63" s="32"/>
      <c r="J63" s="94"/>
      <c r="K63" s="94"/>
      <c r="L63" s="94"/>
      <c r="M63" s="94"/>
      <c r="N63" s="94"/>
      <c r="O63" s="94"/>
      <c r="P63" s="94"/>
      <c r="Q63" s="94"/>
      <c r="R63" s="94"/>
      <c r="S63" s="32"/>
      <c r="T63" s="32"/>
      <c r="U63" s="32"/>
      <c r="V63" s="32"/>
      <c r="W63" s="32"/>
      <c r="X63" s="32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4"/>
      <c r="AK63" s="94"/>
      <c r="AL63" s="94"/>
      <c r="AM63" s="94"/>
      <c r="AN63" s="94"/>
      <c r="AO63" s="94"/>
      <c r="AP63" s="94"/>
      <c r="AQ63" s="94"/>
      <c r="AR63" s="94"/>
      <c r="AS63" s="9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</row>
  </sheetData>
  <mergeCells count="42">
    <mergeCell ref="S1:T1"/>
    <mergeCell ref="V1:W1"/>
    <mergeCell ref="U1:U2"/>
    <mergeCell ref="X1:X2"/>
    <mergeCell ref="AA1:AA2"/>
    <mergeCell ref="AD1:AD2"/>
    <mergeCell ref="AN1:AO1"/>
    <mergeCell ref="Y1:Z1"/>
    <mergeCell ref="AB1:AC1"/>
    <mergeCell ref="AE1:AF1"/>
    <mergeCell ref="AH1:AI1"/>
    <mergeCell ref="AK1:AL1"/>
    <mergeCell ref="AG1:AG2"/>
    <mergeCell ref="AJ1:AJ2"/>
    <mergeCell ref="H1:H2"/>
    <mergeCell ref="I1:I2"/>
    <mergeCell ref="L1:L2"/>
    <mergeCell ref="O1:O2"/>
    <mergeCell ref="R1:R2"/>
    <mergeCell ref="J1:K1"/>
    <mergeCell ref="M1:N1"/>
    <mergeCell ref="P1:Q1"/>
    <mergeCell ref="C1:C2"/>
    <mergeCell ref="D1:D2"/>
    <mergeCell ref="E1:E2"/>
    <mergeCell ref="F1:F2"/>
    <mergeCell ref="G1:G2"/>
    <mergeCell ref="BB1:BB2"/>
    <mergeCell ref="BE1:BE2"/>
    <mergeCell ref="BH1:BH2"/>
    <mergeCell ref="BM1:BM2"/>
    <mergeCell ref="AM1:AM2"/>
    <mergeCell ref="AP1:AP2"/>
    <mergeCell ref="AS1:AS2"/>
    <mergeCell ref="AV1:AV2"/>
    <mergeCell ref="AY1:AY2"/>
    <mergeCell ref="BC1:BD1"/>
    <mergeCell ref="BF1:BG1"/>
    <mergeCell ref="AQ1:AR1"/>
    <mergeCell ref="AT1:AU1"/>
    <mergeCell ref="AW1:AX1"/>
    <mergeCell ref="AZ1:BA1"/>
  </mergeCells>
  <phoneticPr fontId="32" type="noConversion"/>
  <pageMargins left="0.75" right="0.75" top="1" bottom="1" header="0.5" footer="0.5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BM84"/>
  <sheetViews>
    <sheetView workbookViewId="0">
      <pane xSplit="9" ySplit="2" topLeftCell="BB3" activePane="bottomRight" state="frozen"/>
      <selection pane="topRight"/>
      <selection pane="bottomLeft"/>
      <selection pane="bottomRight" activeCell="H32" sqref="A1:BM84"/>
    </sheetView>
  </sheetViews>
  <sheetFormatPr baseColWidth="10" defaultColWidth="9" defaultRowHeight="13"/>
  <cols>
    <col min="1" max="1" width="4.6640625" style="1" customWidth="1"/>
    <col min="2" max="2" width="4.83203125" style="1" customWidth="1"/>
    <col min="3" max="3" width="30.6640625" style="49" customWidth="1"/>
    <col min="4" max="5" width="9.1640625" style="1" customWidth="1"/>
    <col min="6" max="6" width="10.6640625" style="1" customWidth="1"/>
    <col min="7" max="7" width="7.1640625" style="1" hidden="1" customWidth="1"/>
    <col min="8" max="8" width="7.1640625" style="1" customWidth="1"/>
    <col min="9" max="9" width="7.1640625" style="50" customWidth="1"/>
    <col min="10" max="12" width="11.33203125" style="1" customWidth="1"/>
    <col min="13" max="18" width="9" style="50" customWidth="1"/>
    <col min="19" max="24" width="10" style="1" customWidth="1"/>
    <col min="25" max="30" width="9" style="1" customWidth="1"/>
    <col min="31" max="36" width="9" style="50" customWidth="1"/>
    <col min="37" max="42" width="10.33203125" style="50" customWidth="1"/>
    <col min="43" max="48" width="11.33203125" style="51" customWidth="1"/>
    <col min="49" max="54" width="9" style="50" customWidth="1"/>
    <col min="55" max="60" width="10.33203125" style="50" customWidth="1"/>
    <col min="61" max="61" width="14.1640625" style="51" hidden="1" customWidth="1"/>
    <col min="62" max="62" width="11.1640625" style="50" hidden="1" customWidth="1"/>
    <col min="63" max="63" width="10.83203125" style="50" hidden="1" customWidth="1"/>
    <col min="64" max="64" width="12.1640625" style="50" hidden="1" customWidth="1"/>
    <col min="65" max="65" width="9" style="1" customWidth="1"/>
    <col min="66" max="16384" width="9" style="1"/>
  </cols>
  <sheetData>
    <row r="1" spans="1:65" ht="12" customHeight="1">
      <c r="A1" s="52"/>
      <c r="B1" s="53"/>
      <c r="C1" s="225" t="s">
        <v>132</v>
      </c>
      <c r="D1" s="225" t="s">
        <v>47</v>
      </c>
      <c r="E1" s="225" t="s">
        <v>48</v>
      </c>
      <c r="F1" s="225" t="s">
        <v>49</v>
      </c>
      <c r="G1" s="225" t="s">
        <v>50</v>
      </c>
      <c r="H1" s="225" t="s">
        <v>51</v>
      </c>
      <c r="I1" s="230" t="s">
        <v>38</v>
      </c>
      <c r="J1" s="205" t="s">
        <v>3</v>
      </c>
      <c r="K1" s="206"/>
      <c r="L1" s="203" t="s">
        <v>4</v>
      </c>
      <c r="M1" s="225" t="s">
        <v>5</v>
      </c>
      <c r="N1" s="225"/>
      <c r="O1" s="229" t="s">
        <v>4</v>
      </c>
      <c r="P1" s="225" t="s">
        <v>39</v>
      </c>
      <c r="Q1" s="225"/>
      <c r="R1" s="229" t="s">
        <v>4</v>
      </c>
      <c r="S1" s="225" t="s">
        <v>6</v>
      </c>
      <c r="T1" s="225"/>
      <c r="U1" s="229" t="s">
        <v>4</v>
      </c>
      <c r="V1" s="225" t="s">
        <v>7</v>
      </c>
      <c r="W1" s="225"/>
      <c r="X1" s="229" t="s">
        <v>4</v>
      </c>
      <c r="Y1" s="225" t="s">
        <v>8</v>
      </c>
      <c r="Z1" s="225"/>
      <c r="AA1" s="229" t="s">
        <v>4</v>
      </c>
      <c r="AB1" s="225" t="s">
        <v>9</v>
      </c>
      <c r="AC1" s="225"/>
      <c r="AD1" s="229" t="s">
        <v>4</v>
      </c>
      <c r="AE1" s="225" t="s">
        <v>10</v>
      </c>
      <c r="AF1" s="225"/>
      <c r="AG1" s="229" t="s">
        <v>4</v>
      </c>
      <c r="AH1" s="225" t="s">
        <v>11</v>
      </c>
      <c r="AI1" s="225"/>
      <c r="AJ1" s="229" t="s">
        <v>4</v>
      </c>
      <c r="AK1" s="225" t="s">
        <v>12</v>
      </c>
      <c r="AL1" s="225"/>
      <c r="AM1" s="229" t="s">
        <v>4</v>
      </c>
      <c r="AN1" s="225" t="s">
        <v>13</v>
      </c>
      <c r="AO1" s="225"/>
      <c r="AP1" s="229" t="s">
        <v>4</v>
      </c>
      <c r="AQ1" s="197" t="s">
        <v>14</v>
      </c>
      <c r="AR1" s="197"/>
      <c r="AS1" s="196" t="s">
        <v>4</v>
      </c>
      <c r="AT1" s="197" t="s">
        <v>15</v>
      </c>
      <c r="AU1" s="197"/>
      <c r="AV1" s="187" t="s">
        <v>4</v>
      </c>
      <c r="AW1" s="197" t="s">
        <v>16</v>
      </c>
      <c r="AX1" s="197"/>
      <c r="AY1" s="196" t="s">
        <v>4</v>
      </c>
      <c r="AZ1" s="197" t="s">
        <v>17</v>
      </c>
      <c r="BA1" s="197"/>
      <c r="BB1" s="187" t="s">
        <v>4</v>
      </c>
      <c r="BC1" s="191" t="s">
        <v>18</v>
      </c>
      <c r="BD1" s="192"/>
      <c r="BE1" s="187" t="s">
        <v>4</v>
      </c>
      <c r="BF1" s="191" t="s">
        <v>19</v>
      </c>
      <c r="BG1" s="192"/>
      <c r="BH1" s="187" t="s">
        <v>4</v>
      </c>
      <c r="BI1" s="64" t="s">
        <v>40</v>
      </c>
      <c r="BJ1" s="64" t="s">
        <v>41</v>
      </c>
      <c r="BK1" s="64" t="s">
        <v>42</v>
      </c>
      <c r="BL1" s="64" t="s">
        <v>133</v>
      </c>
      <c r="BM1" s="203" t="s">
        <v>211</v>
      </c>
    </row>
    <row r="2" spans="1:65" ht="12" customHeight="1">
      <c r="A2" s="52"/>
      <c r="B2" s="53"/>
      <c r="C2" s="225"/>
      <c r="D2" s="225"/>
      <c r="E2" s="225"/>
      <c r="F2" s="225"/>
      <c r="G2" s="225"/>
      <c r="H2" s="225"/>
      <c r="I2" s="231"/>
      <c r="J2" s="63" t="s">
        <v>21</v>
      </c>
      <c r="K2" s="64" t="s">
        <v>22</v>
      </c>
      <c r="L2" s="204"/>
      <c r="M2" s="65" t="s">
        <v>21</v>
      </c>
      <c r="N2" s="65" t="s">
        <v>22</v>
      </c>
      <c r="O2" s="229"/>
      <c r="P2" s="65" t="s">
        <v>21</v>
      </c>
      <c r="Q2" s="65" t="s">
        <v>22</v>
      </c>
      <c r="R2" s="229"/>
      <c r="S2" s="65" t="s">
        <v>21</v>
      </c>
      <c r="T2" s="65" t="s">
        <v>22</v>
      </c>
      <c r="U2" s="229"/>
      <c r="V2" s="65" t="s">
        <v>21</v>
      </c>
      <c r="W2" s="65" t="s">
        <v>22</v>
      </c>
      <c r="X2" s="229"/>
      <c r="Y2" s="65" t="s">
        <v>21</v>
      </c>
      <c r="Z2" s="65" t="s">
        <v>22</v>
      </c>
      <c r="AA2" s="229"/>
      <c r="AB2" s="65" t="s">
        <v>21</v>
      </c>
      <c r="AC2" s="65" t="s">
        <v>22</v>
      </c>
      <c r="AD2" s="229"/>
      <c r="AE2" s="65" t="s">
        <v>21</v>
      </c>
      <c r="AF2" s="65" t="s">
        <v>22</v>
      </c>
      <c r="AG2" s="229"/>
      <c r="AH2" s="65" t="s">
        <v>21</v>
      </c>
      <c r="AI2" s="65" t="s">
        <v>22</v>
      </c>
      <c r="AJ2" s="229"/>
      <c r="AK2" s="65" t="s">
        <v>21</v>
      </c>
      <c r="AL2" s="65" t="s">
        <v>22</v>
      </c>
      <c r="AM2" s="229"/>
      <c r="AN2" s="65" t="s">
        <v>21</v>
      </c>
      <c r="AO2" s="65" t="s">
        <v>22</v>
      </c>
      <c r="AP2" s="229"/>
      <c r="AQ2" s="35" t="s">
        <v>21</v>
      </c>
      <c r="AR2" s="35" t="s">
        <v>22</v>
      </c>
      <c r="AS2" s="196"/>
      <c r="AT2" s="35" t="s">
        <v>21</v>
      </c>
      <c r="AU2" s="35" t="s">
        <v>22</v>
      </c>
      <c r="AV2" s="187"/>
      <c r="AW2" s="35" t="s">
        <v>21</v>
      </c>
      <c r="AX2" s="35" t="s">
        <v>22</v>
      </c>
      <c r="AY2" s="196"/>
      <c r="AZ2" s="35" t="s">
        <v>21</v>
      </c>
      <c r="BA2" s="35" t="s">
        <v>22</v>
      </c>
      <c r="BB2" s="187"/>
      <c r="BC2" s="35" t="s">
        <v>21</v>
      </c>
      <c r="BD2" s="35" t="s">
        <v>22</v>
      </c>
      <c r="BE2" s="187"/>
      <c r="BF2" s="35" t="s">
        <v>21</v>
      </c>
      <c r="BG2" s="35" t="s">
        <v>22</v>
      </c>
      <c r="BH2" s="187"/>
      <c r="BI2" s="61" t="s">
        <v>21</v>
      </c>
      <c r="BJ2" s="61" t="s">
        <v>21</v>
      </c>
      <c r="BK2" s="61" t="s">
        <v>21</v>
      </c>
      <c r="BL2" s="61" t="s">
        <v>21</v>
      </c>
      <c r="BM2" s="218"/>
    </row>
    <row r="3" spans="1:65" ht="12" customHeight="1">
      <c r="A3" s="52" t="s">
        <v>414</v>
      </c>
      <c r="B3" s="53" t="s">
        <v>414</v>
      </c>
      <c r="C3" s="54" t="s">
        <v>415</v>
      </c>
      <c r="D3" s="55" t="s">
        <v>61</v>
      </c>
      <c r="E3" s="55" t="s">
        <v>61</v>
      </c>
      <c r="F3" s="181" t="s">
        <v>416</v>
      </c>
      <c r="G3" s="182" t="s">
        <v>416</v>
      </c>
      <c r="H3" s="53" t="s">
        <v>417</v>
      </c>
      <c r="I3" s="53">
        <v>15</v>
      </c>
      <c r="J3" s="61">
        <v>30174</v>
      </c>
      <c r="K3" s="61">
        <v>7600</v>
      </c>
      <c r="L3" s="66">
        <f t="shared" ref="L3:L65" si="0">K3/J3-1</f>
        <v>-0.74812752701000895</v>
      </c>
      <c r="M3" s="61">
        <v>7610</v>
      </c>
      <c r="N3" s="61">
        <v>4500</v>
      </c>
      <c r="O3" s="66">
        <f t="shared" ref="O3:O65" si="1">N3/M3-1</f>
        <v>-0.40867279894875203</v>
      </c>
      <c r="P3" s="61">
        <f t="shared" ref="P3:P65" si="2">M3+J3</f>
        <v>37784</v>
      </c>
      <c r="Q3" s="61">
        <f t="shared" ref="Q3:Q65" si="3">N3+K3</f>
        <v>12100</v>
      </c>
      <c r="R3" s="66">
        <f t="shared" ref="R3:R65" si="4">Q3/P3-1</f>
        <v>-0.67975862799068398</v>
      </c>
      <c r="S3" s="67">
        <v>4780</v>
      </c>
      <c r="T3" s="67"/>
      <c r="U3" s="66">
        <f t="shared" ref="U3:U65" si="5">T3/S3-1</f>
        <v>-1</v>
      </c>
      <c r="V3" s="68">
        <f t="shared" ref="V3:V65" si="6">S3+P3</f>
        <v>42564</v>
      </c>
      <c r="W3" s="68">
        <f t="shared" ref="W3:W65" si="7">T3+Q3</f>
        <v>12100</v>
      </c>
      <c r="X3" s="66">
        <f t="shared" ref="X3:X65" si="8">W3/V3-1</f>
        <v>-0.715722206559534</v>
      </c>
      <c r="Y3" s="61"/>
      <c r="Z3" s="61"/>
      <c r="AA3" s="66" t="e">
        <f>Z3/Y3-1</f>
        <v>#DIV/0!</v>
      </c>
      <c r="AB3" s="61">
        <f>Y3+V3</f>
        <v>42564</v>
      </c>
      <c r="AC3" s="61">
        <f>Z3+W3</f>
        <v>12100</v>
      </c>
      <c r="AD3" s="66">
        <f>AC3/AB3-1</f>
        <v>-0.715722206559534</v>
      </c>
      <c r="AE3" s="61">
        <v>9980</v>
      </c>
      <c r="AF3" s="61">
        <v>7170</v>
      </c>
      <c r="AG3" s="66">
        <f>AF3/AE3-1</f>
        <v>-0.28156312625250501</v>
      </c>
      <c r="AH3" s="61">
        <f>AE3+AB3</f>
        <v>52544</v>
      </c>
      <c r="AI3" s="61">
        <f>AF3+AC3</f>
        <v>19270</v>
      </c>
      <c r="AJ3" s="66">
        <f>AI3/AH3-1</f>
        <v>-0.63325974421437303</v>
      </c>
      <c r="AK3" s="61"/>
      <c r="AL3" s="61"/>
      <c r="AM3" s="66" t="e">
        <f>AL3/AK3-1</f>
        <v>#DIV/0!</v>
      </c>
      <c r="AN3" s="61">
        <f>AK3+AH3</f>
        <v>52544</v>
      </c>
      <c r="AO3" s="61">
        <f>AL3+AI3</f>
        <v>19270</v>
      </c>
      <c r="AP3" s="66">
        <f>AO3/AN3-1</f>
        <v>-0.63325974421437303</v>
      </c>
      <c r="AQ3" s="67">
        <v>6300</v>
      </c>
      <c r="AR3" s="67">
        <v>22235</v>
      </c>
      <c r="AS3" s="66">
        <f>AR3/AQ3-1</f>
        <v>2.5293650793650801</v>
      </c>
      <c r="AT3" s="67">
        <f>AQ3+AN3</f>
        <v>58844</v>
      </c>
      <c r="AU3" s="67">
        <f>AR3+AO3</f>
        <v>41505</v>
      </c>
      <c r="AV3" s="66">
        <f>AU3/AT3-1</f>
        <v>-0.29466045816056002</v>
      </c>
      <c r="AW3" s="61">
        <v>5200</v>
      </c>
      <c r="AX3" s="61">
        <v>6876</v>
      </c>
      <c r="AY3" s="66">
        <f>AX3/AW3-1</f>
        <v>0.32230769230769202</v>
      </c>
      <c r="AZ3" s="61">
        <f>AW3+AT3</f>
        <v>64044</v>
      </c>
      <c r="BA3" s="61">
        <f>AX3+AU3</f>
        <v>48381</v>
      </c>
      <c r="BB3" s="66">
        <f>BA3/AZ3-1</f>
        <v>-0.244566235712947</v>
      </c>
      <c r="BC3" s="61">
        <v>50015</v>
      </c>
      <c r="BD3" s="61"/>
      <c r="BE3" s="66">
        <f>BD3/BC3-1</f>
        <v>-1</v>
      </c>
      <c r="BF3" s="61">
        <f>BC3+AZ3</f>
        <v>114059</v>
      </c>
      <c r="BG3" s="61">
        <f>BD3+BA3</f>
        <v>48381</v>
      </c>
      <c r="BH3" s="66">
        <f>BG3/BF3-1</f>
        <v>-0.57582479243198703</v>
      </c>
      <c r="BI3" s="70">
        <v>3950</v>
      </c>
      <c r="BJ3" s="61">
        <v>6300</v>
      </c>
      <c r="BK3" s="61">
        <v>4500</v>
      </c>
      <c r="BL3" s="61">
        <v>128809</v>
      </c>
      <c r="BM3" s="71">
        <f>BG3/10000/I3</f>
        <v>0.32253999999999999</v>
      </c>
    </row>
    <row r="4" spans="1:65" ht="12" customHeight="1">
      <c r="A4" s="52" t="s">
        <v>414</v>
      </c>
      <c r="B4" s="53" t="s">
        <v>414</v>
      </c>
      <c r="C4" s="56" t="s">
        <v>418</v>
      </c>
      <c r="D4" s="55" t="s">
        <v>61</v>
      </c>
      <c r="E4" s="55" t="s">
        <v>61</v>
      </c>
      <c r="F4" s="181" t="s">
        <v>416</v>
      </c>
      <c r="G4" s="182" t="s">
        <v>416</v>
      </c>
      <c r="H4" s="53" t="s">
        <v>417</v>
      </c>
      <c r="I4" s="53"/>
      <c r="J4" s="61">
        <v>2710</v>
      </c>
      <c r="K4" s="61"/>
      <c r="L4" s="66">
        <f t="shared" si="0"/>
        <v>-1</v>
      </c>
      <c r="M4" s="61"/>
      <c r="N4" s="61"/>
      <c r="O4" s="66" t="e">
        <f t="shared" si="1"/>
        <v>#DIV/0!</v>
      </c>
      <c r="P4" s="61">
        <f t="shared" si="2"/>
        <v>2710</v>
      </c>
      <c r="Q4" s="61">
        <f t="shared" si="3"/>
        <v>0</v>
      </c>
      <c r="R4" s="66">
        <f t="shared" si="4"/>
        <v>-1</v>
      </c>
      <c r="S4" s="67">
        <v>6970</v>
      </c>
      <c r="T4" s="67"/>
      <c r="U4" s="66">
        <f t="shared" si="5"/>
        <v>-1</v>
      </c>
      <c r="V4" s="68">
        <f t="shared" si="6"/>
        <v>9680</v>
      </c>
      <c r="W4" s="68">
        <f t="shared" si="7"/>
        <v>0</v>
      </c>
      <c r="X4" s="66">
        <f t="shared" si="8"/>
        <v>-1</v>
      </c>
      <c r="Y4" s="61">
        <v>4900</v>
      </c>
      <c r="Z4" s="61"/>
      <c r="AA4" s="66">
        <f t="shared" ref="AA4:AA35" si="9">Z4/Y4-1</f>
        <v>-1</v>
      </c>
      <c r="AB4" s="61">
        <f t="shared" ref="AB4:AB35" si="10">Y4+V4</f>
        <v>14580</v>
      </c>
      <c r="AC4" s="61">
        <f t="shared" ref="AC4:AC35" si="11">Z4+W4</f>
        <v>0</v>
      </c>
      <c r="AD4" s="66">
        <f t="shared" ref="AD4:AD35" si="12">AC4/AB4-1</f>
        <v>-1</v>
      </c>
      <c r="AE4" s="61"/>
      <c r="AF4" s="61"/>
      <c r="AG4" s="66" t="e">
        <f t="shared" ref="AG4:AG35" si="13">AF4/AE4-1</f>
        <v>#DIV/0!</v>
      </c>
      <c r="AH4" s="61">
        <f t="shared" ref="AH4:AH35" si="14">AE4+AB4</f>
        <v>14580</v>
      </c>
      <c r="AI4" s="61">
        <f t="shared" ref="AI4:AI35" si="15">AF4+AC4</f>
        <v>0</v>
      </c>
      <c r="AJ4" s="66">
        <f t="shared" ref="AJ4:AJ35" si="16">AI4/AH4-1</f>
        <v>-1</v>
      </c>
      <c r="AK4" s="61"/>
      <c r="AL4" s="61"/>
      <c r="AM4" s="66" t="e">
        <f t="shared" ref="AM4:AM35" si="17">AL4/AK4-1</f>
        <v>#DIV/0!</v>
      </c>
      <c r="AN4" s="61">
        <f t="shared" ref="AN4:AN35" si="18">AK4+AH4</f>
        <v>14580</v>
      </c>
      <c r="AO4" s="61">
        <f t="shared" ref="AO4:AO35" si="19">AL4+AI4</f>
        <v>0</v>
      </c>
      <c r="AP4" s="66">
        <f t="shared" ref="AP4:AP35" si="20">AO4/AN4-1</f>
        <v>-1</v>
      </c>
      <c r="AQ4" s="67"/>
      <c r="AR4" s="67"/>
      <c r="AS4" s="66" t="e">
        <f t="shared" ref="AS4:AS35" si="21">AR4/AQ4-1</f>
        <v>#DIV/0!</v>
      </c>
      <c r="AT4" s="67">
        <f t="shared" ref="AT4:AT35" si="22">AQ4+AN4</f>
        <v>14580</v>
      </c>
      <c r="AU4" s="67">
        <f t="shared" ref="AU4:AU35" si="23">AR4+AO4</f>
        <v>0</v>
      </c>
      <c r="AV4" s="66">
        <f t="shared" ref="AV4:AV35" si="24">AU4/AT4-1</f>
        <v>-1</v>
      </c>
      <c r="AW4" s="61"/>
      <c r="AX4" s="61"/>
      <c r="AY4" s="66" t="e">
        <f t="shared" ref="AY4:AY35" si="25">AX4/AW4-1</f>
        <v>#DIV/0!</v>
      </c>
      <c r="AZ4" s="61">
        <f t="shared" ref="AZ4:AZ35" si="26">AW4+AT4</f>
        <v>14580</v>
      </c>
      <c r="BA4" s="61">
        <f t="shared" ref="BA4:BA35" si="27">AX4+AU4</f>
        <v>0</v>
      </c>
      <c r="BB4" s="66">
        <f t="shared" ref="BB4:BB35" si="28">BA4/AZ4-1</f>
        <v>-1</v>
      </c>
      <c r="BC4" s="61"/>
      <c r="BD4" s="61"/>
      <c r="BE4" s="66" t="e">
        <f t="shared" ref="BE4:BE35" si="29">BD4/BC4-1</f>
        <v>#DIV/0!</v>
      </c>
      <c r="BF4" s="61">
        <f t="shared" ref="BF4:BF35" si="30">BC4+AZ4</f>
        <v>14580</v>
      </c>
      <c r="BG4" s="61">
        <f t="shared" ref="BG4:BG35" si="31">BD4+BA4</f>
        <v>0</v>
      </c>
      <c r="BH4" s="66">
        <f t="shared" ref="BH4:BH35" si="32">BG4/BF4-1</f>
        <v>-1</v>
      </c>
      <c r="BI4" s="70"/>
      <c r="BJ4" s="61"/>
      <c r="BK4" s="61"/>
      <c r="BL4" s="61">
        <v>14580</v>
      </c>
      <c r="BM4" s="71" t="e">
        <f t="shared" ref="BM4:BM35" si="33">BG4/10000/I4</f>
        <v>#DIV/0!</v>
      </c>
    </row>
    <row r="5" spans="1:65" ht="12" customHeight="1">
      <c r="A5" s="52" t="s">
        <v>414</v>
      </c>
      <c r="B5" s="53" t="s">
        <v>414</v>
      </c>
      <c r="C5" s="54" t="s">
        <v>419</v>
      </c>
      <c r="D5" s="55" t="s">
        <v>61</v>
      </c>
      <c r="E5" s="55" t="s">
        <v>61</v>
      </c>
      <c r="F5" s="181" t="s">
        <v>420</v>
      </c>
      <c r="G5" s="182" t="s">
        <v>420</v>
      </c>
      <c r="H5" s="53" t="s">
        <v>421</v>
      </c>
      <c r="I5" s="53">
        <v>10</v>
      </c>
      <c r="J5" s="61"/>
      <c r="K5" s="61">
        <v>7250</v>
      </c>
      <c r="L5" s="66" t="e">
        <f t="shared" si="0"/>
        <v>#DIV/0!</v>
      </c>
      <c r="M5" s="61"/>
      <c r="N5" s="61">
        <v>3150</v>
      </c>
      <c r="O5" s="66" t="e">
        <f t="shared" si="1"/>
        <v>#DIV/0!</v>
      </c>
      <c r="P5" s="61">
        <f t="shared" si="2"/>
        <v>0</v>
      </c>
      <c r="Q5" s="61">
        <f t="shared" si="3"/>
        <v>10400</v>
      </c>
      <c r="R5" s="66" t="e">
        <f t="shared" si="4"/>
        <v>#DIV/0!</v>
      </c>
      <c r="S5" s="67">
        <v>2250</v>
      </c>
      <c r="T5" s="67">
        <v>7986</v>
      </c>
      <c r="U5" s="66">
        <f t="shared" si="5"/>
        <v>2.5493333333333301</v>
      </c>
      <c r="V5" s="68">
        <f t="shared" si="6"/>
        <v>2250</v>
      </c>
      <c r="W5" s="68">
        <f t="shared" si="7"/>
        <v>18386</v>
      </c>
      <c r="X5" s="66">
        <f t="shared" si="8"/>
        <v>7.1715555555555603</v>
      </c>
      <c r="Y5" s="61"/>
      <c r="Z5" s="61">
        <v>26362</v>
      </c>
      <c r="AA5" s="66" t="e">
        <f t="shared" si="9"/>
        <v>#DIV/0!</v>
      </c>
      <c r="AB5" s="61">
        <f t="shared" si="10"/>
        <v>2250</v>
      </c>
      <c r="AC5" s="61">
        <f t="shared" si="11"/>
        <v>44748</v>
      </c>
      <c r="AD5" s="66">
        <f t="shared" si="12"/>
        <v>18.888000000000002</v>
      </c>
      <c r="AE5" s="61">
        <v>32190</v>
      </c>
      <c r="AF5" s="61">
        <v>5753</v>
      </c>
      <c r="AG5" s="66">
        <f t="shared" si="13"/>
        <v>-0.82127990059024503</v>
      </c>
      <c r="AH5" s="61">
        <f t="shared" si="14"/>
        <v>34440</v>
      </c>
      <c r="AI5" s="61">
        <f t="shared" si="15"/>
        <v>50501</v>
      </c>
      <c r="AJ5" s="66">
        <f t="shared" si="16"/>
        <v>0.46634727061556303</v>
      </c>
      <c r="AK5" s="61"/>
      <c r="AL5" s="61">
        <v>2600</v>
      </c>
      <c r="AM5" s="66" t="e">
        <f t="shared" si="17"/>
        <v>#DIV/0!</v>
      </c>
      <c r="AN5" s="61">
        <f t="shared" si="18"/>
        <v>34440</v>
      </c>
      <c r="AO5" s="61">
        <f t="shared" si="19"/>
        <v>53101</v>
      </c>
      <c r="AP5" s="66">
        <f t="shared" si="20"/>
        <v>0.541840882694541</v>
      </c>
      <c r="AQ5" s="67"/>
      <c r="AR5" s="67"/>
      <c r="AS5" s="66" t="e">
        <f t="shared" si="21"/>
        <v>#DIV/0!</v>
      </c>
      <c r="AT5" s="67">
        <f t="shared" si="22"/>
        <v>34440</v>
      </c>
      <c r="AU5" s="67">
        <f t="shared" si="23"/>
        <v>53101</v>
      </c>
      <c r="AV5" s="66">
        <f t="shared" si="24"/>
        <v>0.541840882694541</v>
      </c>
      <c r="AW5" s="61"/>
      <c r="AX5" s="61"/>
      <c r="AY5" s="66" t="e">
        <f t="shared" si="25"/>
        <v>#DIV/0!</v>
      </c>
      <c r="AZ5" s="61">
        <f t="shared" si="26"/>
        <v>34440</v>
      </c>
      <c r="BA5" s="61">
        <f t="shared" si="27"/>
        <v>53101</v>
      </c>
      <c r="BB5" s="66">
        <f t="shared" si="28"/>
        <v>0.541840882694541</v>
      </c>
      <c r="BC5" s="61">
        <v>30695</v>
      </c>
      <c r="BD5" s="61"/>
      <c r="BE5" s="66">
        <f t="shared" si="29"/>
        <v>-1</v>
      </c>
      <c r="BF5" s="61">
        <f t="shared" si="30"/>
        <v>65135</v>
      </c>
      <c r="BG5" s="61">
        <f t="shared" si="31"/>
        <v>53101</v>
      </c>
      <c r="BH5" s="66">
        <f t="shared" si="32"/>
        <v>-0.18475474015506299</v>
      </c>
      <c r="BI5" s="70">
        <v>32004</v>
      </c>
      <c r="BJ5" s="61"/>
      <c r="BK5" s="61"/>
      <c r="BL5" s="61">
        <v>97139</v>
      </c>
      <c r="BM5" s="71">
        <f t="shared" si="33"/>
        <v>0.53100999999999998</v>
      </c>
    </row>
    <row r="6" spans="1:65" ht="12" customHeight="1">
      <c r="A6" s="52" t="s">
        <v>414</v>
      </c>
      <c r="B6" s="53" t="s">
        <v>414</v>
      </c>
      <c r="C6" s="56" t="s">
        <v>422</v>
      </c>
      <c r="D6" s="55" t="s">
        <v>61</v>
      </c>
      <c r="E6" s="55" t="s">
        <v>61</v>
      </c>
      <c r="F6" s="181" t="s">
        <v>420</v>
      </c>
      <c r="G6" s="182" t="s">
        <v>420</v>
      </c>
      <c r="H6" s="53" t="s">
        <v>421</v>
      </c>
      <c r="I6" s="53">
        <v>30</v>
      </c>
      <c r="J6" s="61">
        <v>48451</v>
      </c>
      <c r="K6" s="61">
        <v>9820</v>
      </c>
      <c r="L6" s="66">
        <f t="shared" si="0"/>
        <v>-0.79732100472642498</v>
      </c>
      <c r="M6" s="61">
        <v>7510</v>
      </c>
      <c r="N6" s="61">
        <v>2300</v>
      </c>
      <c r="O6" s="66">
        <f t="shared" si="1"/>
        <v>-0.69374167776298301</v>
      </c>
      <c r="P6" s="61">
        <f t="shared" si="2"/>
        <v>55961</v>
      </c>
      <c r="Q6" s="61">
        <f t="shared" si="3"/>
        <v>12120</v>
      </c>
      <c r="R6" s="66">
        <f t="shared" si="4"/>
        <v>-0.78342059648683904</v>
      </c>
      <c r="S6" s="67"/>
      <c r="T6" s="67">
        <v>9919</v>
      </c>
      <c r="U6" s="66" t="e">
        <f t="shared" si="5"/>
        <v>#DIV/0!</v>
      </c>
      <c r="V6" s="68">
        <f t="shared" si="6"/>
        <v>55961</v>
      </c>
      <c r="W6" s="68">
        <f t="shared" si="7"/>
        <v>22039</v>
      </c>
      <c r="X6" s="66">
        <f t="shared" si="8"/>
        <v>-0.60617215560837001</v>
      </c>
      <c r="Y6" s="61"/>
      <c r="Z6" s="61">
        <v>2199</v>
      </c>
      <c r="AA6" s="66" t="e">
        <f t="shared" si="9"/>
        <v>#DIV/0!</v>
      </c>
      <c r="AB6" s="61">
        <f t="shared" si="10"/>
        <v>55961</v>
      </c>
      <c r="AC6" s="61">
        <f t="shared" si="11"/>
        <v>24238</v>
      </c>
      <c r="AD6" s="66">
        <f t="shared" si="12"/>
        <v>-0.56687693214917501</v>
      </c>
      <c r="AE6" s="61">
        <v>16830</v>
      </c>
      <c r="AF6" s="61"/>
      <c r="AG6" s="66">
        <f t="shared" si="13"/>
        <v>-1</v>
      </c>
      <c r="AH6" s="61">
        <f t="shared" si="14"/>
        <v>72791</v>
      </c>
      <c r="AI6" s="61">
        <f t="shared" si="15"/>
        <v>24238</v>
      </c>
      <c r="AJ6" s="66">
        <f t="shared" si="16"/>
        <v>-0.66701927436084096</v>
      </c>
      <c r="AK6" s="61">
        <v>17000</v>
      </c>
      <c r="AL6" s="61">
        <v>10659</v>
      </c>
      <c r="AM6" s="66">
        <f t="shared" si="17"/>
        <v>-0.373</v>
      </c>
      <c r="AN6" s="61">
        <f t="shared" si="18"/>
        <v>89791</v>
      </c>
      <c r="AO6" s="61">
        <f t="shared" si="19"/>
        <v>34897</v>
      </c>
      <c r="AP6" s="66">
        <f t="shared" si="20"/>
        <v>-0.61135303092737603</v>
      </c>
      <c r="AQ6" s="67">
        <v>4950</v>
      </c>
      <c r="AR6" s="67">
        <v>12860</v>
      </c>
      <c r="AS6" s="66">
        <f t="shared" si="21"/>
        <v>1.5979797979798001</v>
      </c>
      <c r="AT6" s="67">
        <f t="shared" si="22"/>
        <v>94741</v>
      </c>
      <c r="AU6" s="67">
        <f t="shared" si="23"/>
        <v>47757</v>
      </c>
      <c r="AV6" s="66">
        <f t="shared" si="24"/>
        <v>-0.49592045682439501</v>
      </c>
      <c r="AW6" s="61">
        <v>34830</v>
      </c>
      <c r="AX6" s="61">
        <v>6817</v>
      </c>
      <c r="AY6" s="66">
        <f t="shared" si="25"/>
        <v>-0.80427792133218501</v>
      </c>
      <c r="AZ6" s="61">
        <f t="shared" si="26"/>
        <v>129571</v>
      </c>
      <c r="BA6" s="61">
        <f t="shared" si="27"/>
        <v>54574</v>
      </c>
      <c r="BB6" s="66">
        <f t="shared" si="28"/>
        <v>-0.57881007324169798</v>
      </c>
      <c r="BC6" s="61">
        <v>28370</v>
      </c>
      <c r="BD6" s="61">
        <v>4726</v>
      </c>
      <c r="BE6" s="66">
        <f t="shared" si="29"/>
        <v>-0.83341557983785697</v>
      </c>
      <c r="BF6" s="61">
        <f t="shared" si="30"/>
        <v>157941</v>
      </c>
      <c r="BG6" s="61">
        <f t="shared" si="31"/>
        <v>59300</v>
      </c>
      <c r="BH6" s="66">
        <f t="shared" si="32"/>
        <v>-0.62454334213408802</v>
      </c>
      <c r="BI6" s="70">
        <v>28457</v>
      </c>
      <c r="BJ6" s="61">
        <v>16200</v>
      </c>
      <c r="BK6" s="61">
        <v>52385</v>
      </c>
      <c r="BL6" s="61">
        <v>254983</v>
      </c>
      <c r="BM6" s="71">
        <f t="shared" si="33"/>
        <v>0.19766666666666699</v>
      </c>
    </row>
    <row r="7" spans="1:65" ht="12" customHeight="1">
      <c r="A7" s="52" t="s">
        <v>414</v>
      </c>
      <c r="B7" s="53" t="s">
        <v>414</v>
      </c>
      <c r="C7" s="56" t="s">
        <v>423</v>
      </c>
      <c r="D7" s="55" t="s">
        <v>61</v>
      </c>
      <c r="E7" s="55" t="s">
        <v>61</v>
      </c>
      <c r="F7" s="181" t="s">
        <v>420</v>
      </c>
      <c r="G7" s="182" t="s">
        <v>420</v>
      </c>
      <c r="H7" s="53" t="s">
        <v>421</v>
      </c>
      <c r="I7" s="53">
        <v>10</v>
      </c>
      <c r="J7" s="61"/>
      <c r="K7" s="61">
        <v>12415</v>
      </c>
      <c r="L7" s="66" t="e">
        <f t="shared" si="0"/>
        <v>#DIV/0!</v>
      </c>
      <c r="M7" s="61">
        <v>58818</v>
      </c>
      <c r="N7" s="61">
        <v>21750</v>
      </c>
      <c r="O7" s="66">
        <f t="shared" si="1"/>
        <v>-0.63021524023258202</v>
      </c>
      <c r="P7" s="61">
        <f t="shared" si="2"/>
        <v>58818</v>
      </c>
      <c r="Q7" s="61">
        <f t="shared" si="3"/>
        <v>34165</v>
      </c>
      <c r="R7" s="66">
        <f t="shared" si="4"/>
        <v>-0.41914039919752499</v>
      </c>
      <c r="S7" s="67">
        <v>7320</v>
      </c>
      <c r="T7" s="67"/>
      <c r="U7" s="66">
        <f t="shared" si="5"/>
        <v>-1</v>
      </c>
      <c r="V7" s="68">
        <f t="shared" si="6"/>
        <v>66138</v>
      </c>
      <c r="W7" s="68">
        <f t="shared" si="7"/>
        <v>34165</v>
      </c>
      <c r="X7" s="66">
        <f t="shared" si="8"/>
        <v>-0.48342858870845801</v>
      </c>
      <c r="Y7" s="61">
        <v>3160</v>
      </c>
      <c r="Z7" s="61">
        <v>9930</v>
      </c>
      <c r="AA7" s="66">
        <f t="shared" si="9"/>
        <v>2.14240506329114</v>
      </c>
      <c r="AB7" s="61">
        <f t="shared" si="10"/>
        <v>69298</v>
      </c>
      <c r="AC7" s="61">
        <f t="shared" si="11"/>
        <v>44095</v>
      </c>
      <c r="AD7" s="66">
        <f t="shared" si="12"/>
        <v>-0.36369014978787301</v>
      </c>
      <c r="AE7" s="61">
        <v>8850</v>
      </c>
      <c r="AF7" s="61">
        <v>3800</v>
      </c>
      <c r="AG7" s="66">
        <f t="shared" si="13"/>
        <v>-0.57062146892655397</v>
      </c>
      <c r="AH7" s="61">
        <f t="shared" si="14"/>
        <v>78148</v>
      </c>
      <c r="AI7" s="61">
        <f t="shared" si="15"/>
        <v>47895</v>
      </c>
      <c r="AJ7" s="66">
        <f t="shared" si="16"/>
        <v>-0.38712443056764101</v>
      </c>
      <c r="AK7" s="61">
        <v>6600</v>
      </c>
      <c r="AL7" s="61">
        <v>20968</v>
      </c>
      <c r="AM7" s="66">
        <f t="shared" si="17"/>
        <v>2.1769696969696999</v>
      </c>
      <c r="AN7" s="61">
        <f t="shared" si="18"/>
        <v>84748</v>
      </c>
      <c r="AO7" s="61">
        <f t="shared" si="19"/>
        <v>68863</v>
      </c>
      <c r="AP7" s="66">
        <f t="shared" si="20"/>
        <v>-0.187438051635437</v>
      </c>
      <c r="AQ7" s="67"/>
      <c r="AR7" s="67">
        <v>27841</v>
      </c>
      <c r="AS7" s="66" t="e">
        <f t="shared" si="21"/>
        <v>#DIV/0!</v>
      </c>
      <c r="AT7" s="67">
        <f t="shared" si="22"/>
        <v>84748</v>
      </c>
      <c r="AU7" s="67">
        <f t="shared" si="23"/>
        <v>96704</v>
      </c>
      <c r="AV7" s="66">
        <f t="shared" si="24"/>
        <v>0.14107707556520499</v>
      </c>
      <c r="AW7" s="61">
        <v>3800</v>
      </c>
      <c r="AX7" s="61"/>
      <c r="AY7" s="66">
        <f t="shared" si="25"/>
        <v>-1</v>
      </c>
      <c r="AZ7" s="61">
        <f t="shared" si="26"/>
        <v>88548</v>
      </c>
      <c r="BA7" s="61">
        <f t="shared" si="27"/>
        <v>96704</v>
      </c>
      <c r="BB7" s="66">
        <f t="shared" si="28"/>
        <v>9.2108235081537607E-2</v>
      </c>
      <c r="BC7" s="61"/>
      <c r="BD7" s="61"/>
      <c r="BE7" s="66" t="e">
        <f t="shared" si="29"/>
        <v>#DIV/0!</v>
      </c>
      <c r="BF7" s="61">
        <f t="shared" si="30"/>
        <v>88548</v>
      </c>
      <c r="BG7" s="61">
        <f t="shared" si="31"/>
        <v>96704</v>
      </c>
      <c r="BH7" s="66">
        <f t="shared" si="32"/>
        <v>9.2108235081537607E-2</v>
      </c>
      <c r="BI7" s="70">
        <v>6100</v>
      </c>
      <c r="BJ7" s="61">
        <v>6200</v>
      </c>
      <c r="BK7" s="61"/>
      <c r="BL7" s="61">
        <v>100848</v>
      </c>
      <c r="BM7" s="71">
        <f t="shared" si="33"/>
        <v>0.96704000000000001</v>
      </c>
    </row>
    <row r="8" spans="1:65" ht="12" customHeight="1">
      <c r="A8" s="52" t="s">
        <v>414</v>
      </c>
      <c r="B8" s="53" t="s">
        <v>414</v>
      </c>
      <c r="C8" s="54" t="s">
        <v>424</v>
      </c>
      <c r="D8" s="55" t="s">
        <v>61</v>
      </c>
      <c r="E8" s="55" t="s">
        <v>61</v>
      </c>
      <c r="F8" s="181" t="s">
        <v>420</v>
      </c>
      <c r="G8" s="182" t="s">
        <v>420</v>
      </c>
      <c r="H8" s="53" t="s">
        <v>421</v>
      </c>
      <c r="I8" s="53"/>
      <c r="J8" s="61">
        <v>62144</v>
      </c>
      <c r="K8" s="61"/>
      <c r="L8" s="66">
        <f t="shared" si="0"/>
        <v>-1</v>
      </c>
      <c r="M8" s="61"/>
      <c r="N8" s="61"/>
      <c r="O8" s="66" t="e">
        <f t="shared" si="1"/>
        <v>#DIV/0!</v>
      </c>
      <c r="P8" s="61">
        <f t="shared" si="2"/>
        <v>62144</v>
      </c>
      <c r="Q8" s="61">
        <f t="shared" si="3"/>
        <v>0</v>
      </c>
      <c r="R8" s="66">
        <f t="shared" si="4"/>
        <v>-1</v>
      </c>
      <c r="S8" s="67"/>
      <c r="T8" s="67"/>
      <c r="U8" s="66" t="e">
        <f t="shared" si="5"/>
        <v>#DIV/0!</v>
      </c>
      <c r="V8" s="68">
        <f t="shared" si="6"/>
        <v>62144</v>
      </c>
      <c r="W8" s="68">
        <f t="shared" si="7"/>
        <v>0</v>
      </c>
      <c r="X8" s="66">
        <f t="shared" si="8"/>
        <v>-1</v>
      </c>
      <c r="Y8" s="61"/>
      <c r="Z8" s="61"/>
      <c r="AA8" s="66" t="e">
        <f t="shared" si="9"/>
        <v>#DIV/0!</v>
      </c>
      <c r="AB8" s="61">
        <f t="shared" si="10"/>
        <v>62144</v>
      </c>
      <c r="AC8" s="61">
        <f t="shared" si="11"/>
        <v>0</v>
      </c>
      <c r="AD8" s="66">
        <f t="shared" si="12"/>
        <v>-1</v>
      </c>
      <c r="AE8" s="61"/>
      <c r="AF8" s="61"/>
      <c r="AG8" s="66" t="e">
        <f t="shared" si="13"/>
        <v>#DIV/0!</v>
      </c>
      <c r="AH8" s="61">
        <f t="shared" si="14"/>
        <v>62144</v>
      </c>
      <c r="AI8" s="61">
        <f t="shared" si="15"/>
        <v>0</v>
      </c>
      <c r="AJ8" s="66">
        <f t="shared" si="16"/>
        <v>-1</v>
      </c>
      <c r="AK8" s="61"/>
      <c r="AL8" s="61"/>
      <c r="AM8" s="66" t="e">
        <f t="shared" si="17"/>
        <v>#DIV/0!</v>
      </c>
      <c r="AN8" s="61">
        <f t="shared" si="18"/>
        <v>62144</v>
      </c>
      <c r="AO8" s="61">
        <f t="shared" si="19"/>
        <v>0</v>
      </c>
      <c r="AP8" s="66">
        <f t="shared" si="20"/>
        <v>-1</v>
      </c>
      <c r="AQ8" s="67"/>
      <c r="AR8" s="67"/>
      <c r="AS8" s="66" t="e">
        <f t="shared" si="21"/>
        <v>#DIV/0!</v>
      </c>
      <c r="AT8" s="67">
        <f t="shared" si="22"/>
        <v>62144</v>
      </c>
      <c r="AU8" s="67">
        <f t="shared" si="23"/>
        <v>0</v>
      </c>
      <c r="AV8" s="66">
        <f t="shared" si="24"/>
        <v>-1</v>
      </c>
      <c r="AW8" s="61"/>
      <c r="AX8" s="61"/>
      <c r="AY8" s="66" t="e">
        <f t="shared" si="25"/>
        <v>#DIV/0!</v>
      </c>
      <c r="AZ8" s="61">
        <f t="shared" si="26"/>
        <v>62144</v>
      </c>
      <c r="BA8" s="61">
        <f t="shared" si="27"/>
        <v>0</v>
      </c>
      <c r="BB8" s="66">
        <f t="shared" si="28"/>
        <v>-1</v>
      </c>
      <c r="BC8" s="61"/>
      <c r="BD8" s="61"/>
      <c r="BE8" s="66" t="e">
        <f t="shared" si="29"/>
        <v>#DIV/0!</v>
      </c>
      <c r="BF8" s="61">
        <f t="shared" si="30"/>
        <v>62144</v>
      </c>
      <c r="BG8" s="61">
        <f t="shared" si="31"/>
        <v>0</v>
      </c>
      <c r="BH8" s="66">
        <f t="shared" si="32"/>
        <v>-1</v>
      </c>
      <c r="BI8" s="70"/>
      <c r="BJ8" s="61"/>
      <c r="BK8" s="61"/>
      <c r="BL8" s="61">
        <v>62144</v>
      </c>
      <c r="BM8" s="71" t="e">
        <f t="shared" si="33"/>
        <v>#DIV/0!</v>
      </c>
    </row>
    <row r="9" spans="1:65" ht="12" customHeight="1">
      <c r="A9" s="52" t="s">
        <v>414</v>
      </c>
      <c r="B9" s="53" t="s">
        <v>414</v>
      </c>
      <c r="C9" s="54" t="s">
        <v>425</v>
      </c>
      <c r="D9" s="55" t="s">
        <v>61</v>
      </c>
      <c r="E9" s="55" t="s">
        <v>61</v>
      </c>
      <c r="F9" s="181" t="s">
        <v>420</v>
      </c>
      <c r="G9" s="182" t="s">
        <v>420</v>
      </c>
      <c r="H9" s="53" t="s">
        <v>421</v>
      </c>
      <c r="I9" s="53"/>
      <c r="J9" s="61"/>
      <c r="K9" s="61"/>
      <c r="L9" s="66" t="e">
        <f t="shared" si="0"/>
        <v>#DIV/0!</v>
      </c>
      <c r="M9" s="61"/>
      <c r="N9" s="61"/>
      <c r="O9" s="66" t="e">
        <f t="shared" si="1"/>
        <v>#DIV/0!</v>
      </c>
      <c r="P9" s="61">
        <f t="shared" si="2"/>
        <v>0</v>
      </c>
      <c r="Q9" s="61">
        <f t="shared" si="3"/>
        <v>0</v>
      </c>
      <c r="R9" s="66" t="e">
        <f t="shared" si="4"/>
        <v>#DIV/0!</v>
      </c>
      <c r="S9" s="67"/>
      <c r="T9" s="67"/>
      <c r="U9" s="66" t="e">
        <f t="shared" si="5"/>
        <v>#DIV/0!</v>
      </c>
      <c r="V9" s="68">
        <f t="shared" si="6"/>
        <v>0</v>
      </c>
      <c r="W9" s="68">
        <f t="shared" si="7"/>
        <v>0</v>
      </c>
      <c r="X9" s="66" t="e">
        <f t="shared" si="8"/>
        <v>#DIV/0!</v>
      </c>
      <c r="Y9" s="61"/>
      <c r="Z9" s="61"/>
      <c r="AA9" s="66" t="e">
        <f t="shared" si="9"/>
        <v>#DIV/0!</v>
      </c>
      <c r="AB9" s="61">
        <f t="shared" si="10"/>
        <v>0</v>
      </c>
      <c r="AC9" s="61">
        <f t="shared" si="11"/>
        <v>0</v>
      </c>
      <c r="AD9" s="66" t="e">
        <f t="shared" si="12"/>
        <v>#DIV/0!</v>
      </c>
      <c r="AE9" s="61"/>
      <c r="AF9" s="61"/>
      <c r="AG9" s="66" t="e">
        <f t="shared" si="13"/>
        <v>#DIV/0!</v>
      </c>
      <c r="AH9" s="61">
        <f t="shared" si="14"/>
        <v>0</v>
      </c>
      <c r="AI9" s="61">
        <f t="shared" si="15"/>
        <v>0</v>
      </c>
      <c r="AJ9" s="66" t="e">
        <f t="shared" si="16"/>
        <v>#DIV/0!</v>
      </c>
      <c r="AK9" s="61"/>
      <c r="AL9" s="61"/>
      <c r="AM9" s="66" t="e">
        <f t="shared" si="17"/>
        <v>#DIV/0!</v>
      </c>
      <c r="AN9" s="61">
        <f t="shared" si="18"/>
        <v>0</v>
      </c>
      <c r="AO9" s="61">
        <f t="shared" si="19"/>
        <v>0</v>
      </c>
      <c r="AP9" s="66" t="e">
        <f t="shared" si="20"/>
        <v>#DIV/0!</v>
      </c>
      <c r="AQ9" s="67"/>
      <c r="AR9" s="67"/>
      <c r="AS9" s="66" t="e">
        <f t="shared" si="21"/>
        <v>#DIV/0!</v>
      </c>
      <c r="AT9" s="67">
        <f t="shared" si="22"/>
        <v>0</v>
      </c>
      <c r="AU9" s="67">
        <f t="shared" si="23"/>
        <v>0</v>
      </c>
      <c r="AV9" s="66" t="e">
        <f t="shared" si="24"/>
        <v>#DIV/0!</v>
      </c>
      <c r="AW9" s="61"/>
      <c r="AX9" s="61"/>
      <c r="AY9" s="66" t="e">
        <f t="shared" si="25"/>
        <v>#DIV/0!</v>
      </c>
      <c r="AZ9" s="61">
        <f t="shared" si="26"/>
        <v>0</v>
      </c>
      <c r="BA9" s="61">
        <f t="shared" si="27"/>
        <v>0</v>
      </c>
      <c r="BB9" s="66" t="e">
        <f t="shared" si="28"/>
        <v>#DIV/0!</v>
      </c>
      <c r="BC9" s="61"/>
      <c r="BD9" s="61"/>
      <c r="BE9" s="66" t="e">
        <f t="shared" si="29"/>
        <v>#DIV/0!</v>
      </c>
      <c r="BF9" s="61">
        <f t="shared" si="30"/>
        <v>0</v>
      </c>
      <c r="BG9" s="61">
        <f t="shared" si="31"/>
        <v>0</v>
      </c>
      <c r="BH9" s="66" t="e">
        <f t="shared" si="32"/>
        <v>#DIV/0!</v>
      </c>
      <c r="BI9" s="70"/>
      <c r="BJ9" s="61"/>
      <c r="BK9" s="61"/>
      <c r="BL9" s="61">
        <v>0</v>
      </c>
      <c r="BM9" s="71" t="e">
        <f t="shared" si="33"/>
        <v>#DIV/0!</v>
      </c>
    </row>
    <row r="10" spans="1:65" ht="12" customHeight="1">
      <c r="A10" s="52" t="s">
        <v>414</v>
      </c>
      <c r="B10" s="53" t="s">
        <v>414</v>
      </c>
      <c r="C10" s="54" t="s">
        <v>426</v>
      </c>
      <c r="D10" s="55" t="s">
        <v>61</v>
      </c>
      <c r="E10" s="55" t="s">
        <v>56</v>
      </c>
      <c r="F10" s="181" t="s">
        <v>420</v>
      </c>
      <c r="G10" s="182" t="s">
        <v>420</v>
      </c>
      <c r="H10" s="53" t="s">
        <v>421</v>
      </c>
      <c r="I10" s="53">
        <v>30</v>
      </c>
      <c r="J10" s="61">
        <v>31886</v>
      </c>
      <c r="K10" s="61">
        <v>8110</v>
      </c>
      <c r="L10" s="66">
        <f t="shared" si="0"/>
        <v>-0.74565640092830698</v>
      </c>
      <c r="M10" s="61">
        <v>23445</v>
      </c>
      <c r="N10" s="61"/>
      <c r="O10" s="66">
        <f t="shared" si="1"/>
        <v>-1</v>
      </c>
      <c r="P10" s="61">
        <f t="shared" si="2"/>
        <v>55331</v>
      </c>
      <c r="Q10" s="61">
        <f t="shared" si="3"/>
        <v>8110</v>
      </c>
      <c r="R10" s="66">
        <f t="shared" si="4"/>
        <v>-0.85342755417397098</v>
      </c>
      <c r="S10" s="67"/>
      <c r="T10" s="67">
        <v>12629</v>
      </c>
      <c r="U10" s="66" t="e">
        <f t="shared" si="5"/>
        <v>#DIV/0!</v>
      </c>
      <c r="V10" s="68">
        <f t="shared" si="6"/>
        <v>55331</v>
      </c>
      <c r="W10" s="68">
        <f t="shared" si="7"/>
        <v>20739</v>
      </c>
      <c r="X10" s="66">
        <f t="shared" si="8"/>
        <v>-0.62518298964414198</v>
      </c>
      <c r="Y10" s="61">
        <v>34450</v>
      </c>
      <c r="Z10" s="61">
        <v>11796</v>
      </c>
      <c r="AA10" s="66">
        <f t="shared" si="9"/>
        <v>-0.65759071117561696</v>
      </c>
      <c r="AB10" s="61">
        <f t="shared" si="10"/>
        <v>89781</v>
      </c>
      <c r="AC10" s="61">
        <f t="shared" si="11"/>
        <v>32535</v>
      </c>
      <c r="AD10" s="66">
        <f t="shared" si="12"/>
        <v>-0.63761820429712301</v>
      </c>
      <c r="AE10" s="61">
        <v>22509</v>
      </c>
      <c r="AF10" s="61">
        <v>1799</v>
      </c>
      <c r="AG10" s="66">
        <f t="shared" si="13"/>
        <v>-0.92007641387889305</v>
      </c>
      <c r="AH10" s="61">
        <f t="shared" si="14"/>
        <v>112290</v>
      </c>
      <c r="AI10" s="61">
        <f t="shared" si="15"/>
        <v>34334</v>
      </c>
      <c r="AJ10" s="66">
        <f t="shared" si="16"/>
        <v>-0.69423813340457696</v>
      </c>
      <c r="AK10" s="61">
        <v>14050</v>
      </c>
      <c r="AL10" s="61">
        <v>28857</v>
      </c>
      <c r="AM10" s="66">
        <f t="shared" si="17"/>
        <v>1.05387900355872</v>
      </c>
      <c r="AN10" s="61">
        <f t="shared" si="18"/>
        <v>126340</v>
      </c>
      <c r="AO10" s="61">
        <f t="shared" si="19"/>
        <v>63191</v>
      </c>
      <c r="AP10" s="66">
        <f t="shared" si="20"/>
        <v>-0.49983378185847699</v>
      </c>
      <c r="AQ10" s="67"/>
      <c r="AR10" s="67">
        <v>16191</v>
      </c>
      <c r="AS10" s="66" t="e">
        <f t="shared" si="21"/>
        <v>#DIV/0!</v>
      </c>
      <c r="AT10" s="67">
        <f t="shared" si="22"/>
        <v>126340</v>
      </c>
      <c r="AU10" s="67">
        <f t="shared" si="23"/>
        <v>79382</v>
      </c>
      <c r="AV10" s="66">
        <f t="shared" si="24"/>
        <v>-0.37167959474434098</v>
      </c>
      <c r="AW10" s="61">
        <v>28496</v>
      </c>
      <c r="AX10" s="61">
        <v>7813</v>
      </c>
      <c r="AY10" s="66">
        <f t="shared" si="25"/>
        <v>-0.72582116788321205</v>
      </c>
      <c r="AZ10" s="61">
        <f t="shared" si="26"/>
        <v>154836</v>
      </c>
      <c r="BA10" s="61">
        <f t="shared" si="27"/>
        <v>87195</v>
      </c>
      <c r="BB10" s="66">
        <f t="shared" si="28"/>
        <v>-0.43685576997597497</v>
      </c>
      <c r="BC10" s="61">
        <v>34011</v>
      </c>
      <c r="BD10" s="61">
        <v>31750</v>
      </c>
      <c r="BE10" s="66">
        <f t="shared" si="29"/>
        <v>-6.6478492252506599E-2</v>
      </c>
      <c r="BF10" s="61">
        <f t="shared" si="30"/>
        <v>188847</v>
      </c>
      <c r="BG10" s="61">
        <f t="shared" si="31"/>
        <v>118945</v>
      </c>
      <c r="BH10" s="66">
        <f t="shared" si="32"/>
        <v>-0.37015149830285898</v>
      </c>
      <c r="BI10" s="70"/>
      <c r="BJ10" s="61">
        <v>46970</v>
      </c>
      <c r="BK10" s="61">
        <v>47627</v>
      </c>
      <c r="BL10" s="61">
        <v>283444</v>
      </c>
      <c r="BM10" s="71">
        <f t="shared" si="33"/>
        <v>0.39648333333333302</v>
      </c>
    </row>
    <row r="11" spans="1:65" ht="12" customHeight="1">
      <c r="A11" s="52" t="s">
        <v>414</v>
      </c>
      <c r="B11" s="53" t="s">
        <v>414</v>
      </c>
      <c r="C11" s="57" t="s">
        <v>427</v>
      </c>
      <c r="D11" s="55" t="s">
        <v>79</v>
      </c>
      <c r="E11" s="55" t="s">
        <v>79</v>
      </c>
      <c r="F11" s="55" t="s">
        <v>428</v>
      </c>
      <c r="G11" s="53" t="s">
        <v>80</v>
      </c>
      <c r="H11" s="53"/>
      <c r="I11" s="53"/>
      <c r="J11" s="61"/>
      <c r="K11" s="61"/>
      <c r="L11" s="66" t="e">
        <f t="shared" si="0"/>
        <v>#DIV/0!</v>
      </c>
      <c r="M11" s="61"/>
      <c r="N11" s="61"/>
      <c r="O11" s="66" t="e">
        <f t="shared" si="1"/>
        <v>#DIV/0!</v>
      </c>
      <c r="P11" s="61">
        <f t="shared" si="2"/>
        <v>0</v>
      </c>
      <c r="Q11" s="61">
        <f t="shared" si="3"/>
        <v>0</v>
      </c>
      <c r="R11" s="66" t="e">
        <f t="shared" si="4"/>
        <v>#DIV/0!</v>
      </c>
      <c r="S11" s="67"/>
      <c r="T11" s="67"/>
      <c r="U11" s="66" t="e">
        <f t="shared" si="5"/>
        <v>#DIV/0!</v>
      </c>
      <c r="V11" s="68">
        <f t="shared" si="6"/>
        <v>0</v>
      </c>
      <c r="W11" s="68">
        <f t="shared" si="7"/>
        <v>0</v>
      </c>
      <c r="X11" s="66" t="e">
        <f t="shared" si="8"/>
        <v>#DIV/0!</v>
      </c>
      <c r="Y11" s="61"/>
      <c r="Z11" s="61"/>
      <c r="AA11" s="66" t="e">
        <f t="shared" si="9"/>
        <v>#DIV/0!</v>
      </c>
      <c r="AB11" s="61">
        <f t="shared" si="10"/>
        <v>0</v>
      </c>
      <c r="AC11" s="61">
        <f t="shared" si="11"/>
        <v>0</v>
      </c>
      <c r="AD11" s="66" t="e">
        <f t="shared" si="12"/>
        <v>#DIV/0!</v>
      </c>
      <c r="AE11" s="61"/>
      <c r="AF11" s="61"/>
      <c r="AG11" s="66" t="e">
        <f t="shared" si="13"/>
        <v>#DIV/0!</v>
      </c>
      <c r="AH11" s="61">
        <f t="shared" si="14"/>
        <v>0</v>
      </c>
      <c r="AI11" s="61">
        <f t="shared" si="15"/>
        <v>0</v>
      </c>
      <c r="AJ11" s="66" t="e">
        <f t="shared" si="16"/>
        <v>#DIV/0!</v>
      </c>
      <c r="AK11" s="61"/>
      <c r="AL11" s="61"/>
      <c r="AM11" s="66" t="e">
        <f t="shared" si="17"/>
        <v>#DIV/0!</v>
      </c>
      <c r="AN11" s="61">
        <f t="shared" si="18"/>
        <v>0</v>
      </c>
      <c r="AO11" s="61">
        <f t="shared" si="19"/>
        <v>0</v>
      </c>
      <c r="AP11" s="66" t="e">
        <f t="shared" si="20"/>
        <v>#DIV/0!</v>
      </c>
      <c r="AQ11" s="67"/>
      <c r="AR11" s="67"/>
      <c r="AS11" s="66" t="e">
        <f t="shared" si="21"/>
        <v>#DIV/0!</v>
      </c>
      <c r="AT11" s="67">
        <f t="shared" si="22"/>
        <v>0</v>
      </c>
      <c r="AU11" s="67">
        <f t="shared" si="23"/>
        <v>0</v>
      </c>
      <c r="AV11" s="66" t="e">
        <f t="shared" si="24"/>
        <v>#DIV/0!</v>
      </c>
      <c r="AW11" s="61"/>
      <c r="AX11" s="61"/>
      <c r="AY11" s="66" t="e">
        <f t="shared" si="25"/>
        <v>#DIV/0!</v>
      </c>
      <c r="AZ11" s="61">
        <f t="shared" si="26"/>
        <v>0</v>
      </c>
      <c r="BA11" s="61">
        <f t="shared" si="27"/>
        <v>0</v>
      </c>
      <c r="BB11" s="66" t="e">
        <f t="shared" si="28"/>
        <v>#DIV/0!</v>
      </c>
      <c r="BC11" s="61"/>
      <c r="BD11" s="61"/>
      <c r="BE11" s="66" t="e">
        <f t="shared" si="29"/>
        <v>#DIV/0!</v>
      </c>
      <c r="BF11" s="61">
        <f t="shared" si="30"/>
        <v>0</v>
      </c>
      <c r="BG11" s="61">
        <f t="shared" si="31"/>
        <v>0</v>
      </c>
      <c r="BH11" s="66" t="e">
        <f t="shared" si="32"/>
        <v>#DIV/0!</v>
      </c>
      <c r="BI11" s="70"/>
      <c r="BJ11" s="61"/>
      <c r="BK11" s="61"/>
      <c r="BL11" s="61">
        <v>0</v>
      </c>
      <c r="BM11" s="71" t="e">
        <f t="shared" si="33"/>
        <v>#DIV/0!</v>
      </c>
    </row>
    <row r="12" spans="1:65" ht="12" customHeight="1">
      <c r="A12" s="52" t="s">
        <v>414</v>
      </c>
      <c r="B12" s="53" t="s">
        <v>414</v>
      </c>
      <c r="C12" s="57" t="s">
        <v>429</v>
      </c>
      <c r="D12" s="55" t="s">
        <v>56</v>
      </c>
      <c r="E12" s="55" t="s">
        <v>56</v>
      </c>
      <c r="F12" s="181" t="s">
        <v>420</v>
      </c>
      <c r="G12" s="182" t="s">
        <v>420</v>
      </c>
      <c r="H12" s="53" t="s">
        <v>421</v>
      </c>
      <c r="I12" s="53">
        <v>60</v>
      </c>
      <c r="J12" s="61">
        <v>39949.599999999999</v>
      </c>
      <c r="K12" s="61">
        <v>48502.36</v>
      </c>
      <c r="L12" s="66">
        <f t="shared" si="0"/>
        <v>0.214088751827302</v>
      </c>
      <c r="M12" s="61">
        <v>53457.4</v>
      </c>
      <c r="N12" s="61"/>
      <c r="O12" s="66">
        <f t="shared" si="1"/>
        <v>-1</v>
      </c>
      <c r="P12" s="61">
        <f t="shared" si="2"/>
        <v>93407</v>
      </c>
      <c r="Q12" s="61">
        <f t="shared" si="3"/>
        <v>48502.36</v>
      </c>
      <c r="R12" s="66">
        <f t="shared" si="4"/>
        <v>-0.48074170030083402</v>
      </c>
      <c r="S12" s="67">
        <v>3511.2</v>
      </c>
      <c r="T12" s="67">
        <v>58906.720000000001</v>
      </c>
      <c r="U12" s="66">
        <f t="shared" si="5"/>
        <v>15.7768056504899</v>
      </c>
      <c r="V12" s="68">
        <f t="shared" si="6"/>
        <v>96918.2</v>
      </c>
      <c r="W12" s="68">
        <f t="shared" si="7"/>
        <v>107409.08</v>
      </c>
      <c r="X12" s="66">
        <f t="shared" si="8"/>
        <v>0.108244684692865</v>
      </c>
      <c r="Y12" s="61"/>
      <c r="Z12" s="61">
        <v>111364.2</v>
      </c>
      <c r="AA12" s="66" t="e">
        <f t="shared" si="9"/>
        <v>#DIV/0!</v>
      </c>
      <c r="AB12" s="61">
        <f t="shared" si="10"/>
        <v>96918.2</v>
      </c>
      <c r="AC12" s="61">
        <f t="shared" si="11"/>
        <v>218773.28</v>
      </c>
      <c r="AD12" s="66">
        <f t="shared" si="12"/>
        <v>1.25729821643406</v>
      </c>
      <c r="AE12" s="61">
        <v>12352.88</v>
      </c>
      <c r="AF12" s="61"/>
      <c r="AG12" s="66">
        <f t="shared" si="13"/>
        <v>-1</v>
      </c>
      <c r="AH12" s="61">
        <f t="shared" si="14"/>
        <v>109271.08</v>
      </c>
      <c r="AI12" s="61">
        <f t="shared" si="15"/>
        <v>218773.28</v>
      </c>
      <c r="AJ12" s="66">
        <f t="shared" si="16"/>
        <v>1.0021151067601799</v>
      </c>
      <c r="AK12" s="61">
        <v>29376.799999999999</v>
      </c>
      <c r="AL12" s="61">
        <v>12125.48</v>
      </c>
      <c r="AM12" s="66">
        <f t="shared" si="17"/>
        <v>-0.58724299447182804</v>
      </c>
      <c r="AN12" s="61">
        <f t="shared" si="18"/>
        <v>138647.88</v>
      </c>
      <c r="AO12" s="61">
        <f t="shared" si="19"/>
        <v>230898.76</v>
      </c>
      <c r="AP12" s="66">
        <f t="shared" si="20"/>
        <v>0.66536091283905696</v>
      </c>
      <c r="AQ12" s="67">
        <v>40735.760000000002</v>
      </c>
      <c r="AR12" s="67">
        <v>40795.199999999997</v>
      </c>
      <c r="AS12" s="66">
        <f t="shared" si="21"/>
        <v>1.45916020714965E-3</v>
      </c>
      <c r="AT12" s="67">
        <f t="shared" si="22"/>
        <v>179383.64</v>
      </c>
      <c r="AU12" s="67">
        <f t="shared" si="23"/>
        <v>271693.96000000002</v>
      </c>
      <c r="AV12" s="66">
        <f t="shared" si="24"/>
        <v>0.51459720630041805</v>
      </c>
      <c r="AW12" s="61"/>
      <c r="AX12" s="61">
        <v>35606.44</v>
      </c>
      <c r="AY12" s="66" t="e">
        <f t="shared" si="25"/>
        <v>#DIV/0!</v>
      </c>
      <c r="AZ12" s="61">
        <f t="shared" si="26"/>
        <v>179383.64</v>
      </c>
      <c r="BA12" s="61">
        <f t="shared" si="27"/>
        <v>307300.40000000002</v>
      </c>
      <c r="BB12" s="66">
        <f t="shared" si="28"/>
        <v>0.71309044682112599</v>
      </c>
      <c r="BC12" s="61">
        <v>2182.44</v>
      </c>
      <c r="BD12" s="61"/>
      <c r="BE12" s="66">
        <f t="shared" si="29"/>
        <v>-1</v>
      </c>
      <c r="BF12" s="61">
        <f t="shared" si="30"/>
        <v>181566.07999999999</v>
      </c>
      <c r="BG12" s="61">
        <f t="shared" si="31"/>
        <v>307300.40000000002</v>
      </c>
      <c r="BH12" s="66">
        <f t="shared" si="32"/>
        <v>0.69249895134597805</v>
      </c>
      <c r="BI12" s="70">
        <v>25531.599999999999</v>
      </c>
      <c r="BJ12" s="61">
        <v>54562.52</v>
      </c>
      <c r="BK12" s="61">
        <v>68115.92</v>
      </c>
      <c r="BL12" s="61">
        <v>329776.12</v>
      </c>
      <c r="BM12" s="71">
        <f t="shared" si="33"/>
        <v>0.51216733333333297</v>
      </c>
    </row>
    <row r="13" spans="1:65" ht="12" customHeight="1">
      <c r="A13" s="52" t="s">
        <v>414</v>
      </c>
      <c r="B13" s="53" t="s">
        <v>414</v>
      </c>
      <c r="C13" s="54" t="s">
        <v>430</v>
      </c>
      <c r="D13" s="55" t="s">
        <v>61</v>
      </c>
      <c r="E13" s="55" t="s">
        <v>61</v>
      </c>
      <c r="F13" s="181" t="s">
        <v>431</v>
      </c>
      <c r="G13" s="182" t="s">
        <v>431</v>
      </c>
      <c r="H13" s="53" t="s">
        <v>417</v>
      </c>
      <c r="I13" s="53"/>
      <c r="J13" s="61"/>
      <c r="K13" s="61"/>
      <c r="L13" s="66" t="e">
        <f t="shared" si="0"/>
        <v>#DIV/0!</v>
      </c>
      <c r="M13" s="61"/>
      <c r="N13" s="61"/>
      <c r="O13" s="66" t="e">
        <f t="shared" si="1"/>
        <v>#DIV/0!</v>
      </c>
      <c r="P13" s="61">
        <f t="shared" si="2"/>
        <v>0</v>
      </c>
      <c r="Q13" s="61">
        <f t="shared" si="3"/>
        <v>0</v>
      </c>
      <c r="R13" s="66" t="e">
        <f t="shared" si="4"/>
        <v>#DIV/0!</v>
      </c>
      <c r="S13" s="67"/>
      <c r="T13" s="67"/>
      <c r="U13" s="66" t="e">
        <f t="shared" si="5"/>
        <v>#DIV/0!</v>
      </c>
      <c r="V13" s="68">
        <f t="shared" si="6"/>
        <v>0</v>
      </c>
      <c r="W13" s="68">
        <f t="shared" si="7"/>
        <v>0</v>
      </c>
      <c r="X13" s="66" t="e">
        <f t="shared" si="8"/>
        <v>#DIV/0!</v>
      </c>
      <c r="Y13" s="61"/>
      <c r="Z13" s="61"/>
      <c r="AA13" s="66" t="e">
        <f t="shared" si="9"/>
        <v>#DIV/0!</v>
      </c>
      <c r="AB13" s="61">
        <f t="shared" si="10"/>
        <v>0</v>
      </c>
      <c r="AC13" s="61">
        <f t="shared" si="11"/>
        <v>0</v>
      </c>
      <c r="AD13" s="66" t="e">
        <f t="shared" si="12"/>
        <v>#DIV/0!</v>
      </c>
      <c r="AE13" s="61">
        <v>8890</v>
      </c>
      <c r="AF13" s="61"/>
      <c r="AG13" s="66">
        <f t="shared" si="13"/>
        <v>-1</v>
      </c>
      <c r="AH13" s="61">
        <f t="shared" si="14"/>
        <v>8890</v>
      </c>
      <c r="AI13" s="61">
        <f t="shared" si="15"/>
        <v>0</v>
      </c>
      <c r="AJ13" s="66">
        <f t="shared" si="16"/>
        <v>-1</v>
      </c>
      <c r="AK13" s="61"/>
      <c r="AL13" s="61"/>
      <c r="AM13" s="66" t="e">
        <f t="shared" si="17"/>
        <v>#DIV/0!</v>
      </c>
      <c r="AN13" s="61">
        <f t="shared" si="18"/>
        <v>8890</v>
      </c>
      <c r="AO13" s="61">
        <f t="shared" si="19"/>
        <v>0</v>
      </c>
      <c r="AP13" s="66">
        <f t="shared" si="20"/>
        <v>-1</v>
      </c>
      <c r="AQ13" s="67"/>
      <c r="AR13" s="67"/>
      <c r="AS13" s="66" t="e">
        <f t="shared" si="21"/>
        <v>#DIV/0!</v>
      </c>
      <c r="AT13" s="67">
        <f t="shared" si="22"/>
        <v>8890</v>
      </c>
      <c r="AU13" s="67">
        <f t="shared" si="23"/>
        <v>0</v>
      </c>
      <c r="AV13" s="66">
        <f t="shared" si="24"/>
        <v>-1</v>
      </c>
      <c r="AW13" s="61"/>
      <c r="AX13" s="61"/>
      <c r="AY13" s="66" t="e">
        <f t="shared" si="25"/>
        <v>#DIV/0!</v>
      </c>
      <c r="AZ13" s="61">
        <f t="shared" si="26"/>
        <v>8890</v>
      </c>
      <c r="BA13" s="61">
        <f t="shared" si="27"/>
        <v>0</v>
      </c>
      <c r="BB13" s="66">
        <f t="shared" si="28"/>
        <v>-1</v>
      </c>
      <c r="BC13" s="61"/>
      <c r="BD13" s="61"/>
      <c r="BE13" s="66" t="e">
        <f t="shared" si="29"/>
        <v>#DIV/0!</v>
      </c>
      <c r="BF13" s="61">
        <f t="shared" si="30"/>
        <v>8890</v>
      </c>
      <c r="BG13" s="61">
        <f t="shared" si="31"/>
        <v>0</v>
      </c>
      <c r="BH13" s="66">
        <f t="shared" si="32"/>
        <v>-1</v>
      </c>
      <c r="BI13" s="70"/>
      <c r="BJ13" s="61"/>
      <c r="BK13" s="61"/>
      <c r="BL13" s="61">
        <v>8890</v>
      </c>
      <c r="BM13" s="71" t="e">
        <f t="shared" si="33"/>
        <v>#DIV/0!</v>
      </c>
    </row>
    <row r="14" spans="1:65" ht="12" customHeight="1">
      <c r="A14" s="52" t="s">
        <v>414</v>
      </c>
      <c r="B14" s="53" t="s">
        <v>414</v>
      </c>
      <c r="C14" s="54" t="s">
        <v>432</v>
      </c>
      <c r="D14" s="55" t="s">
        <v>61</v>
      </c>
      <c r="E14" s="55" t="s">
        <v>56</v>
      </c>
      <c r="F14" s="181" t="s">
        <v>416</v>
      </c>
      <c r="G14" s="182" t="s">
        <v>416</v>
      </c>
      <c r="H14" s="53" t="s">
        <v>417</v>
      </c>
      <c r="I14" s="53">
        <v>50</v>
      </c>
      <c r="J14" s="61">
        <v>50000</v>
      </c>
      <c r="K14" s="61">
        <v>100000</v>
      </c>
      <c r="L14" s="66">
        <f t="shared" si="0"/>
        <v>1</v>
      </c>
      <c r="M14" s="61"/>
      <c r="N14" s="61">
        <v>100000</v>
      </c>
      <c r="O14" s="66" t="e">
        <f t="shared" si="1"/>
        <v>#DIV/0!</v>
      </c>
      <c r="P14" s="61">
        <f t="shared" si="2"/>
        <v>50000</v>
      </c>
      <c r="Q14" s="61">
        <f t="shared" si="3"/>
        <v>200000</v>
      </c>
      <c r="R14" s="66">
        <f t="shared" si="4"/>
        <v>3</v>
      </c>
      <c r="S14" s="67">
        <v>20000</v>
      </c>
      <c r="T14" s="67">
        <v>50000</v>
      </c>
      <c r="U14" s="66">
        <f t="shared" si="5"/>
        <v>1.5</v>
      </c>
      <c r="V14" s="68">
        <f t="shared" si="6"/>
        <v>70000</v>
      </c>
      <c r="W14" s="68">
        <f t="shared" si="7"/>
        <v>250000</v>
      </c>
      <c r="X14" s="66">
        <f t="shared" si="8"/>
        <v>2.5714285714285698</v>
      </c>
      <c r="Y14" s="61"/>
      <c r="Z14" s="61">
        <v>30000</v>
      </c>
      <c r="AA14" s="66" t="e">
        <f t="shared" si="9"/>
        <v>#DIV/0!</v>
      </c>
      <c r="AB14" s="61">
        <f t="shared" si="10"/>
        <v>70000</v>
      </c>
      <c r="AC14" s="61">
        <f t="shared" si="11"/>
        <v>280000</v>
      </c>
      <c r="AD14" s="66">
        <f t="shared" si="12"/>
        <v>3</v>
      </c>
      <c r="AE14" s="61">
        <v>30000</v>
      </c>
      <c r="AF14" s="61">
        <v>30000</v>
      </c>
      <c r="AG14" s="66">
        <f t="shared" si="13"/>
        <v>0</v>
      </c>
      <c r="AH14" s="61">
        <f t="shared" si="14"/>
        <v>100000</v>
      </c>
      <c r="AI14" s="61">
        <f t="shared" si="15"/>
        <v>310000</v>
      </c>
      <c r="AJ14" s="66">
        <f t="shared" si="16"/>
        <v>2.1</v>
      </c>
      <c r="AK14" s="61">
        <v>60000</v>
      </c>
      <c r="AL14" s="61">
        <v>50000</v>
      </c>
      <c r="AM14" s="66">
        <f t="shared" si="17"/>
        <v>-0.16666666666666699</v>
      </c>
      <c r="AN14" s="61">
        <f t="shared" si="18"/>
        <v>160000</v>
      </c>
      <c r="AO14" s="61">
        <f t="shared" si="19"/>
        <v>360000</v>
      </c>
      <c r="AP14" s="66">
        <f t="shared" si="20"/>
        <v>1.25</v>
      </c>
      <c r="AQ14" s="67">
        <v>100000</v>
      </c>
      <c r="AR14" s="67">
        <v>261015</v>
      </c>
      <c r="AS14" s="66">
        <f t="shared" si="21"/>
        <v>1.61015</v>
      </c>
      <c r="AT14" s="67">
        <f t="shared" si="22"/>
        <v>260000</v>
      </c>
      <c r="AU14" s="67">
        <f t="shared" si="23"/>
        <v>621015</v>
      </c>
      <c r="AV14" s="66">
        <f t="shared" si="24"/>
        <v>1.38851923076923</v>
      </c>
      <c r="AW14" s="61">
        <v>183</v>
      </c>
      <c r="AX14" s="61"/>
      <c r="AY14" s="66">
        <f t="shared" si="25"/>
        <v>-1</v>
      </c>
      <c r="AZ14" s="61">
        <f t="shared" si="26"/>
        <v>260183</v>
      </c>
      <c r="BA14" s="61">
        <f t="shared" si="27"/>
        <v>621015</v>
      </c>
      <c r="BB14" s="66">
        <f t="shared" si="28"/>
        <v>1.3868392631340201</v>
      </c>
      <c r="BC14" s="61">
        <v>64720</v>
      </c>
      <c r="BD14" s="61">
        <v>80000</v>
      </c>
      <c r="BE14" s="66">
        <f t="shared" si="29"/>
        <v>0.23609394313967899</v>
      </c>
      <c r="BF14" s="61">
        <f t="shared" si="30"/>
        <v>324903</v>
      </c>
      <c r="BG14" s="61">
        <f t="shared" si="31"/>
        <v>701015</v>
      </c>
      <c r="BH14" s="66">
        <f t="shared" si="32"/>
        <v>1.1576131953229101</v>
      </c>
      <c r="BI14" s="70">
        <v>170000</v>
      </c>
      <c r="BJ14" s="61">
        <v>100000</v>
      </c>
      <c r="BK14" s="61">
        <v>210000</v>
      </c>
      <c r="BL14" s="61">
        <v>804903</v>
      </c>
      <c r="BM14" s="71">
        <f t="shared" si="33"/>
        <v>1.4020300000000001</v>
      </c>
    </row>
    <row r="15" spans="1:65" ht="12" customHeight="1">
      <c r="A15" s="52" t="s">
        <v>414</v>
      </c>
      <c r="B15" s="53" t="s">
        <v>414</v>
      </c>
      <c r="C15" s="54" t="s">
        <v>433</v>
      </c>
      <c r="D15" s="55" t="s">
        <v>61</v>
      </c>
      <c r="E15" s="55" t="s">
        <v>61</v>
      </c>
      <c r="F15" s="181" t="s">
        <v>434</v>
      </c>
      <c r="G15" s="182" t="s">
        <v>434</v>
      </c>
      <c r="H15" s="53" t="s">
        <v>435</v>
      </c>
      <c r="I15" s="53"/>
      <c r="J15" s="61"/>
      <c r="K15" s="61"/>
      <c r="L15" s="66" t="e">
        <f t="shared" si="0"/>
        <v>#DIV/0!</v>
      </c>
      <c r="M15" s="61"/>
      <c r="N15" s="61"/>
      <c r="O15" s="66" t="e">
        <f t="shared" si="1"/>
        <v>#DIV/0!</v>
      </c>
      <c r="P15" s="61">
        <f t="shared" si="2"/>
        <v>0</v>
      </c>
      <c r="Q15" s="61">
        <f t="shared" si="3"/>
        <v>0</v>
      </c>
      <c r="R15" s="66" t="e">
        <f t="shared" si="4"/>
        <v>#DIV/0!</v>
      </c>
      <c r="S15" s="67"/>
      <c r="T15" s="67"/>
      <c r="U15" s="66" t="e">
        <f t="shared" si="5"/>
        <v>#DIV/0!</v>
      </c>
      <c r="V15" s="68">
        <f t="shared" si="6"/>
        <v>0</v>
      </c>
      <c r="W15" s="68">
        <f t="shared" si="7"/>
        <v>0</v>
      </c>
      <c r="X15" s="66" t="e">
        <f t="shared" si="8"/>
        <v>#DIV/0!</v>
      </c>
      <c r="Y15" s="61"/>
      <c r="Z15" s="61"/>
      <c r="AA15" s="66" t="e">
        <f t="shared" si="9"/>
        <v>#DIV/0!</v>
      </c>
      <c r="AB15" s="61">
        <f t="shared" si="10"/>
        <v>0</v>
      </c>
      <c r="AC15" s="61">
        <f t="shared" si="11"/>
        <v>0</v>
      </c>
      <c r="AD15" s="66" t="e">
        <f t="shared" si="12"/>
        <v>#DIV/0!</v>
      </c>
      <c r="AE15" s="61"/>
      <c r="AF15" s="61"/>
      <c r="AG15" s="66" t="e">
        <f t="shared" si="13"/>
        <v>#DIV/0!</v>
      </c>
      <c r="AH15" s="61">
        <f t="shared" si="14"/>
        <v>0</v>
      </c>
      <c r="AI15" s="61">
        <f t="shared" si="15"/>
        <v>0</v>
      </c>
      <c r="AJ15" s="66" t="e">
        <f t="shared" si="16"/>
        <v>#DIV/0!</v>
      </c>
      <c r="AK15" s="61"/>
      <c r="AL15" s="61"/>
      <c r="AM15" s="66" t="e">
        <f t="shared" si="17"/>
        <v>#DIV/0!</v>
      </c>
      <c r="AN15" s="61">
        <f t="shared" si="18"/>
        <v>0</v>
      </c>
      <c r="AO15" s="61">
        <f t="shared" si="19"/>
        <v>0</v>
      </c>
      <c r="AP15" s="66" t="e">
        <f t="shared" si="20"/>
        <v>#DIV/0!</v>
      </c>
      <c r="AQ15" s="67"/>
      <c r="AR15" s="67"/>
      <c r="AS15" s="66" t="e">
        <f t="shared" si="21"/>
        <v>#DIV/0!</v>
      </c>
      <c r="AT15" s="67">
        <f t="shared" si="22"/>
        <v>0</v>
      </c>
      <c r="AU15" s="67">
        <f t="shared" si="23"/>
        <v>0</v>
      </c>
      <c r="AV15" s="66" t="e">
        <f t="shared" si="24"/>
        <v>#DIV/0!</v>
      </c>
      <c r="AW15" s="61"/>
      <c r="AX15" s="61"/>
      <c r="AY15" s="66" t="e">
        <f t="shared" si="25"/>
        <v>#DIV/0!</v>
      </c>
      <c r="AZ15" s="61">
        <f t="shared" si="26"/>
        <v>0</v>
      </c>
      <c r="BA15" s="61">
        <f t="shared" si="27"/>
        <v>0</v>
      </c>
      <c r="BB15" s="66" t="e">
        <f t="shared" si="28"/>
        <v>#DIV/0!</v>
      </c>
      <c r="BC15" s="61"/>
      <c r="BD15" s="61"/>
      <c r="BE15" s="66" t="e">
        <f t="shared" si="29"/>
        <v>#DIV/0!</v>
      </c>
      <c r="BF15" s="61">
        <f t="shared" si="30"/>
        <v>0</v>
      </c>
      <c r="BG15" s="61">
        <f t="shared" si="31"/>
        <v>0</v>
      </c>
      <c r="BH15" s="66" t="e">
        <f t="shared" si="32"/>
        <v>#DIV/0!</v>
      </c>
      <c r="BI15" s="70"/>
      <c r="BJ15" s="61"/>
      <c r="BK15" s="61"/>
      <c r="BL15" s="61">
        <v>0</v>
      </c>
      <c r="BM15" s="71" t="e">
        <f t="shared" si="33"/>
        <v>#DIV/0!</v>
      </c>
    </row>
    <row r="16" spans="1:65" ht="12" customHeight="1">
      <c r="A16" s="52" t="s">
        <v>414</v>
      </c>
      <c r="B16" s="53" t="s">
        <v>414</v>
      </c>
      <c r="C16" s="54" t="s">
        <v>436</v>
      </c>
      <c r="D16" s="55" t="s">
        <v>84</v>
      </c>
      <c r="E16" s="55" t="s">
        <v>84</v>
      </c>
      <c r="F16" s="55" t="s">
        <v>428</v>
      </c>
      <c r="G16" s="182" t="s">
        <v>437</v>
      </c>
      <c r="H16" s="53" t="s">
        <v>417</v>
      </c>
      <c r="I16" s="53"/>
      <c r="J16" s="61">
        <v>19598</v>
      </c>
      <c r="K16" s="61"/>
      <c r="L16" s="66">
        <f t="shared" si="0"/>
        <v>-1</v>
      </c>
      <c r="M16" s="61"/>
      <c r="N16" s="61"/>
      <c r="O16" s="66" t="e">
        <f t="shared" si="1"/>
        <v>#DIV/0!</v>
      </c>
      <c r="P16" s="61">
        <f t="shared" si="2"/>
        <v>19598</v>
      </c>
      <c r="Q16" s="61">
        <f t="shared" si="3"/>
        <v>0</v>
      </c>
      <c r="R16" s="66">
        <f t="shared" si="4"/>
        <v>-1</v>
      </c>
      <c r="S16" s="67">
        <v>12126</v>
      </c>
      <c r="T16" s="67"/>
      <c r="U16" s="66">
        <f t="shared" si="5"/>
        <v>-1</v>
      </c>
      <c r="V16" s="68">
        <f t="shared" si="6"/>
        <v>31724</v>
      </c>
      <c r="W16" s="68">
        <f t="shared" si="7"/>
        <v>0</v>
      </c>
      <c r="X16" s="66">
        <f t="shared" si="8"/>
        <v>-1</v>
      </c>
      <c r="Y16" s="61">
        <v>8048</v>
      </c>
      <c r="Z16" s="61"/>
      <c r="AA16" s="66">
        <f t="shared" si="9"/>
        <v>-1</v>
      </c>
      <c r="AB16" s="61">
        <f t="shared" si="10"/>
        <v>39772</v>
      </c>
      <c r="AC16" s="61">
        <f t="shared" si="11"/>
        <v>0</v>
      </c>
      <c r="AD16" s="66">
        <f t="shared" si="12"/>
        <v>-1</v>
      </c>
      <c r="AE16" s="61"/>
      <c r="AF16" s="61"/>
      <c r="AG16" s="66" t="e">
        <f t="shared" si="13"/>
        <v>#DIV/0!</v>
      </c>
      <c r="AH16" s="61">
        <f t="shared" si="14"/>
        <v>39772</v>
      </c>
      <c r="AI16" s="61">
        <f t="shared" si="15"/>
        <v>0</v>
      </c>
      <c r="AJ16" s="66">
        <f t="shared" si="16"/>
        <v>-1</v>
      </c>
      <c r="AK16" s="61">
        <v>4100</v>
      </c>
      <c r="AL16" s="61"/>
      <c r="AM16" s="66">
        <f t="shared" si="17"/>
        <v>-1</v>
      </c>
      <c r="AN16" s="61">
        <f t="shared" si="18"/>
        <v>43872</v>
      </c>
      <c r="AO16" s="61">
        <f t="shared" si="19"/>
        <v>0</v>
      </c>
      <c r="AP16" s="66">
        <f t="shared" si="20"/>
        <v>-1</v>
      </c>
      <c r="AQ16" s="67">
        <v>12498</v>
      </c>
      <c r="AR16" s="67"/>
      <c r="AS16" s="66">
        <f t="shared" si="21"/>
        <v>-1</v>
      </c>
      <c r="AT16" s="67">
        <f t="shared" si="22"/>
        <v>56370</v>
      </c>
      <c r="AU16" s="67">
        <f t="shared" si="23"/>
        <v>0</v>
      </c>
      <c r="AV16" s="66">
        <f t="shared" si="24"/>
        <v>-1</v>
      </c>
      <c r="AW16" s="61"/>
      <c r="AX16" s="61"/>
      <c r="AY16" s="66" t="e">
        <f t="shared" si="25"/>
        <v>#DIV/0!</v>
      </c>
      <c r="AZ16" s="61">
        <f t="shared" si="26"/>
        <v>56370</v>
      </c>
      <c r="BA16" s="61">
        <f t="shared" si="27"/>
        <v>0</v>
      </c>
      <c r="BB16" s="66">
        <f t="shared" si="28"/>
        <v>-1</v>
      </c>
      <c r="BC16" s="61"/>
      <c r="BD16" s="61"/>
      <c r="BE16" s="66" t="e">
        <f t="shared" si="29"/>
        <v>#DIV/0!</v>
      </c>
      <c r="BF16" s="61">
        <f t="shared" si="30"/>
        <v>56370</v>
      </c>
      <c r="BG16" s="61">
        <f t="shared" si="31"/>
        <v>0</v>
      </c>
      <c r="BH16" s="66">
        <f t="shared" si="32"/>
        <v>-1</v>
      </c>
      <c r="BI16" s="70"/>
      <c r="BJ16" s="61"/>
      <c r="BK16" s="61"/>
      <c r="BL16" s="61">
        <v>56370</v>
      </c>
      <c r="BM16" s="71" t="e">
        <f t="shared" si="33"/>
        <v>#DIV/0!</v>
      </c>
    </row>
    <row r="17" spans="1:65" ht="12" customHeight="1">
      <c r="A17" s="52" t="s">
        <v>414</v>
      </c>
      <c r="B17" s="53" t="s">
        <v>414</v>
      </c>
      <c r="C17" s="58" t="s">
        <v>438</v>
      </c>
      <c r="D17" s="55" t="s">
        <v>84</v>
      </c>
      <c r="E17" s="55" t="s">
        <v>84</v>
      </c>
      <c r="F17" s="181" t="s">
        <v>420</v>
      </c>
      <c r="G17" s="182" t="s">
        <v>420</v>
      </c>
      <c r="H17" s="53" t="s">
        <v>421</v>
      </c>
      <c r="I17" s="53"/>
      <c r="J17" s="61">
        <v>120138</v>
      </c>
      <c r="K17" s="61"/>
      <c r="L17" s="66">
        <f t="shared" si="0"/>
        <v>-1</v>
      </c>
      <c r="M17" s="61">
        <v>5300</v>
      </c>
      <c r="N17" s="61"/>
      <c r="O17" s="66">
        <f t="shared" si="1"/>
        <v>-1</v>
      </c>
      <c r="P17" s="61">
        <f t="shared" si="2"/>
        <v>125438</v>
      </c>
      <c r="Q17" s="61">
        <f t="shared" si="3"/>
        <v>0</v>
      </c>
      <c r="R17" s="66">
        <f t="shared" si="4"/>
        <v>-1</v>
      </c>
      <c r="S17" s="67">
        <v>42550</v>
      </c>
      <c r="T17" s="67"/>
      <c r="U17" s="66">
        <f t="shared" si="5"/>
        <v>-1</v>
      </c>
      <c r="V17" s="68">
        <f t="shared" si="6"/>
        <v>167988</v>
      </c>
      <c r="W17" s="68">
        <f t="shared" si="7"/>
        <v>0</v>
      </c>
      <c r="X17" s="66">
        <f t="shared" si="8"/>
        <v>-1</v>
      </c>
      <c r="Y17" s="61">
        <v>21498</v>
      </c>
      <c r="Z17" s="61"/>
      <c r="AA17" s="66">
        <f t="shared" si="9"/>
        <v>-1</v>
      </c>
      <c r="AB17" s="61">
        <f t="shared" si="10"/>
        <v>189486</v>
      </c>
      <c r="AC17" s="61">
        <f t="shared" si="11"/>
        <v>0</v>
      </c>
      <c r="AD17" s="66">
        <f t="shared" si="12"/>
        <v>-1</v>
      </c>
      <c r="AE17" s="61">
        <v>-5350</v>
      </c>
      <c r="AF17" s="61"/>
      <c r="AG17" s="66">
        <f t="shared" si="13"/>
        <v>-1</v>
      </c>
      <c r="AH17" s="61">
        <f t="shared" si="14"/>
        <v>184136</v>
      </c>
      <c r="AI17" s="61">
        <f t="shared" si="15"/>
        <v>0</v>
      </c>
      <c r="AJ17" s="66">
        <f t="shared" si="16"/>
        <v>-1</v>
      </c>
      <c r="AK17" s="61">
        <v>-5100</v>
      </c>
      <c r="AL17" s="61"/>
      <c r="AM17" s="66">
        <f t="shared" si="17"/>
        <v>-1</v>
      </c>
      <c r="AN17" s="61">
        <f t="shared" si="18"/>
        <v>179036</v>
      </c>
      <c r="AO17" s="61">
        <f t="shared" si="19"/>
        <v>0</v>
      </c>
      <c r="AP17" s="66">
        <f t="shared" si="20"/>
        <v>-1</v>
      </c>
      <c r="AQ17" s="67"/>
      <c r="AR17" s="67"/>
      <c r="AS17" s="66" t="e">
        <f t="shared" si="21"/>
        <v>#DIV/0!</v>
      </c>
      <c r="AT17" s="67">
        <f t="shared" si="22"/>
        <v>179036</v>
      </c>
      <c r="AU17" s="67">
        <f t="shared" si="23"/>
        <v>0</v>
      </c>
      <c r="AV17" s="66">
        <f t="shared" si="24"/>
        <v>-1</v>
      </c>
      <c r="AW17" s="61"/>
      <c r="AX17" s="61"/>
      <c r="AY17" s="66" t="e">
        <f t="shared" si="25"/>
        <v>#DIV/0!</v>
      </c>
      <c r="AZ17" s="61">
        <f t="shared" si="26"/>
        <v>179036</v>
      </c>
      <c r="BA17" s="61">
        <f t="shared" si="27"/>
        <v>0</v>
      </c>
      <c r="BB17" s="66">
        <f t="shared" si="28"/>
        <v>-1</v>
      </c>
      <c r="BC17" s="61"/>
      <c r="BD17" s="61"/>
      <c r="BE17" s="66" t="e">
        <f t="shared" si="29"/>
        <v>#DIV/0!</v>
      </c>
      <c r="BF17" s="61">
        <f t="shared" si="30"/>
        <v>179036</v>
      </c>
      <c r="BG17" s="61">
        <f t="shared" si="31"/>
        <v>0</v>
      </c>
      <c r="BH17" s="66">
        <f t="shared" si="32"/>
        <v>-1</v>
      </c>
      <c r="BI17" s="70"/>
      <c r="BJ17" s="61"/>
      <c r="BK17" s="61"/>
      <c r="BL17" s="61">
        <v>179036</v>
      </c>
      <c r="BM17" s="71" t="e">
        <f t="shared" si="33"/>
        <v>#DIV/0!</v>
      </c>
    </row>
    <row r="18" spans="1:65" ht="12" customHeight="1">
      <c r="A18" s="52" t="s">
        <v>414</v>
      </c>
      <c r="B18" s="53" t="s">
        <v>414</v>
      </c>
      <c r="C18" s="59" t="s">
        <v>439</v>
      </c>
      <c r="D18" s="55" t="s">
        <v>61</v>
      </c>
      <c r="E18" s="55" t="s">
        <v>61</v>
      </c>
      <c r="F18" s="181" t="s">
        <v>431</v>
      </c>
      <c r="G18" s="182" t="s">
        <v>431</v>
      </c>
      <c r="H18" s="53" t="s">
        <v>417</v>
      </c>
      <c r="I18" s="53"/>
      <c r="J18" s="61">
        <v>30747</v>
      </c>
      <c r="K18" s="61"/>
      <c r="L18" s="66">
        <f t="shared" si="0"/>
        <v>-1</v>
      </c>
      <c r="M18" s="61"/>
      <c r="N18" s="61"/>
      <c r="O18" s="66" t="e">
        <f t="shared" si="1"/>
        <v>#DIV/0!</v>
      </c>
      <c r="P18" s="61">
        <f t="shared" si="2"/>
        <v>30747</v>
      </c>
      <c r="Q18" s="61">
        <f t="shared" si="3"/>
        <v>0</v>
      </c>
      <c r="R18" s="66">
        <f t="shared" si="4"/>
        <v>-1</v>
      </c>
      <c r="S18" s="67"/>
      <c r="T18" s="67"/>
      <c r="U18" s="66" t="e">
        <f t="shared" si="5"/>
        <v>#DIV/0!</v>
      </c>
      <c r="V18" s="68">
        <f t="shared" si="6"/>
        <v>30747</v>
      </c>
      <c r="W18" s="68">
        <f t="shared" si="7"/>
        <v>0</v>
      </c>
      <c r="X18" s="66">
        <f t="shared" si="8"/>
        <v>-1</v>
      </c>
      <c r="Y18" s="61"/>
      <c r="Z18" s="61"/>
      <c r="AA18" s="66" t="e">
        <f t="shared" si="9"/>
        <v>#DIV/0!</v>
      </c>
      <c r="AB18" s="61">
        <f t="shared" si="10"/>
        <v>30747</v>
      </c>
      <c r="AC18" s="61">
        <f t="shared" si="11"/>
        <v>0</v>
      </c>
      <c r="AD18" s="66">
        <f t="shared" si="12"/>
        <v>-1</v>
      </c>
      <c r="AE18" s="61"/>
      <c r="AF18" s="61"/>
      <c r="AG18" s="66" t="e">
        <f t="shared" si="13"/>
        <v>#DIV/0!</v>
      </c>
      <c r="AH18" s="61">
        <f t="shared" si="14"/>
        <v>30747</v>
      </c>
      <c r="AI18" s="61">
        <f t="shared" si="15"/>
        <v>0</v>
      </c>
      <c r="AJ18" s="66">
        <f t="shared" si="16"/>
        <v>-1</v>
      </c>
      <c r="AK18" s="61"/>
      <c r="AL18" s="61"/>
      <c r="AM18" s="66" t="e">
        <f t="shared" si="17"/>
        <v>#DIV/0!</v>
      </c>
      <c r="AN18" s="61">
        <f t="shared" si="18"/>
        <v>30747</v>
      </c>
      <c r="AO18" s="61">
        <f t="shared" si="19"/>
        <v>0</v>
      </c>
      <c r="AP18" s="66">
        <f t="shared" si="20"/>
        <v>-1</v>
      </c>
      <c r="AQ18" s="67"/>
      <c r="AR18" s="67"/>
      <c r="AS18" s="66" t="e">
        <f t="shared" si="21"/>
        <v>#DIV/0!</v>
      </c>
      <c r="AT18" s="67">
        <f t="shared" si="22"/>
        <v>30747</v>
      </c>
      <c r="AU18" s="67">
        <f t="shared" si="23"/>
        <v>0</v>
      </c>
      <c r="AV18" s="66">
        <f t="shared" si="24"/>
        <v>-1</v>
      </c>
      <c r="AW18" s="61"/>
      <c r="AX18" s="61"/>
      <c r="AY18" s="66" t="e">
        <f t="shared" si="25"/>
        <v>#DIV/0!</v>
      </c>
      <c r="AZ18" s="61">
        <f t="shared" si="26"/>
        <v>30747</v>
      </c>
      <c r="BA18" s="61">
        <f t="shared" si="27"/>
        <v>0</v>
      </c>
      <c r="BB18" s="66">
        <f t="shared" si="28"/>
        <v>-1</v>
      </c>
      <c r="BC18" s="61"/>
      <c r="BD18" s="61"/>
      <c r="BE18" s="66" t="e">
        <f t="shared" si="29"/>
        <v>#DIV/0!</v>
      </c>
      <c r="BF18" s="61">
        <f t="shared" si="30"/>
        <v>30747</v>
      </c>
      <c r="BG18" s="61">
        <f t="shared" si="31"/>
        <v>0</v>
      </c>
      <c r="BH18" s="66">
        <f t="shared" si="32"/>
        <v>-1</v>
      </c>
      <c r="BI18" s="70"/>
      <c r="BJ18" s="61"/>
      <c r="BK18" s="61"/>
      <c r="BL18" s="61">
        <v>30747</v>
      </c>
      <c r="BM18" s="71" t="e">
        <f t="shared" si="33"/>
        <v>#DIV/0!</v>
      </c>
    </row>
    <row r="19" spans="1:65" ht="12" customHeight="1">
      <c r="A19" s="52" t="s">
        <v>414</v>
      </c>
      <c r="B19" s="53" t="s">
        <v>414</v>
      </c>
      <c r="C19" s="58" t="s">
        <v>440</v>
      </c>
      <c r="D19" s="55" t="s">
        <v>61</v>
      </c>
      <c r="E19" s="55" t="s">
        <v>61</v>
      </c>
      <c r="F19" s="181" t="s">
        <v>420</v>
      </c>
      <c r="G19" s="182" t="s">
        <v>420</v>
      </c>
      <c r="H19" s="53" t="s">
        <v>421</v>
      </c>
      <c r="I19" s="53"/>
      <c r="J19" s="61">
        <v>6935</v>
      </c>
      <c r="K19" s="61"/>
      <c r="L19" s="66">
        <f t="shared" si="0"/>
        <v>-1</v>
      </c>
      <c r="M19" s="61"/>
      <c r="N19" s="61"/>
      <c r="O19" s="66" t="e">
        <f t="shared" si="1"/>
        <v>#DIV/0!</v>
      </c>
      <c r="P19" s="61">
        <f t="shared" si="2"/>
        <v>6935</v>
      </c>
      <c r="Q19" s="61">
        <f t="shared" si="3"/>
        <v>0</v>
      </c>
      <c r="R19" s="66">
        <f t="shared" si="4"/>
        <v>-1</v>
      </c>
      <c r="S19" s="67">
        <v>1790</v>
      </c>
      <c r="T19" s="67"/>
      <c r="U19" s="66">
        <f t="shared" si="5"/>
        <v>-1</v>
      </c>
      <c r="V19" s="68">
        <f t="shared" si="6"/>
        <v>8725</v>
      </c>
      <c r="W19" s="68">
        <f t="shared" si="7"/>
        <v>0</v>
      </c>
      <c r="X19" s="66">
        <f t="shared" si="8"/>
        <v>-1</v>
      </c>
      <c r="Y19" s="61">
        <v>3360</v>
      </c>
      <c r="Z19" s="61"/>
      <c r="AA19" s="66">
        <f t="shared" si="9"/>
        <v>-1</v>
      </c>
      <c r="AB19" s="61">
        <f t="shared" si="10"/>
        <v>12085</v>
      </c>
      <c r="AC19" s="61">
        <f t="shared" si="11"/>
        <v>0</v>
      </c>
      <c r="AD19" s="66">
        <f t="shared" si="12"/>
        <v>-1</v>
      </c>
      <c r="AE19" s="61"/>
      <c r="AF19" s="61"/>
      <c r="AG19" s="66" t="e">
        <f t="shared" si="13"/>
        <v>#DIV/0!</v>
      </c>
      <c r="AH19" s="61">
        <f t="shared" si="14"/>
        <v>12085</v>
      </c>
      <c r="AI19" s="61">
        <f t="shared" si="15"/>
        <v>0</v>
      </c>
      <c r="AJ19" s="66">
        <f t="shared" si="16"/>
        <v>-1</v>
      </c>
      <c r="AK19" s="61"/>
      <c r="AL19" s="61"/>
      <c r="AM19" s="66" t="e">
        <f t="shared" si="17"/>
        <v>#DIV/0!</v>
      </c>
      <c r="AN19" s="61">
        <f t="shared" si="18"/>
        <v>12085</v>
      </c>
      <c r="AO19" s="61">
        <f t="shared" si="19"/>
        <v>0</v>
      </c>
      <c r="AP19" s="66">
        <f t="shared" si="20"/>
        <v>-1</v>
      </c>
      <c r="AQ19" s="67"/>
      <c r="AR19" s="67"/>
      <c r="AS19" s="66" t="e">
        <f t="shared" si="21"/>
        <v>#DIV/0!</v>
      </c>
      <c r="AT19" s="67">
        <f t="shared" si="22"/>
        <v>12085</v>
      </c>
      <c r="AU19" s="67">
        <f t="shared" si="23"/>
        <v>0</v>
      </c>
      <c r="AV19" s="66">
        <f t="shared" si="24"/>
        <v>-1</v>
      </c>
      <c r="AW19" s="61"/>
      <c r="AX19" s="61"/>
      <c r="AY19" s="66" t="e">
        <f t="shared" si="25"/>
        <v>#DIV/0!</v>
      </c>
      <c r="AZ19" s="61">
        <f t="shared" si="26"/>
        <v>12085</v>
      </c>
      <c r="BA19" s="61">
        <f t="shared" si="27"/>
        <v>0</v>
      </c>
      <c r="BB19" s="66">
        <f t="shared" si="28"/>
        <v>-1</v>
      </c>
      <c r="BC19" s="61"/>
      <c r="BD19" s="61"/>
      <c r="BE19" s="66" t="e">
        <f t="shared" si="29"/>
        <v>#DIV/0!</v>
      </c>
      <c r="BF19" s="61">
        <f t="shared" si="30"/>
        <v>12085</v>
      </c>
      <c r="BG19" s="61">
        <f t="shared" si="31"/>
        <v>0</v>
      </c>
      <c r="BH19" s="66">
        <f t="shared" si="32"/>
        <v>-1</v>
      </c>
      <c r="BI19" s="70"/>
      <c r="BJ19" s="61"/>
      <c r="BK19" s="61"/>
      <c r="BL19" s="61">
        <v>12085</v>
      </c>
      <c r="BM19" s="71" t="e">
        <f t="shared" si="33"/>
        <v>#DIV/0!</v>
      </c>
    </row>
    <row r="20" spans="1:65" ht="12" customHeight="1">
      <c r="A20" s="52" t="s">
        <v>414</v>
      </c>
      <c r="B20" s="53" t="s">
        <v>414</v>
      </c>
      <c r="C20" s="58" t="s">
        <v>441</v>
      </c>
      <c r="D20" s="55" t="s">
        <v>84</v>
      </c>
      <c r="E20" s="55" t="s">
        <v>84</v>
      </c>
      <c r="F20" s="181" t="s">
        <v>416</v>
      </c>
      <c r="G20" s="182" t="s">
        <v>416</v>
      </c>
      <c r="H20" s="53"/>
      <c r="I20" s="53"/>
      <c r="J20" s="61"/>
      <c r="K20" s="61"/>
      <c r="L20" s="66" t="e">
        <f t="shared" si="0"/>
        <v>#DIV/0!</v>
      </c>
      <c r="M20" s="61"/>
      <c r="N20" s="61"/>
      <c r="O20" s="66" t="e">
        <f t="shared" si="1"/>
        <v>#DIV/0!</v>
      </c>
      <c r="P20" s="61">
        <f t="shared" si="2"/>
        <v>0</v>
      </c>
      <c r="Q20" s="61">
        <f t="shared" si="3"/>
        <v>0</v>
      </c>
      <c r="R20" s="66" t="e">
        <f t="shared" si="4"/>
        <v>#DIV/0!</v>
      </c>
      <c r="S20" s="67"/>
      <c r="T20" s="67"/>
      <c r="U20" s="66" t="e">
        <f t="shared" si="5"/>
        <v>#DIV/0!</v>
      </c>
      <c r="V20" s="68">
        <f t="shared" si="6"/>
        <v>0</v>
      </c>
      <c r="W20" s="68">
        <f t="shared" si="7"/>
        <v>0</v>
      </c>
      <c r="X20" s="66" t="e">
        <f t="shared" si="8"/>
        <v>#DIV/0!</v>
      </c>
      <c r="Y20" s="61"/>
      <c r="Z20" s="61"/>
      <c r="AA20" s="66" t="e">
        <f t="shared" si="9"/>
        <v>#DIV/0!</v>
      </c>
      <c r="AB20" s="61">
        <f t="shared" si="10"/>
        <v>0</v>
      </c>
      <c r="AC20" s="61">
        <f t="shared" si="11"/>
        <v>0</v>
      </c>
      <c r="AD20" s="66" t="e">
        <f t="shared" si="12"/>
        <v>#DIV/0!</v>
      </c>
      <c r="AE20" s="61"/>
      <c r="AF20" s="61"/>
      <c r="AG20" s="66" t="e">
        <f t="shared" si="13"/>
        <v>#DIV/0!</v>
      </c>
      <c r="AH20" s="61">
        <f t="shared" si="14"/>
        <v>0</v>
      </c>
      <c r="AI20" s="61">
        <f t="shared" si="15"/>
        <v>0</v>
      </c>
      <c r="AJ20" s="66" t="e">
        <f t="shared" si="16"/>
        <v>#DIV/0!</v>
      </c>
      <c r="AK20" s="61"/>
      <c r="AL20" s="61"/>
      <c r="AM20" s="66" t="e">
        <f t="shared" si="17"/>
        <v>#DIV/0!</v>
      </c>
      <c r="AN20" s="61">
        <f t="shared" si="18"/>
        <v>0</v>
      </c>
      <c r="AO20" s="61">
        <f t="shared" si="19"/>
        <v>0</v>
      </c>
      <c r="AP20" s="66" t="e">
        <f t="shared" si="20"/>
        <v>#DIV/0!</v>
      </c>
      <c r="AQ20" s="67"/>
      <c r="AR20" s="67"/>
      <c r="AS20" s="66" t="e">
        <f t="shared" si="21"/>
        <v>#DIV/0!</v>
      </c>
      <c r="AT20" s="67">
        <f t="shared" si="22"/>
        <v>0</v>
      </c>
      <c r="AU20" s="67">
        <f t="shared" si="23"/>
        <v>0</v>
      </c>
      <c r="AV20" s="66" t="e">
        <f t="shared" si="24"/>
        <v>#DIV/0!</v>
      </c>
      <c r="AW20" s="61"/>
      <c r="AX20" s="61"/>
      <c r="AY20" s="66" t="e">
        <f t="shared" si="25"/>
        <v>#DIV/0!</v>
      </c>
      <c r="AZ20" s="61">
        <f t="shared" si="26"/>
        <v>0</v>
      </c>
      <c r="BA20" s="61">
        <f t="shared" si="27"/>
        <v>0</v>
      </c>
      <c r="BB20" s="66" t="e">
        <f t="shared" si="28"/>
        <v>#DIV/0!</v>
      </c>
      <c r="BC20" s="61"/>
      <c r="BD20" s="61"/>
      <c r="BE20" s="66" t="e">
        <f t="shared" si="29"/>
        <v>#DIV/0!</v>
      </c>
      <c r="BF20" s="61">
        <f t="shared" si="30"/>
        <v>0</v>
      </c>
      <c r="BG20" s="61">
        <f t="shared" si="31"/>
        <v>0</v>
      </c>
      <c r="BH20" s="66" t="e">
        <f t="shared" si="32"/>
        <v>#DIV/0!</v>
      </c>
      <c r="BI20" s="70"/>
      <c r="BJ20" s="61"/>
      <c r="BK20" s="61"/>
      <c r="BL20" s="61">
        <v>0</v>
      </c>
      <c r="BM20" s="71" t="e">
        <f t="shared" si="33"/>
        <v>#DIV/0!</v>
      </c>
    </row>
    <row r="21" spans="1:65" ht="12" customHeight="1">
      <c r="A21" s="52" t="s">
        <v>414</v>
      </c>
      <c r="B21" s="53" t="s">
        <v>414</v>
      </c>
      <c r="C21" s="58" t="s">
        <v>442</v>
      </c>
      <c r="D21" s="55" t="s">
        <v>61</v>
      </c>
      <c r="E21" s="55" t="s">
        <v>61</v>
      </c>
      <c r="F21" s="181" t="s">
        <v>443</v>
      </c>
      <c r="G21" s="182" t="s">
        <v>443</v>
      </c>
      <c r="H21" s="53" t="s">
        <v>435</v>
      </c>
      <c r="I21" s="53"/>
      <c r="J21" s="61"/>
      <c r="K21" s="61"/>
      <c r="L21" s="66" t="e">
        <f t="shared" si="0"/>
        <v>#DIV/0!</v>
      </c>
      <c r="M21" s="61"/>
      <c r="N21" s="61"/>
      <c r="O21" s="66" t="e">
        <f t="shared" si="1"/>
        <v>#DIV/0!</v>
      </c>
      <c r="P21" s="61">
        <f t="shared" si="2"/>
        <v>0</v>
      </c>
      <c r="Q21" s="61">
        <f t="shared" si="3"/>
        <v>0</v>
      </c>
      <c r="R21" s="66" t="e">
        <f t="shared" si="4"/>
        <v>#DIV/0!</v>
      </c>
      <c r="S21" s="67"/>
      <c r="T21" s="67"/>
      <c r="U21" s="66" t="e">
        <f t="shared" si="5"/>
        <v>#DIV/0!</v>
      </c>
      <c r="V21" s="68">
        <f t="shared" si="6"/>
        <v>0</v>
      </c>
      <c r="W21" s="68">
        <f t="shared" si="7"/>
        <v>0</v>
      </c>
      <c r="X21" s="66" t="e">
        <f t="shared" si="8"/>
        <v>#DIV/0!</v>
      </c>
      <c r="Y21" s="61"/>
      <c r="Z21" s="61"/>
      <c r="AA21" s="66" t="e">
        <f t="shared" si="9"/>
        <v>#DIV/0!</v>
      </c>
      <c r="AB21" s="61">
        <f t="shared" si="10"/>
        <v>0</v>
      </c>
      <c r="AC21" s="61">
        <f t="shared" si="11"/>
        <v>0</v>
      </c>
      <c r="AD21" s="66" t="e">
        <f t="shared" si="12"/>
        <v>#DIV/0!</v>
      </c>
      <c r="AE21" s="61"/>
      <c r="AF21" s="61"/>
      <c r="AG21" s="66" t="e">
        <f t="shared" si="13"/>
        <v>#DIV/0!</v>
      </c>
      <c r="AH21" s="61">
        <f t="shared" si="14"/>
        <v>0</v>
      </c>
      <c r="AI21" s="61">
        <f t="shared" si="15"/>
        <v>0</v>
      </c>
      <c r="AJ21" s="66" t="e">
        <f t="shared" si="16"/>
        <v>#DIV/0!</v>
      </c>
      <c r="AK21" s="61"/>
      <c r="AL21" s="61"/>
      <c r="AM21" s="66" t="e">
        <f t="shared" si="17"/>
        <v>#DIV/0!</v>
      </c>
      <c r="AN21" s="61">
        <f t="shared" si="18"/>
        <v>0</v>
      </c>
      <c r="AO21" s="61">
        <f t="shared" si="19"/>
        <v>0</v>
      </c>
      <c r="AP21" s="66" t="e">
        <f t="shared" si="20"/>
        <v>#DIV/0!</v>
      </c>
      <c r="AQ21" s="67"/>
      <c r="AR21" s="67"/>
      <c r="AS21" s="66" t="e">
        <f t="shared" si="21"/>
        <v>#DIV/0!</v>
      </c>
      <c r="AT21" s="67">
        <f t="shared" si="22"/>
        <v>0</v>
      </c>
      <c r="AU21" s="67">
        <f t="shared" si="23"/>
        <v>0</v>
      </c>
      <c r="AV21" s="66" t="e">
        <f t="shared" si="24"/>
        <v>#DIV/0!</v>
      </c>
      <c r="AW21" s="61"/>
      <c r="AX21" s="61"/>
      <c r="AY21" s="66" t="e">
        <f t="shared" si="25"/>
        <v>#DIV/0!</v>
      </c>
      <c r="AZ21" s="61">
        <f t="shared" si="26"/>
        <v>0</v>
      </c>
      <c r="BA21" s="61">
        <f t="shared" si="27"/>
        <v>0</v>
      </c>
      <c r="BB21" s="66" t="e">
        <f t="shared" si="28"/>
        <v>#DIV/0!</v>
      </c>
      <c r="BC21" s="61"/>
      <c r="BD21" s="61"/>
      <c r="BE21" s="66" t="e">
        <f t="shared" si="29"/>
        <v>#DIV/0!</v>
      </c>
      <c r="BF21" s="61">
        <f t="shared" si="30"/>
        <v>0</v>
      </c>
      <c r="BG21" s="61">
        <f t="shared" si="31"/>
        <v>0</v>
      </c>
      <c r="BH21" s="66" t="e">
        <f t="shared" si="32"/>
        <v>#DIV/0!</v>
      </c>
      <c r="BI21" s="70"/>
      <c r="BJ21" s="61"/>
      <c r="BK21" s="61"/>
      <c r="BL21" s="61">
        <v>0</v>
      </c>
      <c r="BM21" s="71" t="e">
        <f t="shared" si="33"/>
        <v>#DIV/0!</v>
      </c>
    </row>
    <row r="22" spans="1:65" ht="12" customHeight="1">
      <c r="A22" s="52" t="s">
        <v>414</v>
      </c>
      <c r="B22" s="53" t="s">
        <v>414</v>
      </c>
      <c r="C22" s="58" t="s">
        <v>444</v>
      </c>
      <c r="D22" s="55" t="s">
        <v>61</v>
      </c>
      <c r="E22" s="55" t="s">
        <v>61</v>
      </c>
      <c r="F22" s="55" t="s">
        <v>428</v>
      </c>
      <c r="G22" s="182" t="s">
        <v>445</v>
      </c>
      <c r="H22" s="53" t="s">
        <v>417</v>
      </c>
      <c r="I22" s="53"/>
      <c r="J22" s="61"/>
      <c r="K22" s="61"/>
      <c r="L22" s="66" t="e">
        <f t="shared" si="0"/>
        <v>#DIV/0!</v>
      </c>
      <c r="M22" s="61"/>
      <c r="N22" s="61"/>
      <c r="O22" s="66" t="e">
        <f t="shared" si="1"/>
        <v>#DIV/0!</v>
      </c>
      <c r="P22" s="61">
        <f t="shared" si="2"/>
        <v>0</v>
      </c>
      <c r="Q22" s="61">
        <f t="shared" si="3"/>
        <v>0</v>
      </c>
      <c r="R22" s="66" t="e">
        <f t="shared" si="4"/>
        <v>#DIV/0!</v>
      </c>
      <c r="S22" s="67"/>
      <c r="T22" s="67"/>
      <c r="U22" s="66" t="e">
        <f t="shared" si="5"/>
        <v>#DIV/0!</v>
      </c>
      <c r="V22" s="68">
        <f t="shared" si="6"/>
        <v>0</v>
      </c>
      <c r="W22" s="68">
        <f t="shared" si="7"/>
        <v>0</v>
      </c>
      <c r="X22" s="66" t="e">
        <f t="shared" si="8"/>
        <v>#DIV/0!</v>
      </c>
      <c r="Y22" s="61"/>
      <c r="Z22" s="61"/>
      <c r="AA22" s="66" t="e">
        <f t="shared" si="9"/>
        <v>#DIV/0!</v>
      </c>
      <c r="AB22" s="61">
        <f t="shared" si="10"/>
        <v>0</v>
      </c>
      <c r="AC22" s="61">
        <f t="shared" si="11"/>
        <v>0</v>
      </c>
      <c r="AD22" s="66" t="e">
        <f t="shared" si="12"/>
        <v>#DIV/0!</v>
      </c>
      <c r="AE22" s="61"/>
      <c r="AF22" s="61"/>
      <c r="AG22" s="66" t="e">
        <f t="shared" si="13"/>
        <v>#DIV/0!</v>
      </c>
      <c r="AH22" s="61">
        <f t="shared" si="14"/>
        <v>0</v>
      </c>
      <c r="AI22" s="61">
        <f t="shared" si="15"/>
        <v>0</v>
      </c>
      <c r="AJ22" s="66" t="e">
        <f t="shared" si="16"/>
        <v>#DIV/0!</v>
      </c>
      <c r="AK22" s="61"/>
      <c r="AL22" s="61"/>
      <c r="AM22" s="66" t="e">
        <f t="shared" si="17"/>
        <v>#DIV/0!</v>
      </c>
      <c r="AN22" s="61">
        <f t="shared" si="18"/>
        <v>0</v>
      </c>
      <c r="AO22" s="61">
        <f t="shared" si="19"/>
        <v>0</v>
      </c>
      <c r="AP22" s="66" t="e">
        <f t="shared" si="20"/>
        <v>#DIV/0!</v>
      </c>
      <c r="AQ22" s="67"/>
      <c r="AR22" s="67"/>
      <c r="AS22" s="66" t="e">
        <f t="shared" si="21"/>
        <v>#DIV/0!</v>
      </c>
      <c r="AT22" s="67">
        <f t="shared" si="22"/>
        <v>0</v>
      </c>
      <c r="AU22" s="67">
        <f t="shared" si="23"/>
        <v>0</v>
      </c>
      <c r="AV22" s="66" t="e">
        <f t="shared" si="24"/>
        <v>#DIV/0!</v>
      </c>
      <c r="AW22" s="61"/>
      <c r="AX22" s="61"/>
      <c r="AY22" s="66" t="e">
        <f t="shared" si="25"/>
        <v>#DIV/0!</v>
      </c>
      <c r="AZ22" s="61">
        <f t="shared" si="26"/>
        <v>0</v>
      </c>
      <c r="BA22" s="61">
        <f t="shared" si="27"/>
        <v>0</v>
      </c>
      <c r="BB22" s="66" t="e">
        <f t="shared" si="28"/>
        <v>#DIV/0!</v>
      </c>
      <c r="BC22" s="61"/>
      <c r="BD22" s="61"/>
      <c r="BE22" s="66" t="e">
        <f t="shared" si="29"/>
        <v>#DIV/0!</v>
      </c>
      <c r="BF22" s="61">
        <f t="shared" si="30"/>
        <v>0</v>
      </c>
      <c r="BG22" s="61">
        <f t="shared" si="31"/>
        <v>0</v>
      </c>
      <c r="BH22" s="66" t="e">
        <f t="shared" si="32"/>
        <v>#DIV/0!</v>
      </c>
      <c r="BI22" s="70"/>
      <c r="BJ22" s="61"/>
      <c r="BK22" s="61"/>
      <c r="BL22" s="61">
        <v>0</v>
      </c>
      <c r="BM22" s="71" t="e">
        <f t="shared" si="33"/>
        <v>#DIV/0!</v>
      </c>
    </row>
    <row r="23" spans="1:65" ht="12" customHeight="1">
      <c r="A23" s="52" t="s">
        <v>414</v>
      </c>
      <c r="B23" s="53" t="s">
        <v>414</v>
      </c>
      <c r="C23" s="58" t="s">
        <v>446</v>
      </c>
      <c r="D23" s="55" t="s">
        <v>84</v>
      </c>
      <c r="E23" s="55" t="s">
        <v>84</v>
      </c>
      <c r="F23" s="181" t="s">
        <v>420</v>
      </c>
      <c r="G23" s="182" t="s">
        <v>420</v>
      </c>
      <c r="H23" s="53" t="s">
        <v>421</v>
      </c>
      <c r="I23" s="53">
        <v>75</v>
      </c>
      <c r="J23" s="61">
        <v>27260</v>
      </c>
      <c r="K23" s="61">
        <v>5740</v>
      </c>
      <c r="L23" s="66">
        <f t="shared" si="0"/>
        <v>-0.78943506969919297</v>
      </c>
      <c r="M23" s="61"/>
      <c r="N23" s="61"/>
      <c r="O23" s="66" t="e">
        <f t="shared" si="1"/>
        <v>#DIV/0!</v>
      </c>
      <c r="P23" s="61">
        <f t="shared" si="2"/>
        <v>27260</v>
      </c>
      <c r="Q23" s="61">
        <f t="shared" si="3"/>
        <v>5740</v>
      </c>
      <c r="R23" s="66">
        <f t="shared" si="4"/>
        <v>-0.78943506969919297</v>
      </c>
      <c r="S23" s="67">
        <v>39798</v>
      </c>
      <c r="T23" s="67">
        <v>171582</v>
      </c>
      <c r="U23" s="66">
        <f t="shared" si="5"/>
        <v>3.3113221769938201</v>
      </c>
      <c r="V23" s="68">
        <f t="shared" si="6"/>
        <v>67058</v>
      </c>
      <c r="W23" s="68">
        <f t="shared" si="7"/>
        <v>177322</v>
      </c>
      <c r="X23" s="66">
        <f t="shared" si="8"/>
        <v>1.64430791255331</v>
      </c>
      <c r="Y23" s="61">
        <v>16600</v>
      </c>
      <c r="Z23" s="61">
        <v>18753</v>
      </c>
      <c r="AA23" s="66">
        <f t="shared" si="9"/>
        <v>0.129698795180723</v>
      </c>
      <c r="AB23" s="61">
        <f t="shared" si="10"/>
        <v>83658</v>
      </c>
      <c r="AC23" s="61">
        <f t="shared" si="11"/>
        <v>196075</v>
      </c>
      <c r="AD23" s="66">
        <f t="shared" si="12"/>
        <v>1.3437686772335</v>
      </c>
      <c r="AE23" s="61">
        <v>13180</v>
      </c>
      <c r="AF23" s="61">
        <v>9903</v>
      </c>
      <c r="AG23" s="66">
        <f t="shared" si="13"/>
        <v>-0.248634294385432</v>
      </c>
      <c r="AH23" s="61">
        <f t="shared" si="14"/>
        <v>96838</v>
      </c>
      <c r="AI23" s="61">
        <f t="shared" si="15"/>
        <v>205978</v>
      </c>
      <c r="AJ23" s="66">
        <f t="shared" si="16"/>
        <v>1.12703690699932</v>
      </c>
      <c r="AK23" s="61">
        <v>14700</v>
      </c>
      <c r="AL23" s="61">
        <v>47569</v>
      </c>
      <c r="AM23" s="66">
        <f t="shared" si="17"/>
        <v>2.2359863945578198</v>
      </c>
      <c r="AN23" s="61">
        <f t="shared" si="18"/>
        <v>111538</v>
      </c>
      <c r="AO23" s="61">
        <f t="shared" si="19"/>
        <v>253547</v>
      </c>
      <c r="AP23" s="66">
        <f t="shared" si="20"/>
        <v>1.2731894063009901</v>
      </c>
      <c r="AQ23" s="67">
        <v>24650</v>
      </c>
      <c r="AR23" s="67">
        <v>8027</v>
      </c>
      <c r="AS23" s="66">
        <f t="shared" si="21"/>
        <v>-0.67436105476673402</v>
      </c>
      <c r="AT23" s="67">
        <f t="shared" si="22"/>
        <v>136188</v>
      </c>
      <c r="AU23" s="67">
        <f t="shared" si="23"/>
        <v>261574</v>
      </c>
      <c r="AV23" s="66">
        <f t="shared" si="24"/>
        <v>0.92068317326049298</v>
      </c>
      <c r="AW23" s="61">
        <v>7800</v>
      </c>
      <c r="AX23" s="61">
        <v>18191</v>
      </c>
      <c r="AY23" s="66">
        <f t="shared" si="25"/>
        <v>1.3321794871794901</v>
      </c>
      <c r="AZ23" s="61">
        <f t="shared" si="26"/>
        <v>143988</v>
      </c>
      <c r="BA23" s="61">
        <f t="shared" si="27"/>
        <v>279765</v>
      </c>
      <c r="BB23" s="66">
        <f t="shared" si="28"/>
        <v>0.942974414534544</v>
      </c>
      <c r="BC23" s="61">
        <v>78325</v>
      </c>
      <c r="BD23" s="61">
        <v>7936</v>
      </c>
      <c r="BE23" s="66">
        <f t="shared" si="29"/>
        <v>-0.89867858282795998</v>
      </c>
      <c r="BF23" s="61">
        <f t="shared" si="30"/>
        <v>222313</v>
      </c>
      <c r="BG23" s="61">
        <f t="shared" si="31"/>
        <v>287701</v>
      </c>
      <c r="BH23" s="66">
        <f t="shared" si="32"/>
        <v>0.29412584959044202</v>
      </c>
      <c r="BI23" s="70">
        <v>155793</v>
      </c>
      <c r="BJ23" s="61">
        <v>68760</v>
      </c>
      <c r="BK23" s="61">
        <v>115959</v>
      </c>
      <c r="BL23" s="61">
        <v>562825</v>
      </c>
      <c r="BM23" s="71">
        <f t="shared" si="33"/>
        <v>0.38360133333333302</v>
      </c>
    </row>
    <row r="24" spans="1:65" ht="12" customHeight="1">
      <c r="A24" s="52" t="s">
        <v>414</v>
      </c>
      <c r="B24" s="53" t="s">
        <v>414</v>
      </c>
      <c r="C24" s="58" t="s">
        <v>447</v>
      </c>
      <c r="D24" s="55" t="s">
        <v>61</v>
      </c>
      <c r="E24" s="55" t="s">
        <v>61</v>
      </c>
      <c r="F24" s="55" t="s">
        <v>428</v>
      </c>
      <c r="G24" s="182" t="s">
        <v>448</v>
      </c>
      <c r="H24" s="53" t="s">
        <v>417</v>
      </c>
      <c r="I24" s="53"/>
      <c r="J24" s="61"/>
      <c r="K24" s="61"/>
      <c r="L24" s="66" t="e">
        <f t="shared" si="0"/>
        <v>#DIV/0!</v>
      </c>
      <c r="M24" s="61"/>
      <c r="N24" s="61"/>
      <c r="O24" s="66" t="e">
        <f t="shared" si="1"/>
        <v>#DIV/0!</v>
      </c>
      <c r="P24" s="61">
        <f t="shared" si="2"/>
        <v>0</v>
      </c>
      <c r="Q24" s="61">
        <f t="shared" si="3"/>
        <v>0</v>
      </c>
      <c r="R24" s="66" t="e">
        <f t="shared" si="4"/>
        <v>#DIV/0!</v>
      </c>
      <c r="S24" s="67"/>
      <c r="T24" s="67"/>
      <c r="U24" s="66" t="e">
        <f t="shared" si="5"/>
        <v>#DIV/0!</v>
      </c>
      <c r="V24" s="68">
        <f t="shared" si="6"/>
        <v>0</v>
      </c>
      <c r="W24" s="68">
        <f t="shared" si="7"/>
        <v>0</v>
      </c>
      <c r="X24" s="66" t="e">
        <f t="shared" si="8"/>
        <v>#DIV/0!</v>
      </c>
      <c r="Y24" s="61"/>
      <c r="Z24" s="61"/>
      <c r="AA24" s="66" t="e">
        <f t="shared" si="9"/>
        <v>#DIV/0!</v>
      </c>
      <c r="AB24" s="61">
        <f t="shared" si="10"/>
        <v>0</v>
      </c>
      <c r="AC24" s="61">
        <f t="shared" si="11"/>
        <v>0</v>
      </c>
      <c r="AD24" s="66" t="e">
        <f t="shared" si="12"/>
        <v>#DIV/0!</v>
      </c>
      <c r="AE24" s="61"/>
      <c r="AF24" s="61"/>
      <c r="AG24" s="66" t="e">
        <f t="shared" si="13"/>
        <v>#DIV/0!</v>
      </c>
      <c r="AH24" s="61">
        <f t="shared" si="14"/>
        <v>0</v>
      </c>
      <c r="AI24" s="61">
        <f t="shared" si="15"/>
        <v>0</v>
      </c>
      <c r="AJ24" s="66" t="e">
        <f t="shared" si="16"/>
        <v>#DIV/0!</v>
      </c>
      <c r="AK24" s="61"/>
      <c r="AL24" s="61"/>
      <c r="AM24" s="66" t="e">
        <f t="shared" si="17"/>
        <v>#DIV/0!</v>
      </c>
      <c r="AN24" s="61">
        <f t="shared" si="18"/>
        <v>0</v>
      </c>
      <c r="AO24" s="61">
        <f t="shared" si="19"/>
        <v>0</v>
      </c>
      <c r="AP24" s="66" t="e">
        <f t="shared" si="20"/>
        <v>#DIV/0!</v>
      </c>
      <c r="AQ24" s="67"/>
      <c r="AR24" s="67"/>
      <c r="AS24" s="66" t="e">
        <f t="shared" si="21"/>
        <v>#DIV/0!</v>
      </c>
      <c r="AT24" s="67">
        <f t="shared" si="22"/>
        <v>0</v>
      </c>
      <c r="AU24" s="67">
        <f t="shared" si="23"/>
        <v>0</v>
      </c>
      <c r="AV24" s="66" t="e">
        <f t="shared" si="24"/>
        <v>#DIV/0!</v>
      </c>
      <c r="AW24" s="61"/>
      <c r="AX24" s="61"/>
      <c r="AY24" s="66" t="e">
        <f t="shared" si="25"/>
        <v>#DIV/0!</v>
      </c>
      <c r="AZ24" s="61">
        <f t="shared" si="26"/>
        <v>0</v>
      </c>
      <c r="BA24" s="61">
        <f t="shared" si="27"/>
        <v>0</v>
      </c>
      <c r="BB24" s="66" t="e">
        <f t="shared" si="28"/>
        <v>#DIV/0!</v>
      </c>
      <c r="BC24" s="61"/>
      <c r="BD24" s="61"/>
      <c r="BE24" s="66" t="e">
        <f t="shared" si="29"/>
        <v>#DIV/0!</v>
      </c>
      <c r="BF24" s="61">
        <f t="shared" si="30"/>
        <v>0</v>
      </c>
      <c r="BG24" s="61">
        <f t="shared" si="31"/>
        <v>0</v>
      </c>
      <c r="BH24" s="66" t="e">
        <f t="shared" si="32"/>
        <v>#DIV/0!</v>
      </c>
      <c r="BI24" s="70"/>
      <c r="BJ24" s="61"/>
      <c r="BK24" s="61"/>
      <c r="BL24" s="61">
        <v>0</v>
      </c>
      <c r="BM24" s="71" t="e">
        <f t="shared" si="33"/>
        <v>#DIV/0!</v>
      </c>
    </row>
    <row r="25" spans="1:65" ht="12" customHeight="1">
      <c r="A25" s="52" t="s">
        <v>414</v>
      </c>
      <c r="B25" s="53" t="s">
        <v>414</v>
      </c>
      <c r="C25" s="58" t="s">
        <v>449</v>
      </c>
      <c r="D25" s="55" t="s">
        <v>84</v>
      </c>
      <c r="E25" s="55" t="s">
        <v>84</v>
      </c>
      <c r="F25" s="55" t="s">
        <v>428</v>
      </c>
      <c r="G25" s="182" t="s">
        <v>448</v>
      </c>
      <c r="H25" s="53" t="s">
        <v>417</v>
      </c>
      <c r="I25" s="53">
        <v>110</v>
      </c>
      <c r="J25" s="61">
        <v>17400</v>
      </c>
      <c r="K25" s="61"/>
      <c r="L25" s="66">
        <f t="shared" si="0"/>
        <v>-1</v>
      </c>
      <c r="M25" s="61">
        <v>3300</v>
      </c>
      <c r="N25" s="61">
        <v>62580</v>
      </c>
      <c r="O25" s="66">
        <f t="shared" si="1"/>
        <v>17.9636363636364</v>
      </c>
      <c r="P25" s="61">
        <f t="shared" si="2"/>
        <v>20700</v>
      </c>
      <c r="Q25" s="61">
        <f t="shared" si="3"/>
        <v>62580</v>
      </c>
      <c r="R25" s="66">
        <f t="shared" si="4"/>
        <v>2.0231884057971001</v>
      </c>
      <c r="S25" s="67">
        <v>58298</v>
      </c>
      <c r="T25" s="67">
        <v>122189</v>
      </c>
      <c r="U25" s="66">
        <f t="shared" si="5"/>
        <v>1.09593811108443</v>
      </c>
      <c r="V25" s="68">
        <f t="shared" si="6"/>
        <v>78998</v>
      </c>
      <c r="W25" s="68">
        <f t="shared" si="7"/>
        <v>184769</v>
      </c>
      <c r="X25" s="66">
        <f t="shared" si="8"/>
        <v>1.33890731410922</v>
      </c>
      <c r="Y25" s="61">
        <v>67034</v>
      </c>
      <c r="Z25" s="61">
        <v>103708</v>
      </c>
      <c r="AA25" s="66">
        <f t="shared" si="9"/>
        <v>0.54709550377420402</v>
      </c>
      <c r="AB25" s="61">
        <f t="shared" si="10"/>
        <v>146032</v>
      </c>
      <c r="AC25" s="61">
        <f t="shared" si="11"/>
        <v>288477</v>
      </c>
      <c r="AD25" s="66">
        <f t="shared" si="12"/>
        <v>0.97543689054453797</v>
      </c>
      <c r="AE25" s="61">
        <v>67348</v>
      </c>
      <c r="AF25" s="61">
        <v>118753</v>
      </c>
      <c r="AG25" s="66">
        <f t="shared" si="13"/>
        <v>0.76327433628318597</v>
      </c>
      <c r="AH25" s="61">
        <f t="shared" si="14"/>
        <v>213380</v>
      </c>
      <c r="AI25" s="61">
        <f t="shared" si="15"/>
        <v>407230</v>
      </c>
      <c r="AJ25" s="66">
        <f t="shared" si="16"/>
        <v>0.90847314649920297</v>
      </c>
      <c r="AK25" s="61">
        <v>72780</v>
      </c>
      <c r="AL25" s="61">
        <v>180556</v>
      </c>
      <c r="AM25" s="66">
        <f t="shared" si="17"/>
        <v>1.48084638636988</v>
      </c>
      <c r="AN25" s="61">
        <f t="shared" si="18"/>
        <v>286160</v>
      </c>
      <c r="AO25" s="61">
        <f t="shared" si="19"/>
        <v>587786</v>
      </c>
      <c r="AP25" s="66">
        <f t="shared" si="20"/>
        <v>1.0540466871680201</v>
      </c>
      <c r="AQ25" s="67">
        <v>15500</v>
      </c>
      <c r="AR25" s="67">
        <v>30071</v>
      </c>
      <c r="AS25" s="66">
        <f t="shared" si="21"/>
        <v>0.94006451612903197</v>
      </c>
      <c r="AT25" s="67">
        <f t="shared" si="22"/>
        <v>301660</v>
      </c>
      <c r="AU25" s="67">
        <f t="shared" si="23"/>
        <v>617857</v>
      </c>
      <c r="AV25" s="66">
        <f t="shared" si="24"/>
        <v>1.04819001524896</v>
      </c>
      <c r="AW25" s="61">
        <v>59910</v>
      </c>
      <c r="AX25" s="61">
        <v>53234</v>
      </c>
      <c r="AY25" s="66">
        <f t="shared" si="25"/>
        <v>-0.111433817392756</v>
      </c>
      <c r="AZ25" s="61">
        <f t="shared" si="26"/>
        <v>361570</v>
      </c>
      <c r="BA25" s="61">
        <f t="shared" si="27"/>
        <v>671091</v>
      </c>
      <c r="BB25" s="66">
        <f t="shared" si="28"/>
        <v>0.85604723843239205</v>
      </c>
      <c r="BC25" s="61">
        <v>73542</v>
      </c>
      <c r="BD25" s="61">
        <v>9777</v>
      </c>
      <c r="BE25" s="66">
        <f t="shared" si="29"/>
        <v>-0.86705556008811302</v>
      </c>
      <c r="BF25" s="61">
        <f t="shared" si="30"/>
        <v>435112</v>
      </c>
      <c r="BG25" s="61">
        <f t="shared" si="31"/>
        <v>680868</v>
      </c>
      <c r="BH25" s="66">
        <f t="shared" si="32"/>
        <v>0.56481089926271899</v>
      </c>
      <c r="BI25" s="70">
        <v>220523</v>
      </c>
      <c r="BJ25" s="61">
        <v>158890</v>
      </c>
      <c r="BK25" s="61">
        <v>64510</v>
      </c>
      <c r="BL25" s="61">
        <v>879035</v>
      </c>
      <c r="BM25" s="71">
        <f t="shared" si="33"/>
        <v>0.61897090909090902</v>
      </c>
    </row>
    <row r="26" spans="1:65" ht="12" customHeight="1">
      <c r="A26" s="52" t="s">
        <v>414</v>
      </c>
      <c r="B26" s="53" t="s">
        <v>414</v>
      </c>
      <c r="C26" s="54" t="s">
        <v>450</v>
      </c>
      <c r="D26" s="55" t="s">
        <v>88</v>
      </c>
      <c r="E26" s="55" t="s">
        <v>88</v>
      </c>
      <c r="F26" s="55" t="s">
        <v>428</v>
      </c>
      <c r="G26" s="182" t="s">
        <v>448</v>
      </c>
      <c r="H26" s="53" t="s">
        <v>451</v>
      </c>
      <c r="I26" s="53"/>
      <c r="J26" s="61">
        <v>5270</v>
      </c>
      <c r="K26" s="61">
        <v>30721.94</v>
      </c>
      <c r="L26" s="66">
        <f t="shared" si="0"/>
        <v>4.8295901328273203</v>
      </c>
      <c r="M26" s="61">
        <v>19220</v>
      </c>
      <c r="N26" s="61">
        <v>3251.56</v>
      </c>
      <c r="O26" s="66">
        <f t="shared" si="1"/>
        <v>-0.83082414151925099</v>
      </c>
      <c r="P26" s="61">
        <f t="shared" si="2"/>
        <v>24490</v>
      </c>
      <c r="Q26" s="61">
        <f t="shared" si="3"/>
        <v>33973.5</v>
      </c>
      <c r="R26" s="66">
        <f t="shared" si="4"/>
        <v>0.38723968966925298</v>
      </c>
      <c r="S26" s="67">
        <v>6350</v>
      </c>
      <c r="T26" s="67">
        <v>17977.560000000001</v>
      </c>
      <c r="U26" s="66">
        <f t="shared" si="5"/>
        <v>1.83111181102362</v>
      </c>
      <c r="V26" s="68">
        <f t="shared" si="6"/>
        <v>30840</v>
      </c>
      <c r="W26" s="68">
        <f t="shared" si="7"/>
        <v>51951.06</v>
      </c>
      <c r="X26" s="66">
        <f t="shared" si="8"/>
        <v>0.68453501945525297</v>
      </c>
      <c r="Y26" s="61">
        <v>11488.2</v>
      </c>
      <c r="Z26" s="61">
        <v>20480.060000000001</v>
      </c>
      <c r="AA26" s="66">
        <f t="shared" si="9"/>
        <v>0.78270399192214601</v>
      </c>
      <c r="AB26" s="61">
        <f t="shared" si="10"/>
        <v>42328.2</v>
      </c>
      <c r="AC26" s="61">
        <f t="shared" si="11"/>
        <v>72431.12</v>
      </c>
      <c r="AD26" s="66">
        <f t="shared" si="12"/>
        <v>0.71117883585883601</v>
      </c>
      <c r="AE26" s="61">
        <v>5121</v>
      </c>
      <c r="AF26" s="61"/>
      <c r="AG26" s="66">
        <f t="shared" si="13"/>
        <v>-1</v>
      </c>
      <c r="AH26" s="61">
        <f t="shared" si="14"/>
        <v>47449.2</v>
      </c>
      <c r="AI26" s="61">
        <f t="shared" si="15"/>
        <v>72431.12</v>
      </c>
      <c r="AJ26" s="66">
        <f t="shared" si="16"/>
        <v>0.52649823390067696</v>
      </c>
      <c r="AK26" s="61">
        <v>15150</v>
      </c>
      <c r="AL26" s="61">
        <v>40700.9</v>
      </c>
      <c r="AM26" s="66">
        <f t="shared" si="17"/>
        <v>1.68652805280528</v>
      </c>
      <c r="AN26" s="61">
        <f t="shared" si="18"/>
        <v>62599.199999999997</v>
      </c>
      <c r="AO26" s="61">
        <f t="shared" si="19"/>
        <v>113132.02</v>
      </c>
      <c r="AP26" s="66">
        <f t="shared" si="20"/>
        <v>0.80724386254137404</v>
      </c>
      <c r="AQ26" s="67">
        <v>101.3</v>
      </c>
      <c r="AR26" s="67">
        <v>309</v>
      </c>
      <c r="AS26" s="66">
        <f t="shared" si="21"/>
        <v>2.0503455083909201</v>
      </c>
      <c r="AT26" s="67">
        <f t="shared" si="22"/>
        <v>62700.5</v>
      </c>
      <c r="AU26" s="67">
        <f t="shared" si="23"/>
        <v>113441.02</v>
      </c>
      <c r="AV26" s="66">
        <f t="shared" si="24"/>
        <v>0.809252238817872</v>
      </c>
      <c r="AW26" s="61">
        <v>0</v>
      </c>
      <c r="AX26" s="61">
        <v>7749.56</v>
      </c>
      <c r="AY26" s="66" t="e">
        <f t="shared" si="25"/>
        <v>#DIV/0!</v>
      </c>
      <c r="AZ26" s="61">
        <f t="shared" si="26"/>
        <v>62700.5</v>
      </c>
      <c r="BA26" s="61">
        <f t="shared" si="27"/>
        <v>121190.58</v>
      </c>
      <c r="BB26" s="66">
        <f t="shared" si="28"/>
        <v>0.93284870136601805</v>
      </c>
      <c r="BC26" s="61">
        <v>18676</v>
      </c>
      <c r="BD26" s="61">
        <v>8980</v>
      </c>
      <c r="BE26" s="66">
        <f t="shared" si="29"/>
        <v>-0.51916898693510405</v>
      </c>
      <c r="BF26" s="61">
        <f t="shared" si="30"/>
        <v>81376.5</v>
      </c>
      <c r="BG26" s="61">
        <f t="shared" si="31"/>
        <v>130170.58</v>
      </c>
      <c r="BH26" s="66">
        <f t="shared" si="32"/>
        <v>0.59960897802191004</v>
      </c>
      <c r="BI26" s="70">
        <v>62574.2</v>
      </c>
      <c r="BJ26" s="61">
        <v>14270.76</v>
      </c>
      <c r="BK26" s="61">
        <v>71901.240000000005</v>
      </c>
      <c r="BL26" s="61">
        <v>230122.7</v>
      </c>
      <c r="BM26" s="71" t="e">
        <f t="shared" si="33"/>
        <v>#DIV/0!</v>
      </c>
    </row>
    <row r="27" spans="1:65" ht="12" customHeight="1">
      <c r="A27" s="52" t="s">
        <v>414</v>
      </c>
      <c r="B27" s="53" t="s">
        <v>414</v>
      </c>
      <c r="C27" s="54" t="s">
        <v>452</v>
      </c>
      <c r="D27" s="55" t="s">
        <v>65</v>
      </c>
      <c r="E27" s="55" t="s">
        <v>65</v>
      </c>
      <c r="F27" s="181" t="s">
        <v>443</v>
      </c>
      <c r="G27" s="182" t="s">
        <v>443</v>
      </c>
      <c r="H27" s="53" t="s">
        <v>435</v>
      </c>
      <c r="I27" s="53">
        <v>70</v>
      </c>
      <c r="J27" s="61">
        <v>66035</v>
      </c>
      <c r="K27" s="61"/>
      <c r="L27" s="66">
        <f t="shared" si="0"/>
        <v>-1</v>
      </c>
      <c r="M27" s="61">
        <v>7715</v>
      </c>
      <c r="N27" s="61">
        <v>12400</v>
      </c>
      <c r="O27" s="66">
        <f t="shared" si="1"/>
        <v>0.60725858716785497</v>
      </c>
      <c r="P27" s="61">
        <f t="shared" si="2"/>
        <v>73750</v>
      </c>
      <c r="Q27" s="61">
        <f t="shared" si="3"/>
        <v>12400</v>
      </c>
      <c r="R27" s="66">
        <f t="shared" si="4"/>
        <v>-0.831864406779661</v>
      </c>
      <c r="S27" s="67">
        <v>45495</v>
      </c>
      <c r="T27" s="67">
        <v>10831</v>
      </c>
      <c r="U27" s="66">
        <f t="shared" si="5"/>
        <v>-0.76192988240465997</v>
      </c>
      <c r="V27" s="68">
        <f t="shared" si="6"/>
        <v>119245</v>
      </c>
      <c r="W27" s="68">
        <f t="shared" si="7"/>
        <v>23231</v>
      </c>
      <c r="X27" s="66">
        <f t="shared" si="8"/>
        <v>-0.80518260723720103</v>
      </c>
      <c r="Y27" s="61">
        <v>7084</v>
      </c>
      <c r="Z27" s="61">
        <v>35125</v>
      </c>
      <c r="AA27" s="66">
        <f t="shared" si="9"/>
        <v>3.95835686053077</v>
      </c>
      <c r="AB27" s="61">
        <f t="shared" si="10"/>
        <v>126329</v>
      </c>
      <c r="AC27" s="61">
        <f t="shared" si="11"/>
        <v>58356</v>
      </c>
      <c r="AD27" s="66">
        <f t="shared" si="12"/>
        <v>-0.53806331087873704</v>
      </c>
      <c r="AE27" s="61">
        <v>28101</v>
      </c>
      <c r="AF27" s="61">
        <v>11948</v>
      </c>
      <c r="AG27" s="66">
        <f t="shared" si="13"/>
        <v>-0.57481940144478805</v>
      </c>
      <c r="AH27" s="61">
        <f t="shared" si="14"/>
        <v>154430</v>
      </c>
      <c r="AI27" s="61">
        <f t="shared" si="15"/>
        <v>70304</v>
      </c>
      <c r="AJ27" s="66">
        <f t="shared" si="16"/>
        <v>-0.54475166742213299</v>
      </c>
      <c r="AK27" s="61">
        <v>18286</v>
      </c>
      <c r="AL27" s="61">
        <v>117838.5</v>
      </c>
      <c r="AM27" s="66">
        <f t="shared" si="17"/>
        <v>5.4441922782456498</v>
      </c>
      <c r="AN27" s="61">
        <f t="shared" si="18"/>
        <v>172716</v>
      </c>
      <c r="AO27" s="61">
        <f t="shared" si="19"/>
        <v>188142.5</v>
      </c>
      <c r="AP27" s="66">
        <f t="shared" si="20"/>
        <v>8.9317144908404505E-2</v>
      </c>
      <c r="AQ27" s="67">
        <v>14715</v>
      </c>
      <c r="AR27" s="67">
        <v>23451.46</v>
      </c>
      <c r="AS27" s="66">
        <f t="shared" si="21"/>
        <v>0.59371117906897697</v>
      </c>
      <c r="AT27" s="67">
        <f t="shared" si="22"/>
        <v>187431</v>
      </c>
      <c r="AU27" s="67">
        <f t="shared" si="23"/>
        <v>211593.96</v>
      </c>
      <c r="AV27" s="66">
        <f t="shared" si="24"/>
        <v>0.128916561294556</v>
      </c>
      <c r="AW27" s="61">
        <v>26645</v>
      </c>
      <c r="AX27" s="61">
        <v>23450</v>
      </c>
      <c r="AY27" s="66">
        <f t="shared" si="25"/>
        <v>-0.119909926815538</v>
      </c>
      <c r="AZ27" s="61">
        <f t="shared" si="26"/>
        <v>214076</v>
      </c>
      <c r="BA27" s="61">
        <f t="shared" si="27"/>
        <v>235043.96</v>
      </c>
      <c r="BB27" s="66">
        <f t="shared" si="28"/>
        <v>9.7946336814962898E-2</v>
      </c>
      <c r="BC27" s="61">
        <v>45576</v>
      </c>
      <c r="BD27" s="61">
        <v>10678</v>
      </c>
      <c r="BE27" s="66">
        <f t="shared" si="29"/>
        <v>-0.765710022819028</v>
      </c>
      <c r="BF27" s="61">
        <f t="shared" si="30"/>
        <v>259652</v>
      </c>
      <c r="BG27" s="61">
        <f t="shared" si="31"/>
        <v>245721.96</v>
      </c>
      <c r="BH27" s="66">
        <f t="shared" si="32"/>
        <v>-5.3648883890746103E-2</v>
      </c>
      <c r="BI27" s="70">
        <v>117631</v>
      </c>
      <c r="BJ27" s="61">
        <v>102421.75</v>
      </c>
      <c r="BK27" s="61">
        <v>129488</v>
      </c>
      <c r="BL27" s="61">
        <v>609192.75</v>
      </c>
      <c r="BM27" s="71">
        <f t="shared" si="33"/>
        <v>0.35103137142857099</v>
      </c>
    </row>
    <row r="28" spans="1:65" ht="12" customHeight="1">
      <c r="A28" s="52" t="s">
        <v>414</v>
      </c>
      <c r="B28" s="53" t="s">
        <v>453</v>
      </c>
      <c r="C28" s="54" t="s">
        <v>454</v>
      </c>
      <c r="D28" s="55" t="s">
        <v>61</v>
      </c>
      <c r="E28" s="55" t="s">
        <v>61</v>
      </c>
      <c r="F28" s="55" t="s">
        <v>455</v>
      </c>
      <c r="G28" s="53" t="s">
        <v>456</v>
      </c>
      <c r="H28" s="53" t="s">
        <v>457</v>
      </c>
      <c r="I28" s="53"/>
      <c r="J28" s="61"/>
      <c r="K28" s="61"/>
      <c r="L28" s="66" t="e">
        <f t="shared" si="0"/>
        <v>#DIV/0!</v>
      </c>
      <c r="M28" s="61"/>
      <c r="N28" s="61"/>
      <c r="O28" s="66" t="e">
        <f t="shared" si="1"/>
        <v>#DIV/0!</v>
      </c>
      <c r="P28" s="61">
        <f t="shared" si="2"/>
        <v>0</v>
      </c>
      <c r="Q28" s="61">
        <f t="shared" si="3"/>
        <v>0</v>
      </c>
      <c r="R28" s="66" t="e">
        <f t="shared" si="4"/>
        <v>#DIV/0!</v>
      </c>
      <c r="S28" s="67"/>
      <c r="T28" s="67"/>
      <c r="U28" s="66" t="e">
        <f t="shared" si="5"/>
        <v>#DIV/0!</v>
      </c>
      <c r="V28" s="68">
        <f t="shared" si="6"/>
        <v>0</v>
      </c>
      <c r="W28" s="68">
        <f t="shared" si="7"/>
        <v>0</v>
      </c>
      <c r="X28" s="66" t="e">
        <f t="shared" si="8"/>
        <v>#DIV/0!</v>
      </c>
      <c r="Y28" s="61"/>
      <c r="Z28" s="61"/>
      <c r="AA28" s="66" t="e">
        <f t="shared" si="9"/>
        <v>#DIV/0!</v>
      </c>
      <c r="AB28" s="61">
        <f t="shared" si="10"/>
        <v>0</v>
      </c>
      <c r="AC28" s="61">
        <f t="shared" si="11"/>
        <v>0</v>
      </c>
      <c r="AD28" s="66" t="e">
        <f t="shared" si="12"/>
        <v>#DIV/0!</v>
      </c>
      <c r="AE28" s="61"/>
      <c r="AF28" s="61"/>
      <c r="AG28" s="66" t="e">
        <f t="shared" si="13"/>
        <v>#DIV/0!</v>
      </c>
      <c r="AH28" s="61">
        <f t="shared" si="14"/>
        <v>0</v>
      </c>
      <c r="AI28" s="61">
        <f t="shared" si="15"/>
        <v>0</v>
      </c>
      <c r="AJ28" s="66" t="e">
        <f t="shared" si="16"/>
        <v>#DIV/0!</v>
      </c>
      <c r="AK28" s="61"/>
      <c r="AL28" s="61"/>
      <c r="AM28" s="66" t="e">
        <f t="shared" si="17"/>
        <v>#DIV/0!</v>
      </c>
      <c r="AN28" s="61">
        <f t="shared" si="18"/>
        <v>0</v>
      </c>
      <c r="AO28" s="61">
        <f t="shared" si="19"/>
        <v>0</v>
      </c>
      <c r="AP28" s="66" t="e">
        <f t="shared" si="20"/>
        <v>#DIV/0!</v>
      </c>
      <c r="AQ28" s="67"/>
      <c r="AR28" s="67"/>
      <c r="AS28" s="66" t="e">
        <f t="shared" si="21"/>
        <v>#DIV/0!</v>
      </c>
      <c r="AT28" s="67">
        <f t="shared" si="22"/>
        <v>0</v>
      </c>
      <c r="AU28" s="67">
        <f t="shared" si="23"/>
        <v>0</v>
      </c>
      <c r="AV28" s="66" t="e">
        <f t="shared" si="24"/>
        <v>#DIV/0!</v>
      </c>
      <c r="AW28" s="61"/>
      <c r="AX28" s="61"/>
      <c r="AY28" s="66" t="e">
        <f t="shared" si="25"/>
        <v>#DIV/0!</v>
      </c>
      <c r="AZ28" s="61">
        <f t="shared" si="26"/>
        <v>0</v>
      </c>
      <c r="BA28" s="61">
        <f t="shared" si="27"/>
        <v>0</v>
      </c>
      <c r="BB28" s="66" t="e">
        <f t="shared" si="28"/>
        <v>#DIV/0!</v>
      </c>
      <c r="BC28" s="61"/>
      <c r="BD28" s="61"/>
      <c r="BE28" s="66" t="e">
        <f t="shared" si="29"/>
        <v>#DIV/0!</v>
      </c>
      <c r="BF28" s="61">
        <f t="shared" si="30"/>
        <v>0</v>
      </c>
      <c r="BG28" s="61">
        <f t="shared" si="31"/>
        <v>0</v>
      </c>
      <c r="BH28" s="66" t="e">
        <f t="shared" si="32"/>
        <v>#DIV/0!</v>
      </c>
      <c r="BI28" s="70"/>
      <c r="BJ28" s="61"/>
      <c r="BK28" s="61"/>
      <c r="BL28" s="61">
        <v>0</v>
      </c>
      <c r="BM28" s="71" t="e">
        <f t="shared" si="33"/>
        <v>#DIV/0!</v>
      </c>
    </row>
    <row r="29" spans="1:65" ht="12" customHeight="1">
      <c r="A29" s="52" t="s">
        <v>414</v>
      </c>
      <c r="B29" s="53" t="s">
        <v>453</v>
      </c>
      <c r="C29" s="54" t="s">
        <v>458</v>
      </c>
      <c r="D29" s="55" t="s">
        <v>61</v>
      </c>
      <c r="E29" s="55" t="s">
        <v>61</v>
      </c>
      <c r="F29" s="55" t="s">
        <v>455</v>
      </c>
      <c r="G29" s="53" t="s">
        <v>456</v>
      </c>
      <c r="H29" s="53" t="s">
        <v>457</v>
      </c>
      <c r="I29" s="53"/>
      <c r="J29" s="61"/>
      <c r="K29" s="61"/>
      <c r="L29" s="66" t="e">
        <f t="shared" si="0"/>
        <v>#DIV/0!</v>
      </c>
      <c r="M29" s="61"/>
      <c r="N29" s="61"/>
      <c r="O29" s="66" t="e">
        <f t="shared" si="1"/>
        <v>#DIV/0!</v>
      </c>
      <c r="P29" s="61">
        <f t="shared" si="2"/>
        <v>0</v>
      </c>
      <c r="Q29" s="61">
        <f t="shared" si="3"/>
        <v>0</v>
      </c>
      <c r="R29" s="66" t="e">
        <f t="shared" si="4"/>
        <v>#DIV/0!</v>
      </c>
      <c r="S29" s="67"/>
      <c r="T29" s="67"/>
      <c r="U29" s="66" t="e">
        <f t="shared" si="5"/>
        <v>#DIV/0!</v>
      </c>
      <c r="V29" s="68">
        <f t="shared" si="6"/>
        <v>0</v>
      </c>
      <c r="W29" s="68">
        <f t="shared" si="7"/>
        <v>0</v>
      </c>
      <c r="X29" s="66" t="e">
        <f t="shared" si="8"/>
        <v>#DIV/0!</v>
      </c>
      <c r="Y29" s="61"/>
      <c r="Z29" s="61"/>
      <c r="AA29" s="66" t="e">
        <f t="shared" si="9"/>
        <v>#DIV/0!</v>
      </c>
      <c r="AB29" s="61">
        <f t="shared" si="10"/>
        <v>0</v>
      </c>
      <c r="AC29" s="61">
        <f t="shared" si="11"/>
        <v>0</v>
      </c>
      <c r="AD29" s="66" t="e">
        <f t="shared" si="12"/>
        <v>#DIV/0!</v>
      </c>
      <c r="AE29" s="61"/>
      <c r="AF29" s="61"/>
      <c r="AG29" s="66" t="e">
        <f t="shared" si="13"/>
        <v>#DIV/0!</v>
      </c>
      <c r="AH29" s="61">
        <f t="shared" si="14"/>
        <v>0</v>
      </c>
      <c r="AI29" s="61">
        <f t="shared" si="15"/>
        <v>0</v>
      </c>
      <c r="AJ29" s="66" t="e">
        <f t="shared" si="16"/>
        <v>#DIV/0!</v>
      </c>
      <c r="AK29" s="61"/>
      <c r="AL29" s="61"/>
      <c r="AM29" s="66" t="e">
        <f t="shared" si="17"/>
        <v>#DIV/0!</v>
      </c>
      <c r="AN29" s="61">
        <f t="shared" si="18"/>
        <v>0</v>
      </c>
      <c r="AO29" s="61">
        <f t="shared" si="19"/>
        <v>0</v>
      </c>
      <c r="AP29" s="66" t="e">
        <f t="shared" si="20"/>
        <v>#DIV/0!</v>
      </c>
      <c r="AQ29" s="67"/>
      <c r="AR29" s="67"/>
      <c r="AS29" s="66" t="e">
        <f t="shared" si="21"/>
        <v>#DIV/0!</v>
      </c>
      <c r="AT29" s="67">
        <f t="shared" si="22"/>
        <v>0</v>
      </c>
      <c r="AU29" s="67">
        <f t="shared" si="23"/>
        <v>0</v>
      </c>
      <c r="AV29" s="66" t="e">
        <f t="shared" si="24"/>
        <v>#DIV/0!</v>
      </c>
      <c r="AW29" s="61"/>
      <c r="AX29" s="61"/>
      <c r="AY29" s="66" t="e">
        <f t="shared" si="25"/>
        <v>#DIV/0!</v>
      </c>
      <c r="AZ29" s="61">
        <f t="shared" si="26"/>
        <v>0</v>
      </c>
      <c r="BA29" s="61">
        <f t="shared" si="27"/>
        <v>0</v>
      </c>
      <c r="BB29" s="66" t="e">
        <f t="shared" si="28"/>
        <v>#DIV/0!</v>
      </c>
      <c r="BC29" s="61"/>
      <c r="BD29" s="61"/>
      <c r="BE29" s="66" t="e">
        <f t="shared" si="29"/>
        <v>#DIV/0!</v>
      </c>
      <c r="BF29" s="61">
        <f t="shared" si="30"/>
        <v>0</v>
      </c>
      <c r="BG29" s="61">
        <f t="shared" si="31"/>
        <v>0</v>
      </c>
      <c r="BH29" s="66" t="e">
        <f t="shared" si="32"/>
        <v>#DIV/0!</v>
      </c>
      <c r="BI29" s="70"/>
      <c r="BJ29" s="61"/>
      <c r="BK29" s="61"/>
      <c r="BL29" s="61">
        <v>0</v>
      </c>
      <c r="BM29" s="71" t="e">
        <f t="shared" si="33"/>
        <v>#DIV/0!</v>
      </c>
    </row>
    <row r="30" spans="1:65" ht="12" customHeight="1">
      <c r="A30" s="52" t="s">
        <v>414</v>
      </c>
      <c r="B30" s="53" t="s">
        <v>414</v>
      </c>
      <c r="C30" s="60" t="s">
        <v>459</v>
      </c>
      <c r="D30" s="55" t="s">
        <v>61</v>
      </c>
      <c r="E30" s="55" t="s">
        <v>61</v>
      </c>
      <c r="F30" s="55" t="s">
        <v>420</v>
      </c>
      <c r="G30" s="53" t="s">
        <v>420</v>
      </c>
      <c r="H30" s="53" t="s">
        <v>421</v>
      </c>
      <c r="I30" s="53"/>
      <c r="J30" s="61">
        <v>43775</v>
      </c>
      <c r="K30" s="61">
        <v>15899</v>
      </c>
      <c r="L30" s="66">
        <f t="shared" si="0"/>
        <v>-0.636801827527127</v>
      </c>
      <c r="M30" s="61">
        <v>6740</v>
      </c>
      <c r="N30" s="61">
        <v>59967</v>
      </c>
      <c r="O30" s="66">
        <f t="shared" si="1"/>
        <v>7.8971810089020797</v>
      </c>
      <c r="P30" s="61">
        <f t="shared" si="2"/>
        <v>50515</v>
      </c>
      <c r="Q30" s="61">
        <f t="shared" si="3"/>
        <v>75866</v>
      </c>
      <c r="R30" s="66">
        <f t="shared" si="4"/>
        <v>0.501850935365733</v>
      </c>
      <c r="S30" s="67">
        <v>7780</v>
      </c>
      <c r="T30" s="67">
        <v>21038</v>
      </c>
      <c r="U30" s="66">
        <f t="shared" si="5"/>
        <v>1.7041131105398499</v>
      </c>
      <c r="V30" s="68">
        <f t="shared" si="6"/>
        <v>58295</v>
      </c>
      <c r="W30" s="68">
        <f t="shared" si="7"/>
        <v>96904</v>
      </c>
      <c r="X30" s="66">
        <f t="shared" si="8"/>
        <v>0.66230379963976305</v>
      </c>
      <c r="Y30" s="61">
        <v>243032</v>
      </c>
      <c r="Z30" s="61"/>
      <c r="AA30" s="66">
        <f t="shared" si="9"/>
        <v>-1</v>
      </c>
      <c r="AB30" s="61">
        <f t="shared" si="10"/>
        <v>301327</v>
      </c>
      <c r="AC30" s="61">
        <f t="shared" si="11"/>
        <v>96904</v>
      </c>
      <c r="AD30" s="66">
        <f t="shared" si="12"/>
        <v>-0.67840917010423896</v>
      </c>
      <c r="AE30" s="61">
        <v>209</v>
      </c>
      <c r="AF30" s="61">
        <v>12061</v>
      </c>
      <c r="AG30" s="66">
        <f t="shared" si="13"/>
        <v>56.7081339712919</v>
      </c>
      <c r="AH30" s="61">
        <f t="shared" si="14"/>
        <v>301536</v>
      </c>
      <c r="AI30" s="61">
        <f t="shared" si="15"/>
        <v>108965</v>
      </c>
      <c r="AJ30" s="66">
        <f t="shared" si="16"/>
        <v>-0.63863352966146703</v>
      </c>
      <c r="AK30" s="61">
        <v>56327</v>
      </c>
      <c r="AL30" s="61"/>
      <c r="AM30" s="66">
        <f t="shared" si="17"/>
        <v>-1</v>
      </c>
      <c r="AN30" s="61">
        <f t="shared" si="18"/>
        <v>357863</v>
      </c>
      <c r="AO30" s="61">
        <f t="shared" si="19"/>
        <v>108965</v>
      </c>
      <c r="AP30" s="66">
        <f t="shared" si="20"/>
        <v>-0.69551196966436901</v>
      </c>
      <c r="AQ30" s="67">
        <v>79445</v>
      </c>
      <c r="AR30" s="67">
        <v>2270</v>
      </c>
      <c r="AS30" s="66">
        <f t="shared" si="21"/>
        <v>-0.97142677323934801</v>
      </c>
      <c r="AT30" s="67">
        <f t="shared" si="22"/>
        <v>437308</v>
      </c>
      <c r="AU30" s="67">
        <f t="shared" si="23"/>
        <v>111235</v>
      </c>
      <c r="AV30" s="66">
        <f t="shared" si="24"/>
        <v>-0.74563694238385803</v>
      </c>
      <c r="AW30" s="61">
        <v>72244</v>
      </c>
      <c r="AX30" s="61">
        <v>13489</v>
      </c>
      <c r="AY30" s="66">
        <f t="shared" si="25"/>
        <v>-0.81328553236254897</v>
      </c>
      <c r="AZ30" s="61">
        <f t="shared" si="26"/>
        <v>509552</v>
      </c>
      <c r="BA30" s="61">
        <f t="shared" si="27"/>
        <v>124724</v>
      </c>
      <c r="BB30" s="66">
        <f t="shared" si="28"/>
        <v>-0.75522812195811195</v>
      </c>
      <c r="BC30" s="61">
        <v>34820</v>
      </c>
      <c r="BD30" s="61">
        <v>13066</v>
      </c>
      <c r="BE30" s="66">
        <f t="shared" si="29"/>
        <v>-0.62475588742102195</v>
      </c>
      <c r="BF30" s="61">
        <f t="shared" si="30"/>
        <v>544372</v>
      </c>
      <c r="BG30" s="61">
        <f t="shared" si="31"/>
        <v>137790</v>
      </c>
      <c r="BH30" s="66">
        <f t="shared" si="32"/>
        <v>-0.74688264642560598</v>
      </c>
      <c r="BI30" s="70">
        <v>83150</v>
      </c>
      <c r="BJ30" s="61">
        <v>32470</v>
      </c>
      <c r="BK30" s="61">
        <v>80053</v>
      </c>
      <c r="BL30" s="61">
        <v>740045</v>
      </c>
      <c r="BM30" s="71" t="e">
        <f t="shared" si="33"/>
        <v>#DIV/0!</v>
      </c>
    </row>
    <row r="31" spans="1:65" ht="12" customHeight="1">
      <c r="A31" s="52" t="s">
        <v>414</v>
      </c>
      <c r="B31" s="53" t="s">
        <v>453</v>
      </c>
      <c r="C31" s="60" t="s">
        <v>460</v>
      </c>
      <c r="D31" s="55" t="s">
        <v>61</v>
      </c>
      <c r="E31" s="55" t="s">
        <v>61</v>
      </c>
      <c r="F31" s="55" t="s">
        <v>455</v>
      </c>
      <c r="G31" s="53" t="s">
        <v>455</v>
      </c>
      <c r="H31" s="53" t="s">
        <v>457</v>
      </c>
      <c r="I31" s="53"/>
      <c r="J31" s="61">
        <v>14850</v>
      </c>
      <c r="K31" s="61">
        <v>62800</v>
      </c>
      <c r="L31" s="66">
        <f t="shared" si="0"/>
        <v>3.2289562289562301</v>
      </c>
      <c r="M31" s="61">
        <v>43687</v>
      </c>
      <c r="N31" s="61">
        <v>57110</v>
      </c>
      <c r="O31" s="66">
        <f t="shared" si="1"/>
        <v>0.307253874150205</v>
      </c>
      <c r="P31" s="61">
        <f t="shared" si="2"/>
        <v>58537</v>
      </c>
      <c r="Q31" s="61">
        <f t="shared" si="3"/>
        <v>119910</v>
      </c>
      <c r="R31" s="66">
        <f t="shared" si="4"/>
        <v>1.0484479901600701</v>
      </c>
      <c r="S31" s="67">
        <v>9390</v>
      </c>
      <c r="T31" s="67">
        <v>77505</v>
      </c>
      <c r="U31" s="66">
        <f t="shared" si="5"/>
        <v>7.25399361022364</v>
      </c>
      <c r="V31" s="68">
        <f t="shared" si="6"/>
        <v>67927</v>
      </c>
      <c r="W31" s="68">
        <f t="shared" si="7"/>
        <v>197415</v>
      </c>
      <c r="X31" s="66">
        <f t="shared" si="8"/>
        <v>1.90628174363655</v>
      </c>
      <c r="Y31" s="61">
        <v>35538</v>
      </c>
      <c r="Z31" s="61">
        <v>141075</v>
      </c>
      <c r="AA31" s="66">
        <f t="shared" si="9"/>
        <v>2.9696944116157402</v>
      </c>
      <c r="AB31" s="61">
        <f t="shared" si="10"/>
        <v>103465</v>
      </c>
      <c r="AC31" s="61">
        <f t="shared" si="11"/>
        <v>338490</v>
      </c>
      <c r="AD31" s="66">
        <f t="shared" si="12"/>
        <v>2.2715411008553601</v>
      </c>
      <c r="AE31" s="61">
        <v>78386</v>
      </c>
      <c r="AF31" s="61">
        <v>86370</v>
      </c>
      <c r="AG31" s="66">
        <f t="shared" si="13"/>
        <v>0.101854923072998</v>
      </c>
      <c r="AH31" s="61">
        <f t="shared" si="14"/>
        <v>181851</v>
      </c>
      <c r="AI31" s="61">
        <f t="shared" si="15"/>
        <v>424860</v>
      </c>
      <c r="AJ31" s="66">
        <f t="shared" si="16"/>
        <v>1.3363082963525099</v>
      </c>
      <c r="AK31" s="61">
        <v>54614</v>
      </c>
      <c r="AL31" s="61">
        <v>69086</v>
      </c>
      <c r="AM31" s="66">
        <f t="shared" si="17"/>
        <v>0.264986999670414</v>
      </c>
      <c r="AN31" s="61">
        <f t="shared" si="18"/>
        <v>236465</v>
      </c>
      <c r="AO31" s="61">
        <f t="shared" si="19"/>
        <v>493946</v>
      </c>
      <c r="AP31" s="66">
        <f t="shared" si="20"/>
        <v>1.0888757321379501</v>
      </c>
      <c r="AQ31" s="67">
        <v>52200</v>
      </c>
      <c r="AR31" s="67">
        <v>-201288</v>
      </c>
      <c r="AS31" s="66">
        <f t="shared" si="21"/>
        <v>-4.8560919540229897</v>
      </c>
      <c r="AT31" s="67">
        <f t="shared" si="22"/>
        <v>288665</v>
      </c>
      <c r="AU31" s="67">
        <f t="shared" si="23"/>
        <v>292658</v>
      </c>
      <c r="AV31" s="66">
        <f t="shared" si="24"/>
        <v>1.38326433755391E-2</v>
      </c>
      <c r="AW31" s="61">
        <v>29350</v>
      </c>
      <c r="AX31" s="61"/>
      <c r="AY31" s="66">
        <f t="shared" si="25"/>
        <v>-1</v>
      </c>
      <c r="AZ31" s="61">
        <f t="shared" si="26"/>
        <v>318015</v>
      </c>
      <c r="BA31" s="61">
        <f t="shared" si="27"/>
        <v>292658</v>
      </c>
      <c r="BB31" s="66">
        <f t="shared" si="28"/>
        <v>-7.9735232614813703E-2</v>
      </c>
      <c r="BC31" s="61">
        <v>146789</v>
      </c>
      <c r="BD31" s="61">
        <v>32136</v>
      </c>
      <c r="BE31" s="66">
        <f t="shared" si="29"/>
        <v>-0.78107351368290501</v>
      </c>
      <c r="BF31" s="61">
        <f t="shared" si="30"/>
        <v>464804</v>
      </c>
      <c r="BG31" s="61">
        <f t="shared" si="31"/>
        <v>324794</v>
      </c>
      <c r="BH31" s="66">
        <f t="shared" si="32"/>
        <v>-0.301223741620124</v>
      </c>
      <c r="BI31" s="70">
        <v>67280</v>
      </c>
      <c r="BJ31" s="61">
        <v>98050</v>
      </c>
      <c r="BK31" s="61">
        <v>192540</v>
      </c>
      <c r="BL31" s="61">
        <v>822674</v>
      </c>
      <c r="BM31" s="71" t="e">
        <f t="shared" si="33"/>
        <v>#DIV/0!</v>
      </c>
    </row>
    <row r="32" spans="1:65" ht="12" customHeight="1">
      <c r="A32" s="52" t="s">
        <v>414</v>
      </c>
      <c r="B32" s="53" t="s">
        <v>414</v>
      </c>
      <c r="C32" s="60" t="s">
        <v>461</v>
      </c>
      <c r="D32" s="55" t="s">
        <v>84</v>
      </c>
      <c r="E32" s="55" t="s">
        <v>84</v>
      </c>
      <c r="F32" s="55" t="s">
        <v>420</v>
      </c>
      <c r="G32" s="53" t="s">
        <v>420</v>
      </c>
      <c r="H32" s="53" t="s">
        <v>421</v>
      </c>
      <c r="I32" s="53"/>
      <c r="J32" s="61">
        <v>3462</v>
      </c>
      <c r="K32" s="61"/>
      <c r="L32" s="66">
        <f t="shared" si="0"/>
        <v>-1</v>
      </c>
      <c r="M32" s="61"/>
      <c r="N32" s="61"/>
      <c r="O32" s="66" t="e">
        <f t="shared" si="1"/>
        <v>#DIV/0!</v>
      </c>
      <c r="P32" s="61">
        <f t="shared" si="2"/>
        <v>3462</v>
      </c>
      <c r="Q32" s="61">
        <f t="shared" si="3"/>
        <v>0</v>
      </c>
      <c r="R32" s="66">
        <f t="shared" si="4"/>
        <v>-1</v>
      </c>
      <c r="S32" s="67">
        <v>8942</v>
      </c>
      <c r="T32" s="67"/>
      <c r="U32" s="66">
        <f t="shared" si="5"/>
        <v>-1</v>
      </c>
      <c r="V32" s="68">
        <f t="shared" si="6"/>
        <v>12404</v>
      </c>
      <c r="W32" s="68">
        <f t="shared" si="7"/>
        <v>0</v>
      </c>
      <c r="X32" s="66">
        <f t="shared" si="8"/>
        <v>-1</v>
      </c>
      <c r="Y32" s="61">
        <v>12270</v>
      </c>
      <c r="Z32" s="61"/>
      <c r="AA32" s="66">
        <f t="shared" si="9"/>
        <v>-1</v>
      </c>
      <c r="AB32" s="61">
        <f t="shared" si="10"/>
        <v>24674</v>
      </c>
      <c r="AC32" s="61">
        <f t="shared" si="11"/>
        <v>0</v>
      </c>
      <c r="AD32" s="66">
        <f t="shared" si="12"/>
        <v>-1</v>
      </c>
      <c r="AE32" s="61"/>
      <c r="AF32" s="61"/>
      <c r="AG32" s="66" t="e">
        <f t="shared" si="13"/>
        <v>#DIV/0!</v>
      </c>
      <c r="AH32" s="61">
        <f t="shared" si="14"/>
        <v>24674</v>
      </c>
      <c r="AI32" s="61">
        <f t="shared" si="15"/>
        <v>0</v>
      </c>
      <c r="AJ32" s="66">
        <f t="shared" si="16"/>
        <v>-1</v>
      </c>
      <c r="AK32" s="61"/>
      <c r="AL32" s="61"/>
      <c r="AM32" s="66" t="e">
        <f t="shared" si="17"/>
        <v>#DIV/0!</v>
      </c>
      <c r="AN32" s="61">
        <f t="shared" si="18"/>
        <v>24674</v>
      </c>
      <c r="AO32" s="61">
        <f t="shared" si="19"/>
        <v>0</v>
      </c>
      <c r="AP32" s="66">
        <f t="shared" si="20"/>
        <v>-1</v>
      </c>
      <c r="AQ32" s="67"/>
      <c r="AR32" s="67"/>
      <c r="AS32" s="66" t="e">
        <f t="shared" si="21"/>
        <v>#DIV/0!</v>
      </c>
      <c r="AT32" s="67">
        <f t="shared" si="22"/>
        <v>24674</v>
      </c>
      <c r="AU32" s="67">
        <f t="shared" si="23"/>
        <v>0</v>
      </c>
      <c r="AV32" s="66">
        <f t="shared" si="24"/>
        <v>-1</v>
      </c>
      <c r="AW32" s="61"/>
      <c r="AX32" s="61"/>
      <c r="AY32" s="66" t="e">
        <f t="shared" si="25"/>
        <v>#DIV/0!</v>
      </c>
      <c r="AZ32" s="61">
        <f t="shared" si="26"/>
        <v>24674</v>
      </c>
      <c r="BA32" s="61">
        <f t="shared" si="27"/>
        <v>0</v>
      </c>
      <c r="BB32" s="66">
        <f t="shared" si="28"/>
        <v>-1</v>
      </c>
      <c r="BC32" s="61"/>
      <c r="BD32" s="61"/>
      <c r="BE32" s="66" t="e">
        <f t="shared" si="29"/>
        <v>#DIV/0!</v>
      </c>
      <c r="BF32" s="61">
        <f t="shared" si="30"/>
        <v>24674</v>
      </c>
      <c r="BG32" s="61">
        <f t="shared" si="31"/>
        <v>0</v>
      </c>
      <c r="BH32" s="66">
        <f t="shared" si="32"/>
        <v>-1</v>
      </c>
      <c r="BI32" s="70"/>
      <c r="BJ32" s="61"/>
      <c r="BK32" s="61"/>
      <c r="BL32" s="61">
        <v>24674</v>
      </c>
      <c r="BM32" s="71" t="e">
        <f t="shared" si="33"/>
        <v>#DIV/0!</v>
      </c>
    </row>
    <row r="33" spans="1:65" ht="12" customHeight="1">
      <c r="A33" s="52" t="s">
        <v>414</v>
      </c>
      <c r="B33" s="53" t="s">
        <v>414</v>
      </c>
      <c r="C33" s="60" t="s">
        <v>462</v>
      </c>
      <c r="D33" s="55" t="s">
        <v>61</v>
      </c>
      <c r="E33" s="55" t="s">
        <v>61</v>
      </c>
      <c r="F33" s="55" t="s">
        <v>443</v>
      </c>
      <c r="G33" s="53" t="s">
        <v>443</v>
      </c>
      <c r="H33" s="53" t="s">
        <v>435</v>
      </c>
      <c r="I33" s="53"/>
      <c r="J33" s="61">
        <v>7660</v>
      </c>
      <c r="K33" s="61"/>
      <c r="L33" s="66">
        <f t="shared" si="0"/>
        <v>-1</v>
      </c>
      <c r="M33" s="61">
        <v>11541</v>
      </c>
      <c r="N33" s="61"/>
      <c r="O33" s="66">
        <f t="shared" si="1"/>
        <v>-1</v>
      </c>
      <c r="P33" s="61">
        <f t="shared" si="2"/>
        <v>19201</v>
      </c>
      <c r="Q33" s="61">
        <f t="shared" si="3"/>
        <v>0</v>
      </c>
      <c r="R33" s="66">
        <f t="shared" si="4"/>
        <v>-1</v>
      </c>
      <c r="S33" s="67"/>
      <c r="T33" s="67"/>
      <c r="U33" s="66" t="e">
        <f t="shared" si="5"/>
        <v>#DIV/0!</v>
      </c>
      <c r="V33" s="68">
        <f t="shared" si="6"/>
        <v>19201</v>
      </c>
      <c r="W33" s="68">
        <f t="shared" si="7"/>
        <v>0</v>
      </c>
      <c r="X33" s="66">
        <f t="shared" si="8"/>
        <v>-1</v>
      </c>
      <c r="Y33" s="61">
        <v>4450</v>
      </c>
      <c r="Z33" s="61"/>
      <c r="AA33" s="66">
        <f t="shared" si="9"/>
        <v>-1</v>
      </c>
      <c r="AB33" s="61">
        <f t="shared" si="10"/>
        <v>23651</v>
      </c>
      <c r="AC33" s="61">
        <f t="shared" si="11"/>
        <v>0</v>
      </c>
      <c r="AD33" s="66">
        <f t="shared" si="12"/>
        <v>-1</v>
      </c>
      <c r="AE33" s="61">
        <v>10832</v>
      </c>
      <c r="AF33" s="61"/>
      <c r="AG33" s="66">
        <f t="shared" si="13"/>
        <v>-1</v>
      </c>
      <c r="AH33" s="61">
        <f t="shared" si="14"/>
        <v>34483</v>
      </c>
      <c r="AI33" s="61">
        <f t="shared" si="15"/>
        <v>0</v>
      </c>
      <c r="AJ33" s="66">
        <f t="shared" si="16"/>
        <v>-1</v>
      </c>
      <c r="AK33" s="61"/>
      <c r="AL33" s="61"/>
      <c r="AM33" s="66" t="e">
        <f t="shared" si="17"/>
        <v>#DIV/0!</v>
      </c>
      <c r="AN33" s="61">
        <f t="shared" si="18"/>
        <v>34483</v>
      </c>
      <c r="AO33" s="61">
        <f t="shared" si="19"/>
        <v>0</v>
      </c>
      <c r="AP33" s="66">
        <f t="shared" si="20"/>
        <v>-1</v>
      </c>
      <c r="AQ33" s="67"/>
      <c r="AR33" s="67"/>
      <c r="AS33" s="66" t="e">
        <f t="shared" si="21"/>
        <v>#DIV/0!</v>
      </c>
      <c r="AT33" s="67">
        <f t="shared" si="22"/>
        <v>34483</v>
      </c>
      <c r="AU33" s="67">
        <f t="shared" si="23"/>
        <v>0</v>
      </c>
      <c r="AV33" s="66">
        <f t="shared" si="24"/>
        <v>-1</v>
      </c>
      <c r="AW33" s="61">
        <v>3500</v>
      </c>
      <c r="AX33" s="61"/>
      <c r="AY33" s="66">
        <f t="shared" si="25"/>
        <v>-1</v>
      </c>
      <c r="AZ33" s="61">
        <f t="shared" si="26"/>
        <v>37983</v>
      </c>
      <c r="BA33" s="61">
        <f t="shared" si="27"/>
        <v>0</v>
      </c>
      <c r="BB33" s="66">
        <f t="shared" si="28"/>
        <v>-1</v>
      </c>
      <c r="BC33" s="61">
        <v>12400</v>
      </c>
      <c r="BD33" s="61"/>
      <c r="BE33" s="66">
        <f t="shared" si="29"/>
        <v>-1</v>
      </c>
      <c r="BF33" s="61">
        <f t="shared" si="30"/>
        <v>50383</v>
      </c>
      <c r="BG33" s="61">
        <f t="shared" si="31"/>
        <v>0</v>
      </c>
      <c r="BH33" s="66">
        <f t="shared" si="32"/>
        <v>-1</v>
      </c>
      <c r="BI33" s="70">
        <v>1600</v>
      </c>
      <c r="BJ33" s="61"/>
      <c r="BK33" s="61"/>
      <c r="BL33" s="61">
        <v>51983</v>
      </c>
      <c r="BM33" s="71" t="e">
        <f t="shared" si="33"/>
        <v>#DIV/0!</v>
      </c>
    </row>
    <row r="34" spans="1:65" ht="12" customHeight="1">
      <c r="A34" s="52" t="s">
        <v>414</v>
      </c>
      <c r="B34" s="53" t="s">
        <v>414</v>
      </c>
      <c r="C34" s="60" t="s">
        <v>463</v>
      </c>
      <c r="D34" s="55" t="s">
        <v>84</v>
      </c>
      <c r="E34" s="55" t="s">
        <v>84</v>
      </c>
      <c r="F34" s="55" t="s">
        <v>464</v>
      </c>
      <c r="G34" s="53" t="s">
        <v>464</v>
      </c>
      <c r="H34" s="53" t="s">
        <v>435</v>
      </c>
      <c r="I34" s="53">
        <v>100</v>
      </c>
      <c r="J34" s="61">
        <v>61750</v>
      </c>
      <c r="K34" s="61">
        <v>-2200</v>
      </c>
      <c r="L34" s="66">
        <f t="shared" si="0"/>
        <v>-1.0356275303643701</v>
      </c>
      <c r="M34" s="61"/>
      <c r="N34" s="61"/>
      <c r="O34" s="66" t="e">
        <f t="shared" si="1"/>
        <v>#DIV/0!</v>
      </c>
      <c r="P34" s="61">
        <f t="shared" si="2"/>
        <v>61750</v>
      </c>
      <c r="Q34" s="61">
        <f t="shared" si="3"/>
        <v>-2200</v>
      </c>
      <c r="R34" s="66">
        <f t="shared" si="4"/>
        <v>-1.0356275303643701</v>
      </c>
      <c r="S34" s="67">
        <v>58058</v>
      </c>
      <c r="T34" s="67">
        <v>55310</v>
      </c>
      <c r="U34" s="66">
        <f t="shared" si="5"/>
        <v>-4.7331978366461101E-2</v>
      </c>
      <c r="V34" s="68">
        <f t="shared" si="6"/>
        <v>119808</v>
      </c>
      <c r="W34" s="68">
        <f t="shared" si="7"/>
        <v>53110</v>
      </c>
      <c r="X34" s="66">
        <f t="shared" si="8"/>
        <v>-0.55670739850427398</v>
      </c>
      <c r="Y34" s="61">
        <v>50146</v>
      </c>
      <c r="Z34" s="61">
        <v>48806</v>
      </c>
      <c r="AA34" s="66">
        <f t="shared" si="9"/>
        <v>-2.67219718422207E-2</v>
      </c>
      <c r="AB34" s="61">
        <f t="shared" si="10"/>
        <v>169954</v>
      </c>
      <c r="AC34" s="61">
        <f t="shared" si="11"/>
        <v>101916</v>
      </c>
      <c r="AD34" s="66">
        <f t="shared" si="12"/>
        <v>-0.40033185450180597</v>
      </c>
      <c r="AE34" s="61"/>
      <c r="AF34" s="61">
        <v>32645</v>
      </c>
      <c r="AG34" s="66" t="e">
        <f t="shared" si="13"/>
        <v>#DIV/0!</v>
      </c>
      <c r="AH34" s="61">
        <f t="shared" si="14"/>
        <v>169954</v>
      </c>
      <c r="AI34" s="61">
        <f t="shared" si="15"/>
        <v>134561</v>
      </c>
      <c r="AJ34" s="66">
        <f t="shared" si="16"/>
        <v>-0.20825046777363301</v>
      </c>
      <c r="AK34" s="61">
        <v>4500</v>
      </c>
      <c r="AL34" s="61">
        <v>48676</v>
      </c>
      <c r="AM34" s="66">
        <f t="shared" si="17"/>
        <v>9.8168888888888901</v>
      </c>
      <c r="AN34" s="61">
        <f t="shared" si="18"/>
        <v>174454</v>
      </c>
      <c r="AO34" s="61">
        <f t="shared" si="19"/>
        <v>183237</v>
      </c>
      <c r="AP34" s="66">
        <f t="shared" si="20"/>
        <v>5.0345649856122603E-2</v>
      </c>
      <c r="AQ34" s="67">
        <v>21264</v>
      </c>
      <c r="AR34" s="67">
        <v>6788</v>
      </c>
      <c r="AS34" s="66">
        <f t="shared" si="21"/>
        <v>-0.680775018811136</v>
      </c>
      <c r="AT34" s="67">
        <f t="shared" si="22"/>
        <v>195718</v>
      </c>
      <c r="AU34" s="67">
        <f t="shared" si="23"/>
        <v>190025</v>
      </c>
      <c r="AV34" s="66">
        <f t="shared" si="24"/>
        <v>-2.90877691372281E-2</v>
      </c>
      <c r="AW34" s="61">
        <v>75899</v>
      </c>
      <c r="AX34" s="61">
        <v>8075</v>
      </c>
      <c r="AY34" s="66">
        <f t="shared" si="25"/>
        <v>-0.89360861144415604</v>
      </c>
      <c r="AZ34" s="61">
        <f t="shared" si="26"/>
        <v>271617</v>
      </c>
      <c r="BA34" s="61">
        <f t="shared" si="27"/>
        <v>198100</v>
      </c>
      <c r="BB34" s="66">
        <f t="shared" si="28"/>
        <v>-0.270664207321339</v>
      </c>
      <c r="BC34" s="61">
        <v>98871</v>
      </c>
      <c r="BD34" s="61">
        <v>18255.599999999999</v>
      </c>
      <c r="BE34" s="66">
        <f t="shared" si="29"/>
        <v>-0.81535940771308102</v>
      </c>
      <c r="BF34" s="61">
        <f t="shared" si="30"/>
        <v>370488</v>
      </c>
      <c r="BG34" s="61">
        <f t="shared" si="31"/>
        <v>216355.6</v>
      </c>
      <c r="BH34" s="66">
        <f t="shared" si="32"/>
        <v>-0.41602535034872901</v>
      </c>
      <c r="BI34" s="70">
        <v>200035.20000000001</v>
      </c>
      <c r="BJ34" s="61">
        <v>93493</v>
      </c>
      <c r="BK34" s="61">
        <v>114731</v>
      </c>
      <c r="BL34" s="61">
        <v>778747.2</v>
      </c>
      <c r="BM34" s="71">
        <f t="shared" si="33"/>
        <v>0.21635560000000001</v>
      </c>
    </row>
    <row r="35" spans="1:65" ht="12" customHeight="1">
      <c r="A35" s="52" t="s">
        <v>414</v>
      </c>
      <c r="B35" s="53" t="s">
        <v>414</v>
      </c>
      <c r="C35" s="60" t="s">
        <v>465</v>
      </c>
      <c r="D35" s="55" t="s">
        <v>61</v>
      </c>
      <c r="E35" s="55" t="s">
        <v>61</v>
      </c>
      <c r="F35" s="55" t="s">
        <v>464</v>
      </c>
      <c r="G35" s="53" t="s">
        <v>464</v>
      </c>
      <c r="H35" s="53" t="s">
        <v>435</v>
      </c>
      <c r="I35" s="53"/>
      <c r="J35" s="61"/>
      <c r="K35" s="61"/>
      <c r="L35" s="66" t="e">
        <f t="shared" si="0"/>
        <v>#DIV/0!</v>
      </c>
      <c r="M35" s="61"/>
      <c r="N35" s="61"/>
      <c r="O35" s="66" t="e">
        <f t="shared" si="1"/>
        <v>#DIV/0!</v>
      </c>
      <c r="P35" s="61">
        <f t="shared" si="2"/>
        <v>0</v>
      </c>
      <c r="Q35" s="61">
        <f t="shared" si="3"/>
        <v>0</v>
      </c>
      <c r="R35" s="66" t="e">
        <f t="shared" si="4"/>
        <v>#DIV/0!</v>
      </c>
      <c r="S35" s="67"/>
      <c r="T35" s="67"/>
      <c r="U35" s="66" t="e">
        <f t="shared" si="5"/>
        <v>#DIV/0!</v>
      </c>
      <c r="V35" s="68">
        <f t="shared" si="6"/>
        <v>0</v>
      </c>
      <c r="W35" s="68">
        <f t="shared" si="7"/>
        <v>0</v>
      </c>
      <c r="X35" s="66" t="e">
        <f t="shared" si="8"/>
        <v>#DIV/0!</v>
      </c>
      <c r="Y35" s="61"/>
      <c r="Z35" s="61"/>
      <c r="AA35" s="66" t="e">
        <f t="shared" si="9"/>
        <v>#DIV/0!</v>
      </c>
      <c r="AB35" s="61">
        <f t="shared" si="10"/>
        <v>0</v>
      </c>
      <c r="AC35" s="61">
        <f t="shared" si="11"/>
        <v>0</v>
      </c>
      <c r="AD35" s="66" t="e">
        <f t="shared" si="12"/>
        <v>#DIV/0!</v>
      </c>
      <c r="AE35" s="61"/>
      <c r="AF35" s="61"/>
      <c r="AG35" s="66" t="e">
        <f t="shared" si="13"/>
        <v>#DIV/0!</v>
      </c>
      <c r="AH35" s="61">
        <f t="shared" si="14"/>
        <v>0</v>
      </c>
      <c r="AI35" s="61">
        <f t="shared" si="15"/>
        <v>0</v>
      </c>
      <c r="AJ35" s="66" t="e">
        <f t="shared" si="16"/>
        <v>#DIV/0!</v>
      </c>
      <c r="AK35" s="61"/>
      <c r="AL35" s="61"/>
      <c r="AM35" s="66" t="e">
        <f t="shared" si="17"/>
        <v>#DIV/0!</v>
      </c>
      <c r="AN35" s="61">
        <f t="shared" si="18"/>
        <v>0</v>
      </c>
      <c r="AO35" s="61">
        <f t="shared" si="19"/>
        <v>0</v>
      </c>
      <c r="AP35" s="66" t="e">
        <f t="shared" si="20"/>
        <v>#DIV/0!</v>
      </c>
      <c r="AQ35" s="67"/>
      <c r="AR35" s="67"/>
      <c r="AS35" s="66" t="e">
        <f t="shared" si="21"/>
        <v>#DIV/0!</v>
      </c>
      <c r="AT35" s="67">
        <f t="shared" si="22"/>
        <v>0</v>
      </c>
      <c r="AU35" s="67">
        <f t="shared" si="23"/>
        <v>0</v>
      </c>
      <c r="AV35" s="66" t="e">
        <f t="shared" si="24"/>
        <v>#DIV/0!</v>
      </c>
      <c r="AW35" s="61"/>
      <c r="AX35" s="61"/>
      <c r="AY35" s="66" t="e">
        <f t="shared" si="25"/>
        <v>#DIV/0!</v>
      </c>
      <c r="AZ35" s="61">
        <f t="shared" si="26"/>
        <v>0</v>
      </c>
      <c r="BA35" s="61">
        <f t="shared" si="27"/>
        <v>0</v>
      </c>
      <c r="BB35" s="66" t="e">
        <f t="shared" si="28"/>
        <v>#DIV/0!</v>
      </c>
      <c r="BC35" s="61"/>
      <c r="BD35" s="61"/>
      <c r="BE35" s="66" t="e">
        <f t="shared" si="29"/>
        <v>#DIV/0!</v>
      </c>
      <c r="BF35" s="61">
        <f t="shared" si="30"/>
        <v>0</v>
      </c>
      <c r="BG35" s="61">
        <f t="shared" si="31"/>
        <v>0</v>
      </c>
      <c r="BH35" s="66" t="e">
        <f t="shared" si="32"/>
        <v>#DIV/0!</v>
      </c>
      <c r="BI35" s="70"/>
      <c r="BJ35" s="61"/>
      <c r="BK35" s="61"/>
      <c r="BL35" s="61">
        <v>0</v>
      </c>
      <c r="BM35" s="71" t="e">
        <f t="shared" si="33"/>
        <v>#DIV/0!</v>
      </c>
    </row>
    <row r="36" spans="1:65" ht="12" customHeight="1">
      <c r="A36" s="52" t="s">
        <v>414</v>
      </c>
      <c r="B36" s="53" t="s">
        <v>414</v>
      </c>
      <c r="C36" s="60" t="s">
        <v>466</v>
      </c>
      <c r="D36" s="55" t="s">
        <v>61</v>
      </c>
      <c r="E36" s="55" t="s">
        <v>61</v>
      </c>
      <c r="F36" s="55" t="s">
        <v>428</v>
      </c>
      <c r="G36" s="53" t="s">
        <v>448</v>
      </c>
      <c r="H36" s="53" t="s">
        <v>417</v>
      </c>
      <c r="I36" s="53"/>
      <c r="J36" s="61">
        <v>34839</v>
      </c>
      <c r="K36" s="61">
        <v>8829</v>
      </c>
      <c r="L36" s="66">
        <f t="shared" si="0"/>
        <v>-0.74657711185740105</v>
      </c>
      <c r="M36" s="61">
        <v>11479</v>
      </c>
      <c r="N36" s="61">
        <v>6210</v>
      </c>
      <c r="O36" s="66">
        <f t="shared" si="1"/>
        <v>-0.45901210906873402</v>
      </c>
      <c r="P36" s="61">
        <f t="shared" si="2"/>
        <v>46318</v>
      </c>
      <c r="Q36" s="61">
        <f t="shared" si="3"/>
        <v>15039</v>
      </c>
      <c r="R36" s="66">
        <f t="shared" si="4"/>
        <v>-0.675309814758841</v>
      </c>
      <c r="S36" s="67">
        <v>22740</v>
      </c>
      <c r="T36" s="67"/>
      <c r="U36" s="66">
        <f t="shared" si="5"/>
        <v>-1</v>
      </c>
      <c r="V36" s="68">
        <f t="shared" si="6"/>
        <v>69058</v>
      </c>
      <c r="W36" s="68">
        <f t="shared" si="7"/>
        <v>15039</v>
      </c>
      <c r="X36" s="66">
        <f t="shared" si="8"/>
        <v>-0.78222653421761401</v>
      </c>
      <c r="Y36" s="61">
        <v>20780</v>
      </c>
      <c r="Z36" s="61"/>
      <c r="AA36" s="66">
        <f t="shared" ref="AA36:AA65" si="34">Z36/Y36-1</f>
        <v>-1</v>
      </c>
      <c r="AB36" s="61">
        <f t="shared" ref="AB36:AB65" si="35">Y36+V36</f>
        <v>89838</v>
      </c>
      <c r="AC36" s="61">
        <f t="shared" ref="AC36:AC65" si="36">Z36+W36</f>
        <v>15039</v>
      </c>
      <c r="AD36" s="66">
        <f t="shared" ref="AD36:AD65" si="37">AC36/AB36-1</f>
        <v>-0.83259867761971595</v>
      </c>
      <c r="AE36" s="61">
        <v>26850</v>
      </c>
      <c r="AF36" s="61">
        <v>700</v>
      </c>
      <c r="AG36" s="66">
        <f t="shared" ref="AG36:AG76" si="38">AF36/AE36-1</f>
        <v>-0.97392923649906904</v>
      </c>
      <c r="AH36" s="61">
        <f t="shared" ref="AH36:AH76" si="39">AE36+AB36</f>
        <v>116688</v>
      </c>
      <c r="AI36" s="61">
        <f t="shared" ref="AI36:AI76" si="40">AF36+AC36</f>
        <v>15739</v>
      </c>
      <c r="AJ36" s="66">
        <f t="shared" ref="AJ36:AJ76" si="41">AI36/AH36-1</f>
        <v>-0.86511894967777303</v>
      </c>
      <c r="AK36" s="61">
        <v>10134</v>
      </c>
      <c r="AL36" s="61">
        <v>4603</v>
      </c>
      <c r="AM36" s="66">
        <f t="shared" ref="AM36:AM78" si="42">AL36/AK36-1</f>
        <v>-0.54578646141701204</v>
      </c>
      <c r="AN36" s="61">
        <f t="shared" ref="AN36:AN78" si="43">AK36+AH36</f>
        <v>126822</v>
      </c>
      <c r="AO36" s="61">
        <f t="shared" ref="AO36:AO78" si="44">AL36+AI36</f>
        <v>20342</v>
      </c>
      <c r="AP36" s="66">
        <f t="shared" ref="AP36:AP78" si="45">AO36/AN36-1</f>
        <v>-0.83960196180473401</v>
      </c>
      <c r="AQ36" s="67">
        <v>16340</v>
      </c>
      <c r="AR36" s="67">
        <v>3678</v>
      </c>
      <c r="AS36" s="66">
        <f t="shared" ref="AS36:AS67" si="46">AR36/AQ36-1</f>
        <v>-0.77490820073439404</v>
      </c>
      <c r="AT36" s="67">
        <f t="shared" ref="AT36:AT67" si="47">AQ36+AN36</f>
        <v>143162</v>
      </c>
      <c r="AU36" s="67">
        <f t="shared" ref="AU36:AU67" si="48">AR36+AO36</f>
        <v>24020</v>
      </c>
      <c r="AV36" s="66">
        <f t="shared" ref="AV36:AV67" si="49">AU36/AT36-1</f>
        <v>-0.83221804668836696</v>
      </c>
      <c r="AW36" s="61">
        <v>790</v>
      </c>
      <c r="AX36" s="61">
        <v>0</v>
      </c>
      <c r="AY36" s="66">
        <f t="shared" ref="AY36:AY67" si="50">AX36/AW36-1</f>
        <v>-1</v>
      </c>
      <c r="AZ36" s="61">
        <f t="shared" ref="AZ36:AZ67" si="51">AW36+AT36</f>
        <v>143952</v>
      </c>
      <c r="BA36" s="61">
        <f t="shared" ref="BA36:BA67" si="52">AX36+AU36</f>
        <v>24020</v>
      </c>
      <c r="BB36" s="66">
        <f t="shared" ref="BB36:BB67" si="53">BA36/AZ36-1</f>
        <v>-0.83313882405246198</v>
      </c>
      <c r="BC36" s="61">
        <v>16200</v>
      </c>
      <c r="BD36" s="61"/>
      <c r="BE36" s="66">
        <f t="shared" ref="BE36:BE67" si="54">BD36/BC36-1</f>
        <v>-1</v>
      </c>
      <c r="BF36" s="61">
        <f t="shared" ref="BF36:BF67" si="55">BC36+AZ36</f>
        <v>160152</v>
      </c>
      <c r="BG36" s="61">
        <f t="shared" ref="BG36:BG67" si="56">BD36+BA36</f>
        <v>24020</v>
      </c>
      <c r="BH36" s="66">
        <f t="shared" ref="BH36:BH67" si="57">BG36/BF36-1</f>
        <v>-0.85001748339077898</v>
      </c>
      <c r="BI36" s="70">
        <v>69670</v>
      </c>
      <c r="BJ36" s="61">
        <v>729</v>
      </c>
      <c r="BK36" s="61">
        <v>7310</v>
      </c>
      <c r="BL36" s="61">
        <v>237861</v>
      </c>
      <c r="BM36" s="71" t="e">
        <f t="shared" ref="BM36:BM67" si="58">BG36/10000/I36</f>
        <v>#DIV/0!</v>
      </c>
    </row>
    <row r="37" spans="1:65">
      <c r="A37" s="52" t="s">
        <v>414</v>
      </c>
      <c r="B37" s="53" t="s">
        <v>414</v>
      </c>
      <c r="C37" s="60" t="s">
        <v>467</v>
      </c>
      <c r="D37" s="55" t="s">
        <v>61</v>
      </c>
      <c r="E37" s="55" t="s">
        <v>61</v>
      </c>
      <c r="F37" s="55" t="s">
        <v>428</v>
      </c>
      <c r="G37" s="53" t="s">
        <v>448</v>
      </c>
      <c r="H37" s="53" t="s">
        <v>417</v>
      </c>
      <c r="I37" s="53">
        <v>140</v>
      </c>
      <c r="J37" s="61">
        <v>207903</v>
      </c>
      <c r="K37" s="61">
        <v>76400</v>
      </c>
      <c r="L37" s="66">
        <f t="shared" si="0"/>
        <v>-0.63252093524384001</v>
      </c>
      <c r="M37" s="61">
        <v>25890</v>
      </c>
      <c r="N37" s="61">
        <v>25970</v>
      </c>
      <c r="O37" s="66">
        <f t="shared" si="1"/>
        <v>3.0899961375048198E-3</v>
      </c>
      <c r="P37" s="61">
        <f t="shared" si="2"/>
        <v>233793</v>
      </c>
      <c r="Q37" s="61">
        <f t="shared" si="3"/>
        <v>102370</v>
      </c>
      <c r="R37" s="66">
        <f t="shared" si="4"/>
        <v>-0.56213402454307904</v>
      </c>
      <c r="S37" s="67">
        <v>281469</v>
      </c>
      <c r="T37" s="67">
        <v>97837</v>
      </c>
      <c r="U37" s="66">
        <f t="shared" si="5"/>
        <v>-0.65240577115064202</v>
      </c>
      <c r="V37" s="68">
        <f t="shared" si="6"/>
        <v>515262</v>
      </c>
      <c r="W37" s="68">
        <f t="shared" si="7"/>
        <v>200207</v>
      </c>
      <c r="X37" s="66">
        <f t="shared" si="8"/>
        <v>-0.61144621571161895</v>
      </c>
      <c r="Y37" s="61">
        <v>106769</v>
      </c>
      <c r="Z37" s="61">
        <v>93504</v>
      </c>
      <c r="AA37" s="66">
        <f t="shared" si="34"/>
        <v>-0.124240182075322</v>
      </c>
      <c r="AB37" s="61">
        <f t="shared" si="35"/>
        <v>622031</v>
      </c>
      <c r="AC37" s="61">
        <f t="shared" si="36"/>
        <v>293711</v>
      </c>
      <c r="AD37" s="66">
        <f t="shared" si="37"/>
        <v>-0.52781935305475103</v>
      </c>
      <c r="AE37" s="61">
        <v>72586</v>
      </c>
      <c r="AF37" s="61">
        <v>109555.5</v>
      </c>
      <c r="AG37" s="66">
        <f t="shared" si="38"/>
        <v>0.50931997905932302</v>
      </c>
      <c r="AH37" s="61">
        <f t="shared" si="39"/>
        <v>694617</v>
      </c>
      <c r="AI37" s="61">
        <f t="shared" si="40"/>
        <v>403266.5</v>
      </c>
      <c r="AJ37" s="66">
        <f t="shared" si="41"/>
        <v>-0.41944049742520001</v>
      </c>
      <c r="AK37" s="61">
        <v>72556</v>
      </c>
      <c r="AL37" s="61">
        <v>95211</v>
      </c>
      <c r="AM37" s="66">
        <f t="shared" si="42"/>
        <v>0.31224157891835302</v>
      </c>
      <c r="AN37" s="61">
        <f t="shared" si="43"/>
        <v>767173</v>
      </c>
      <c r="AO37" s="61">
        <f t="shared" si="44"/>
        <v>498477.5</v>
      </c>
      <c r="AP37" s="66">
        <f t="shared" si="45"/>
        <v>-0.35024107991287501</v>
      </c>
      <c r="AQ37" s="67">
        <v>137409</v>
      </c>
      <c r="AR37" s="67">
        <v>80792</v>
      </c>
      <c r="AS37" s="66">
        <f t="shared" si="46"/>
        <v>-0.412032690726226</v>
      </c>
      <c r="AT37" s="67">
        <f t="shared" si="47"/>
        <v>904582</v>
      </c>
      <c r="AU37" s="67">
        <f t="shared" si="48"/>
        <v>579269.5</v>
      </c>
      <c r="AV37" s="66">
        <f t="shared" si="49"/>
        <v>-0.35962743012794901</v>
      </c>
      <c r="AW37" s="61">
        <v>101648</v>
      </c>
      <c r="AX37" s="61">
        <v>69864</v>
      </c>
      <c r="AY37" s="66">
        <f t="shared" si="50"/>
        <v>-0.31268691956556</v>
      </c>
      <c r="AZ37" s="61">
        <f t="shared" si="51"/>
        <v>1006230</v>
      </c>
      <c r="BA37" s="61">
        <f t="shared" si="52"/>
        <v>649133.5</v>
      </c>
      <c r="BB37" s="66">
        <f t="shared" si="53"/>
        <v>-0.354885562942866</v>
      </c>
      <c r="BC37" s="61">
        <v>112500</v>
      </c>
      <c r="BD37" s="61">
        <v>72851</v>
      </c>
      <c r="BE37" s="66">
        <f t="shared" si="54"/>
        <v>-0.352435555555556</v>
      </c>
      <c r="BF37" s="61">
        <f t="shared" si="55"/>
        <v>1118730</v>
      </c>
      <c r="BG37" s="61">
        <f t="shared" si="56"/>
        <v>721984.5</v>
      </c>
      <c r="BH37" s="66">
        <f t="shared" si="57"/>
        <v>-0.35463918908047498</v>
      </c>
      <c r="BI37" s="70">
        <v>121825</v>
      </c>
      <c r="BJ37" s="61">
        <v>76845</v>
      </c>
      <c r="BK37" s="61">
        <v>98590</v>
      </c>
      <c r="BL37" s="61">
        <v>1415990</v>
      </c>
      <c r="BM37" s="71">
        <f t="shared" si="58"/>
        <v>0.51570321428571397</v>
      </c>
    </row>
    <row r="38" spans="1:65">
      <c r="A38" s="52" t="s">
        <v>414</v>
      </c>
      <c r="B38" s="53" t="s">
        <v>414</v>
      </c>
      <c r="C38" s="60" t="s">
        <v>468</v>
      </c>
      <c r="D38" s="55" t="s">
        <v>84</v>
      </c>
      <c r="E38" s="55" t="s">
        <v>84</v>
      </c>
      <c r="F38" s="55" t="s">
        <v>431</v>
      </c>
      <c r="G38" s="53" t="s">
        <v>431</v>
      </c>
      <c r="H38" s="53" t="s">
        <v>417</v>
      </c>
      <c r="I38" s="53"/>
      <c r="J38" s="61">
        <v>12000</v>
      </c>
      <c r="K38" s="61"/>
      <c r="L38" s="66">
        <f t="shared" si="0"/>
        <v>-1</v>
      </c>
      <c r="M38" s="61">
        <v>7398</v>
      </c>
      <c r="N38" s="61"/>
      <c r="O38" s="66">
        <f t="shared" si="1"/>
        <v>-1</v>
      </c>
      <c r="P38" s="61">
        <f t="shared" si="2"/>
        <v>19398</v>
      </c>
      <c r="Q38" s="61">
        <f t="shared" si="3"/>
        <v>0</v>
      </c>
      <c r="R38" s="66">
        <f t="shared" si="4"/>
        <v>-1</v>
      </c>
      <c r="S38" s="67">
        <v>15850</v>
      </c>
      <c r="T38" s="67"/>
      <c r="U38" s="66">
        <f t="shared" si="5"/>
        <v>-1</v>
      </c>
      <c r="V38" s="68">
        <f t="shared" si="6"/>
        <v>35248</v>
      </c>
      <c r="W38" s="68">
        <f t="shared" si="7"/>
        <v>0</v>
      </c>
      <c r="X38" s="66">
        <f t="shared" si="8"/>
        <v>-1</v>
      </c>
      <c r="Y38" s="61"/>
      <c r="Z38" s="61"/>
      <c r="AA38" s="66" t="e">
        <f t="shared" si="34"/>
        <v>#DIV/0!</v>
      </c>
      <c r="AB38" s="61">
        <f t="shared" si="35"/>
        <v>35248</v>
      </c>
      <c r="AC38" s="61">
        <f t="shared" si="36"/>
        <v>0</v>
      </c>
      <c r="AD38" s="66">
        <f t="shared" si="37"/>
        <v>-1</v>
      </c>
      <c r="AE38" s="61"/>
      <c r="AF38" s="61"/>
      <c r="AG38" s="66" t="e">
        <f t="shared" si="38"/>
        <v>#DIV/0!</v>
      </c>
      <c r="AH38" s="61">
        <f t="shared" si="39"/>
        <v>35248</v>
      </c>
      <c r="AI38" s="61">
        <f t="shared" si="40"/>
        <v>0</v>
      </c>
      <c r="AJ38" s="66">
        <f t="shared" si="41"/>
        <v>-1</v>
      </c>
      <c r="AK38" s="61"/>
      <c r="AL38" s="61"/>
      <c r="AM38" s="66" t="e">
        <f t="shared" si="42"/>
        <v>#DIV/0!</v>
      </c>
      <c r="AN38" s="61">
        <f t="shared" si="43"/>
        <v>35248</v>
      </c>
      <c r="AO38" s="61">
        <f t="shared" si="44"/>
        <v>0</v>
      </c>
      <c r="AP38" s="66">
        <f t="shared" si="45"/>
        <v>-1</v>
      </c>
      <c r="AQ38" s="67"/>
      <c r="AR38" s="67"/>
      <c r="AS38" s="66" t="e">
        <f t="shared" si="46"/>
        <v>#DIV/0!</v>
      </c>
      <c r="AT38" s="67">
        <f t="shared" si="47"/>
        <v>35248</v>
      </c>
      <c r="AU38" s="67">
        <f t="shared" si="48"/>
        <v>0</v>
      </c>
      <c r="AV38" s="66">
        <f t="shared" si="49"/>
        <v>-1</v>
      </c>
      <c r="AW38" s="61"/>
      <c r="AX38" s="61"/>
      <c r="AY38" s="66" t="e">
        <f t="shared" si="50"/>
        <v>#DIV/0!</v>
      </c>
      <c r="AZ38" s="61">
        <f t="shared" si="51"/>
        <v>35248</v>
      </c>
      <c r="BA38" s="61">
        <f t="shared" si="52"/>
        <v>0</v>
      </c>
      <c r="BB38" s="66">
        <f t="shared" si="53"/>
        <v>-1</v>
      </c>
      <c r="BC38" s="61"/>
      <c r="BD38" s="61"/>
      <c r="BE38" s="66" t="e">
        <f t="shared" si="54"/>
        <v>#DIV/0!</v>
      </c>
      <c r="BF38" s="61">
        <f t="shared" si="55"/>
        <v>35248</v>
      </c>
      <c r="BG38" s="61">
        <f t="shared" si="56"/>
        <v>0</v>
      </c>
      <c r="BH38" s="66">
        <f t="shared" si="57"/>
        <v>-1</v>
      </c>
      <c r="BI38" s="70"/>
      <c r="BJ38" s="61"/>
      <c r="BK38" s="61"/>
      <c r="BL38" s="61">
        <v>35248</v>
      </c>
      <c r="BM38" s="71" t="e">
        <f t="shared" si="58"/>
        <v>#DIV/0!</v>
      </c>
    </row>
    <row r="39" spans="1:65">
      <c r="A39" s="52" t="s">
        <v>414</v>
      </c>
      <c r="B39" s="53" t="s">
        <v>414</v>
      </c>
      <c r="C39" s="60" t="s">
        <v>469</v>
      </c>
      <c r="D39" s="55" t="s">
        <v>61</v>
      </c>
      <c r="E39" s="55" t="s">
        <v>61</v>
      </c>
      <c r="F39" s="55" t="s">
        <v>464</v>
      </c>
      <c r="G39" s="53" t="s">
        <v>464</v>
      </c>
      <c r="H39" s="53" t="s">
        <v>435</v>
      </c>
      <c r="I39" s="53"/>
      <c r="J39" s="61">
        <v>19719</v>
      </c>
      <c r="K39" s="61">
        <v>7500</v>
      </c>
      <c r="L39" s="66">
        <f t="shared" si="0"/>
        <v>-0.619656169176936</v>
      </c>
      <c r="M39" s="61">
        <v>8260</v>
      </c>
      <c r="N39" s="61"/>
      <c r="O39" s="66">
        <f t="shared" si="1"/>
        <v>-1</v>
      </c>
      <c r="P39" s="61">
        <f t="shared" si="2"/>
        <v>27979</v>
      </c>
      <c r="Q39" s="61">
        <f t="shared" si="3"/>
        <v>7500</v>
      </c>
      <c r="R39" s="66">
        <f t="shared" si="4"/>
        <v>-0.73194181350298404</v>
      </c>
      <c r="S39" s="67">
        <v>8576</v>
      </c>
      <c r="T39" s="67">
        <v>7496</v>
      </c>
      <c r="U39" s="66">
        <f t="shared" si="5"/>
        <v>-0.12593283582089601</v>
      </c>
      <c r="V39" s="68">
        <f t="shared" si="6"/>
        <v>36555</v>
      </c>
      <c r="W39" s="68">
        <f t="shared" si="7"/>
        <v>14996</v>
      </c>
      <c r="X39" s="66">
        <f t="shared" si="8"/>
        <v>-0.58976884147175501</v>
      </c>
      <c r="Y39" s="61"/>
      <c r="Z39" s="61"/>
      <c r="AA39" s="66" t="e">
        <f t="shared" si="34"/>
        <v>#DIV/0!</v>
      </c>
      <c r="AB39" s="61">
        <f t="shared" si="35"/>
        <v>36555</v>
      </c>
      <c r="AC39" s="61">
        <f t="shared" si="36"/>
        <v>14996</v>
      </c>
      <c r="AD39" s="66">
        <f t="shared" si="37"/>
        <v>-0.58976884147175501</v>
      </c>
      <c r="AE39" s="61">
        <v>3500</v>
      </c>
      <c r="AF39" s="61">
        <v>7728</v>
      </c>
      <c r="AG39" s="66">
        <f t="shared" si="38"/>
        <v>1.208</v>
      </c>
      <c r="AH39" s="61">
        <f t="shared" si="39"/>
        <v>40055</v>
      </c>
      <c r="AI39" s="61">
        <f t="shared" si="40"/>
        <v>22724</v>
      </c>
      <c r="AJ39" s="66">
        <f t="shared" si="41"/>
        <v>-0.43268006491074801</v>
      </c>
      <c r="AK39" s="61">
        <v>13500</v>
      </c>
      <c r="AL39" s="61">
        <v>6281</v>
      </c>
      <c r="AM39" s="66">
        <f t="shared" si="42"/>
        <v>-0.53474074074074096</v>
      </c>
      <c r="AN39" s="61">
        <f t="shared" si="43"/>
        <v>53555</v>
      </c>
      <c r="AO39" s="61">
        <f t="shared" si="44"/>
        <v>29005</v>
      </c>
      <c r="AP39" s="66">
        <f t="shared" si="45"/>
        <v>-0.45840724488843199</v>
      </c>
      <c r="AQ39" s="67">
        <v>0</v>
      </c>
      <c r="AR39" s="67">
        <v>868</v>
      </c>
      <c r="AS39" s="66" t="e">
        <f t="shared" si="46"/>
        <v>#DIV/0!</v>
      </c>
      <c r="AT39" s="67">
        <f t="shared" si="47"/>
        <v>53555</v>
      </c>
      <c r="AU39" s="67">
        <f t="shared" si="48"/>
        <v>29873</v>
      </c>
      <c r="AV39" s="66">
        <f t="shared" si="49"/>
        <v>-0.44219960787974999</v>
      </c>
      <c r="AW39" s="61">
        <v>41500</v>
      </c>
      <c r="AX39" s="61">
        <v>1900</v>
      </c>
      <c r="AY39" s="66">
        <f t="shared" si="50"/>
        <v>-0.95421686746987999</v>
      </c>
      <c r="AZ39" s="61">
        <f t="shared" si="51"/>
        <v>95055</v>
      </c>
      <c r="BA39" s="61">
        <f t="shared" si="52"/>
        <v>31773</v>
      </c>
      <c r="BB39" s="66">
        <f t="shared" si="53"/>
        <v>-0.66574088685497901</v>
      </c>
      <c r="BC39" s="61">
        <v>12930</v>
      </c>
      <c r="BD39" s="61">
        <v>12050</v>
      </c>
      <c r="BE39" s="66">
        <f t="shared" si="54"/>
        <v>-6.8058778035576098E-2</v>
      </c>
      <c r="BF39" s="61">
        <f t="shared" si="55"/>
        <v>107985</v>
      </c>
      <c r="BG39" s="61">
        <f t="shared" si="56"/>
        <v>43823</v>
      </c>
      <c r="BH39" s="66">
        <f t="shared" si="57"/>
        <v>-0.59417511691438596</v>
      </c>
      <c r="BI39" s="70">
        <v>11288</v>
      </c>
      <c r="BJ39" s="61">
        <v>9500</v>
      </c>
      <c r="BK39" s="61">
        <v>8438</v>
      </c>
      <c r="BL39" s="61">
        <v>137211</v>
      </c>
      <c r="BM39" s="71" t="e">
        <f t="shared" si="58"/>
        <v>#DIV/0!</v>
      </c>
    </row>
    <row r="40" spans="1:65">
      <c r="A40" s="52" t="s">
        <v>414</v>
      </c>
      <c r="B40" s="53" t="s">
        <v>414</v>
      </c>
      <c r="C40" s="60" t="s">
        <v>470</v>
      </c>
      <c r="D40" s="55" t="s">
        <v>61</v>
      </c>
      <c r="E40" s="55" t="s">
        <v>61</v>
      </c>
      <c r="F40" s="55" t="s">
        <v>471</v>
      </c>
      <c r="G40" s="53" t="s">
        <v>471</v>
      </c>
      <c r="H40" s="53" t="s">
        <v>435</v>
      </c>
      <c r="I40" s="53"/>
      <c r="J40" s="61"/>
      <c r="K40" s="61"/>
      <c r="L40" s="66" t="e">
        <f t="shared" si="0"/>
        <v>#DIV/0!</v>
      </c>
      <c r="M40" s="61"/>
      <c r="N40" s="61"/>
      <c r="O40" s="66" t="e">
        <f t="shared" si="1"/>
        <v>#DIV/0!</v>
      </c>
      <c r="P40" s="61">
        <f t="shared" si="2"/>
        <v>0</v>
      </c>
      <c r="Q40" s="61">
        <f t="shared" si="3"/>
        <v>0</v>
      </c>
      <c r="R40" s="66" t="e">
        <f t="shared" si="4"/>
        <v>#DIV/0!</v>
      </c>
      <c r="S40" s="67"/>
      <c r="T40" s="67"/>
      <c r="U40" s="66" t="e">
        <f t="shared" si="5"/>
        <v>#DIV/0!</v>
      </c>
      <c r="V40" s="68">
        <f t="shared" si="6"/>
        <v>0</v>
      </c>
      <c r="W40" s="68">
        <f t="shared" si="7"/>
        <v>0</v>
      </c>
      <c r="X40" s="66" t="e">
        <f t="shared" si="8"/>
        <v>#DIV/0!</v>
      </c>
      <c r="Y40" s="61"/>
      <c r="Z40" s="61"/>
      <c r="AA40" s="66" t="e">
        <f t="shared" si="34"/>
        <v>#DIV/0!</v>
      </c>
      <c r="AB40" s="61">
        <f t="shared" si="35"/>
        <v>0</v>
      </c>
      <c r="AC40" s="61">
        <f t="shared" si="36"/>
        <v>0</v>
      </c>
      <c r="AD40" s="66" t="e">
        <f t="shared" si="37"/>
        <v>#DIV/0!</v>
      </c>
      <c r="AE40" s="61"/>
      <c r="AF40" s="61"/>
      <c r="AG40" s="66" t="e">
        <f t="shared" si="38"/>
        <v>#DIV/0!</v>
      </c>
      <c r="AH40" s="61">
        <f t="shared" si="39"/>
        <v>0</v>
      </c>
      <c r="AI40" s="61">
        <f t="shared" si="40"/>
        <v>0</v>
      </c>
      <c r="AJ40" s="66" t="e">
        <f t="shared" si="41"/>
        <v>#DIV/0!</v>
      </c>
      <c r="AK40" s="61"/>
      <c r="AL40" s="61"/>
      <c r="AM40" s="66" t="e">
        <f t="shared" si="42"/>
        <v>#DIV/0!</v>
      </c>
      <c r="AN40" s="61">
        <f t="shared" si="43"/>
        <v>0</v>
      </c>
      <c r="AO40" s="61">
        <f t="shared" si="44"/>
        <v>0</v>
      </c>
      <c r="AP40" s="66" t="e">
        <f t="shared" si="45"/>
        <v>#DIV/0!</v>
      </c>
      <c r="AQ40" s="67"/>
      <c r="AR40" s="67"/>
      <c r="AS40" s="66" t="e">
        <f t="shared" si="46"/>
        <v>#DIV/0!</v>
      </c>
      <c r="AT40" s="67">
        <f t="shared" si="47"/>
        <v>0</v>
      </c>
      <c r="AU40" s="67">
        <f t="shared" si="48"/>
        <v>0</v>
      </c>
      <c r="AV40" s="66" t="e">
        <f t="shared" si="49"/>
        <v>#DIV/0!</v>
      </c>
      <c r="AW40" s="61"/>
      <c r="AX40" s="61"/>
      <c r="AY40" s="66" t="e">
        <f t="shared" si="50"/>
        <v>#DIV/0!</v>
      </c>
      <c r="AZ40" s="61">
        <f t="shared" si="51"/>
        <v>0</v>
      </c>
      <c r="BA40" s="61">
        <f t="shared" si="52"/>
        <v>0</v>
      </c>
      <c r="BB40" s="66" t="e">
        <f t="shared" si="53"/>
        <v>#DIV/0!</v>
      </c>
      <c r="BC40" s="61"/>
      <c r="BD40" s="61"/>
      <c r="BE40" s="66" t="e">
        <f t="shared" si="54"/>
        <v>#DIV/0!</v>
      </c>
      <c r="BF40" s="61">
        <f t="shared" si="55"/>
        <v>0</v>
      </c>
      <c r="BG40" s="61">
        <f t="shared" si="56"/>
        <v>0</v>
      </c>
      <c r="BH40" s="66" t="e">
        <f t="shared" si="57"/>
        <v>#DIV/0!</v>
      </c>
      <c r="BI40" s="70"/>
      <c r="BJ40" s="61"/>
      <c r="BK40" s="61"/>
      <c r="BL40" s="61">
        <v>0</v>
      </c>
      <c r="BM40" s="71" t="e">
        <f t="shared" si="58"/>
        <v>#DIV/0!</v>
      </c>
    </row>
    <row r="41" spans="1:65">
      <c r="A41" s="52" t="s">
        <v>414</v>
      </c>
      <c r="B41" s="53" t="s">
        <v>414</v>
      </c>
      <c r="C41" s="60" t="s">
        <v>472</v>
      </c>
      <c r="D41" s="55" t="s">
        <v>102</v>
      </c>
      <c r="E41" s="55" t="s">
        <v>102</v>
      </c>
      <c r="F41" s="55" t="s">
        <v>471</v>
      </c>
      <c r="G41" s="53" t="s">
        <v>471</v>
      </c>
      <c r="H41" s="53" t="s">
        <v>435</v>
      </c>
      <c r="I41" s="53"/>
      <c r="J41" s="61"/>
      <c r="K41" s="61"/>
      <c r="L41" s="66" t="e">
        <f t="shared" si="0"/>
        <v>#DIV/0!</v>
      </c>
      <c r="M41" s="61"/>
      <c r="N41" s="61"/>
      <c r="O41" s="66" t="e">
        <f t="shared" si="1"/>
        <v>#DIV/0!</v>
      </c>
      <c r="P41" s="61">
        <f t="shared" si="2"/>
        <v>0</v>
      </c>
      <c r="Q41" s="61">
        <f t="shared" si="3"/>
        <v>0</v>
      </c>
      <c r="R41" s="66" t="e">
        <f t="shared" si="4"/>
        <v>#DIV/0!</v>
      </c>
      <c r="S41" s="67"/>
      <c r="T41" s="67"/>
      <c r="U41" s="66" t="e">
        <f t="shared" si="5"/>
        <v>#DIV/0!</v>
      </c>
      <c r="V41" s="68">
        <f t="shared" si="6"/>
        <v>0</v>
      </c>
      <c r="W41" s="68">
        <f t="shared" si="7"/>
        <v>0</v>
      </c>
      <c r="X41" s="66" t="e">
        <f t="shared" si="8"/>
        <v>#DIV/0!</v>
      </c>
      <c r="Y41" s="61"/>
      <c r="Z41" s="61"/>
      <c r="AA41" s="66" t="e">
        <f t="shared" si="34"/>
        <v>#DIV/0!</v>
      </c>
      <c r="AB41" s="61">
        <f t="shared" si="35"/>
        <v>0</v>
      </c>
      <c r="AC41" s="61">
        <f t="shared" si="36"/>
        <v>0</v>
      </c>
      <c r="AD41" s="66" t="e">
        <f t="shared" si="37"/>
        <v>#DIV/0!</v>
      </c>
      <c r="AE41" s="61"/>
      <c r="AF41" s="61"/>
      <c r="AG41" s="66" t="e">
        <f t="shared" si="38"/>
        <v>#DIV/0!</v>
      </c>
      <c r="AH41" s="61">
        <f t="shared" si="39"/>
        <v>0</v>
      </c>
      <c r="AI41" s="61">
        <f t="shared" si="40"/>
        <v>0</v>
      </c>
      <c r="AJ41" s="66" t="e">
        <f t="shared" si="41"/>
        <v>#DIV/0!</v>
      </c>
      <c r="AK41" s="61"/>
      <c r="AL41" s="61"/>
      <c r="AM41" s="66" t="e">
        <f t="shared" si="42"/>
        <v>#DIV/0!</v>
      </c>
      <c r="AN41" s="61">
        <f t="shared" si="43"/>
        <v>0</v>
      </c>
      <c r="AO41" s="61">
        <f t="shared" si="44"/>
        <v>0</v>
      </c>
      <c r="AP41" s="66" t="e">
        <f t="shared" si="45"/>
        <v>#DIV/0!</v>
      </c>
      <c r="AQ41" s="67"/>
      <c r="AR41" s="67"/>
      <c r="AS41" s="66" t="e">
        <f t="shared" si="46"/>
        <v>#DIV/0!</v>
      </c>
      <c r="AT41" s="67">
        <f t="shared" si="47"/>
        <v>0</v>
      </c>
      <c r="AU41" s="67">
        <f t="shared" si="48"/>
        <v>0</v>
      </c>
      <c r="AV41" s="66" t="e">
        <f t="shared" si="49"/>
        <v>#DIV/0!</v>
      </c>
      <c r="AW41" s="61"/>
      <c r="AX41" s="61"/>
      <c r="AY41" s="66" t="e">
        <f t="shared" si="50"/>
        <v>#DIV/0!</v>
      </c>
      <c r="AZ41" s="61">
        <f t="shared" si="51"/>
        <v>0</v>
      </c>
      <c r="BA41" s="61">
        <f t="shared" si="52"/>
        <v>0</v>
      </c>
      <c r="BB41" s="66" t="e">
        <f t="shared" si="53"/>
        <v>#DIV/0!</v>
      </c>
      <c r="BC41" s="61"/>
      <c r="BD41" s="61"/>
      <c r="BE41" s="66" t="e">
        <f t="shared" si="54"/>
        <v>#DIV/0!</v>
      </c>
      <c r="BF41" s="61">
        <f t="shared" si="55"/>
        <v>0</v>
      </c>
      <c r="BG41" s="61">
        <f t="shared" si="56"/>
        <v>0</v>
      </c>
      <c r="BH41" s="66" t="e">
        <f t="shared" si="57"/>
        <v>#DIV/0!</v>
      </c>
      <c r="BI41" s="70"/>
      <c r="BJ41" s="61"/>
      <c r="BK41" s="61"/>
      <c r="BL41" s="61">
        <v>0</v>
      </c>
      <c r="BM41" s="71" t="e">
        <f t="shared" si="58"/>
        <v>#DIV/0!</v>
      </c>
    </row>
    <row r="42" spans="1:65">
      <c r="A42" s="52" t="s">
        <v>414</v>
      </c>
      <c r="B42" s="53" t="s">
        <v>453</v>
      </c>
      <c r="C42" s="60" t="s">
        <v>473</v>
      </c>
      <c r="D42" s="55" t="s">
        <v>61</v>
      </c>
      <c r="E42" s="55" t="s">
        <v>61</v>
      </c>
      <c r="F42" s="55" t="s">
        <v>474</v>
      </c>
      <c r="G42" s="53" t="s">
        <v>474</v>
      </c>
      <c r="H42" s="53" t="s">
        <v>457</v>
      </c>
      <c r="I42" s="53">
        <v>10</v>
      </c>
      <c r="J42" s="61">
        <v>12950</v>
      </c>
      <c r="K42" s="61"/>
      <c r="L42" s="66">
        <f t="shared" si="0"/>
        <v>-1</v>
      </c>
      <c r="M42" s="61"/>
      <c r="N42" s="61"/>
      <c r="O42" s="66" t="e">
        <f t="shared" si="1"/>
        <v>#DIV/0!</v>
      </c>
      <c r="P42" s="61">
        <f t="shared" si="2"/>
        <v>12950</v>
      </c>
      <c r="Q42" s="61">
        <f t="shared" si="3"/>
        <v>0</v>
      </c>
      <c r="R42" s="66">
        <f t="shared" si="4"/>
        <v>-1</v>
      </c>
      <c r="S42" s="67"/>
      <c r="T42" s="67"/>
      <c r="U42" s="66" t="e">
        <f t="shared" si="5"/>
        <v>#DIV/0!</v>
      </c>
      <c r="V42" s="68">
        <f t="shared" si="6"/>
        <v>12950</v>
      </c>
      <c r="W42" s="68">
        <f t="shared" si="7"/>
        <v>0</v>
      </c>
      <c r="X42" s="66">
        <f t="shared" si="8"/>
        <v>-1</v>
      </c>
      <c r="Y42" s="61">
        <v>5718</v>
      </c>
      <c r="Z42" s="61"/>
      <c r="AA42" s="66">
        <f t="shared" si="34"/>
        <v>-1</v>
      </c>
      <c r="AB42" s="61">
        <f t="shared" si="35"/>
        <v>18668</v>
      </c>
      <c r="AC42" s="61">
        <f t="shared" si="36"/>
        <v>0</v>
      </c>
      <c r="AD42" s="66">
        <f t="shared" si="37"/>
        <v>-1</v>
      </c>
      <c r="AE42" s="61">
        <v>23000</v>
      </c>
      <c r="AF42" s="61"/>
      <c r="AG42" s="66">
        <f t="shared" si="38"/>
        <v>-1</v>
      </c>
      <c r="AH42" s="61">
        <f t="shared" si="39"/>
        <v>41668</v>
      </c>
      <c r="AI42" s="61">
        <f t="shared" si="40"/>
        <v>0</v>
      </c>
      <c r="AJ42" s="66">
        <f t="shared" si="41"/>
        <v>-1</v>
      </c>
      <c r="AK42" s="61"/>
      <c r="AL42" s="61"/>
      <c r="AM42" s="66" t="e">
        <f t="shared" si="42"/>
        <v>#DIV/0!</v>
      </c>
      <c r="AN42" s="61">
        <f t="shared" si="43"/>
        <v>41668</v>
      </c>
      <c r="AO42" s="61">
        <f t="shared" si="44"/>
        <v>0</v>
      </c>
      <c r="AP42" s="66">
        <f t="shared" si="45"/>
        <v>-1</v>
      </c>
      <c r="AQ42" s="67"/>
      <c r="AR42" s="67">
        <v>15400</v>
      </c>
      <c r="AS42" s="66" t="e">
        <f t="shared" si="46"/>
        <v>#DIV/0!</v>
      </c>
      <c r="AT42" s="67">
        <f t="shared" si="47"/>
        <v>41668</v>
      </c>
      <c r="AU42" s="67">
        <f t="shared" si="48"/>
        <v>15400</v>
      </c>
      <c r="AV42" s="66">
        <f t="shared" si="49"/>
        <v>-0.63041182682154195</v>
      </c>
      <c r="AW42" s="61"/>
      <c r="AX42" s="61">
        <v>6743</v>
      </c>
      <c r="AY42" s="66" t="e">
        <f t="shared" si="50"/>
        <v>#DIV/0!</v>
      </c>
      <c r="AZ42" s="61">
        <f t="shared" si="51"/>
        <v>41668</v>
      </c>
      <c r="BA42" s="61">
        <f t="shared" si="52"/>
        <v>22143</v>
      </c>
      <c r="BB42" s="66">
        <f t="shared" si="53"/>
        <v>-0.46858500527983099</v>
      </c>
      <c r="BC42" s="61"/>
      <c r="BD42" s="61"/>
      <c r="BE42" s="66" t="e">
        <f t="shared" si="54"/>
        <v>#DIV/0!</v>
      </c>
      <c r="BF42" s="61">
        <f t="shared" si="55"/>
        <v>41668</v>
      </c>
      <c r="BG42" s="61">
        <f t="shared" si="56"/>
        <v>22143</v>
      </c>
      <c r="BH42" s="66">
        <f t="shared" si="57"/>
        <v>-0.46858500527983099</v>
      </c>
      <c r="BI42" s="70"/>
      <c r="BJ42" s="61"/>
      <c r="BK42" s="61"/>
      <c r="BL42" s="61">
        <v>41668</v>
      </c>
      <c r="BM42" s="71">
        <f t="shared" si="58"/>
        <v>0.22142999999999999</v>
      </c>
    </row>
    <row r="43" spans="1:65">
      <c r="A43" s="52" t="s">
        <v>414</v>
      </c>
      <c r="B43" s="53" t="s">
        <v>414</v>
      </c>
      <c r="C43" s="60" t="s">
        <v>475</v>
      </c>
      <c r="D43" s="55" t="s">
        <v>61</v>
      </c>
      <c r="E43" s="55" t="s">
        <v>61</v>
      </c>
      <c r="F43" s="55" t="s">
        <v>420</v>
      </c>
      <c r="G43" s="53" t="s">
        <v>420</v>
      </c>
      <c r="H43" s="53" t="s">
        <v>421</v>
      </c>
      <c r="I43" s="53"/>
      <c r="J43" s="61"/>
      <c r="K43" s="61"/>
      <c r="L43" s="66" t="e">
        <f t="shared" si="0"/>
        <v>#DIV/0!</v>
      </c>
      <c r="M43" s="61"/>
      <c r="N43" s="61"/>
      <c r="O43" s="66" t="e">
        <f t="shared" si="1"/>
        <v>#DIV/0!</v>
      </c>
      <c r="P43" s="61">
        <f t="shared" si="2"/>
        <v>0</v>
      </c>
      <c r="Q43" s="61">
        <f t="shared" si="3"/>
        <v>0</v>
      </c>
      <c r="R43" s="66" t="e">
        <f t="shared" si="4"/>
        <v>#DIV/0!</v>
      </c>
      <c r="S43" s="67"/>
      <c r="T43" s="67"/>
      <c r="U43" s="66" t="e">
        <f t="shared" si="5"/>
        <v>#DIV/0!</v>
      </c>
      <c r="V43" s="68">
        <f t="shared" si="6"/>
        <v>0</v>
      </c>
      <c r="W43" s="68">
        <f t="shared" si="7"/>
        <v>0</v>
      </c>
      <c r="X43" s="66" t="e">
        <f t="shared" si="8"/>
        <v>#DIV/0!</v>
      </c>
      <c r="Y43" s="61"/>
      <c r="Z43" s="61"/>
      <c r="AA43" s="66" t="e">
        <f t="shared" si="34"/>
        <v>#DIV/0!</v>
      </c>
      <c r="AB43" s="61">
        <f t="shared" si="35"/>
        <v>0</v>
      </c>
      <c r="AC43" s="61">
        <f t="shared" si="36"/>
        <v>0</v>
      </c>
      <c r="AD43" s="66" t="e">
        <f t="shared" si="37"/>
        <v>#DIV/0!</v>
      </c>
      <c r="AE43" s="61"/>
      <c r="AF43" s="61"/>
      <c r="AG43" s="66" t="e">
        <f t="shared" si="38"/>
        <v>#DIV/0!</v>
      </c>
      <c r="AH43" s="61">
        <f t="shared" si="39"/>
        <v>0</v>
      </c>
      <c r="AI43" s="61">
        <f t="shared" si="40"/>
        <v>0</v>
      </c>
      <c r="AJ43" s="66" t="e">
        <f t="shared" si="41"/>
        <v>#DIV/0!</v>
      </c>
      <c r="AK43" s="61"/>
      <c r="AL43" s="61"/>
      <c r="AM43" s="66" t="e">
        <f t="shared" si="42"/>
        <v>#DIV/0!</v>
      </c>
      <c r="AN43" s="61">
        <f t="shared" si="43"/>
        <v>0</v>
      </c>
      <c r="AO43" s="61">
        <f t="shared" si="44"/>
        <v>0</v>
      </c>
      <c r="AP43" s="66" t="e">
        <f t="shared" si="45"/>
        <v>#DIV/0!</v>
      </c>
      <c r="AQ43" s="67"/>
      <c r="AR43" s="67"/>
      <c r="AS43" s="66" t="e">
        <f t="shared" si="46"/>
        <v>#DIV/0!</v>
      </c>
      <c r="AT43" s="67">
        <f t="shared" si="47"/>
        <v>0</v>
      </c>
      <c r="AU43" s="67">
        <f t="shared" si="48"/>
        <v>0</v>
      </c>
      <c r="AV43" s="66" t="e">
        <f t="shared" si="49"/>
        <v>#DIV/0!</v>
      </c>
      <c r="AW43" s="61"/>
      <c r="AX43" s="61"/>
      <c r="AY43" s="66" t="e">
        <f t="shared" si="50"/>
        <v>#DIV/0!</v>
      </c>
      <c r="AZ43" s="61">
        <f t="shared" si="51"/>
        <v>0</v>
      </c>
      <c r="BA43" s="61">
        <f t="shared" si="52"/>
        <v>0</v>
      </c>
      <c r="BB43" s="66" t="e">
        <f t="shared" si="53"/>
        <v>#DIV/0!</v>
      </c>
      <c r="BC43" s="61"/>
      <c r="BD43" s="61"/>
      <c r="BE43" s="66" t="e">
        <f t="shared" si="54"/>
        <v>#DIV/0!</v>
      </c>
      <c r="BF43" s="61">
        <f t="shared" si="55"/>
        <v>0</v>
      </c>
      <c r="BG43" s="61">
        <f t="shared" si="56"/>
        <v>0</v>
      </c>
      <c r="BH43" s="66" t="e">
        <f t="shared" si="57"/>
        <v>#DIV/0!</v>
      </c>
      <c r="BI43" s="70"/>
      <c r="BJ43" s="61"/>
      <c r="BK43" s="61"/>
      <c r="BL43" s="61">
        <v>0</v>
      </c>
      <c r="BM43" s="71" t="e">
        <f t="shared" si="58"/>
        <v>#DIV/0!</v>
      </c>
    </row>
    <row r="44" spans="1:65">
      <c r="A44" s="52" t="s">
        <v>414</v>
      </c>
      <c r="B44" s="53" t="s">
        <v>414</v>
      </c>
      <c r="C44" s="60" t="s">
        <v>476</v>
      </c>
      <c r="D44" s="55" t="s">
        <v>61</v>
      </c>
      <c r="E44" s="55" t="s">
        <v>61</v>
      </c>
      <c r="F44" s="55" t="s">
        <v>443</v>
      </c>
      <c r="G44" s="53" t="s">
        <v>443</v>
      </c>
      <c r="H44" s="53" t="s">
        <v>435</v>
      </c>
      <c r="I44" s="53"/>
      <c r="J44" s="61"/>
      <c r="K44" s="61"/>
      <c r="L44" s="66" t="e">
        <f t="shared" si="0"/>
        <v>#DIV/0!</v>
      </c>
      <c r="M44" s="61"/>
      <c r="N44" s="61"/>
      <c r="O44" s="66" t="e">
        <f t="shared" si="1"/>
        <v>#DIV/0!</v>
      </c>
      <c r="P44" s="61">
        <f t="shared" si="2"/>
        <v>0</v>
      </c>
      <c r="Q44" s="61">
        <f t="shared" si="3"/>
        <v>0</v>
      </c>
      <c r="R44" s="66" t="e">
        <f t="shared" si="4"/>
        <v>#DIV/0!</v>
      </c>
      <c r="S44" s="67"/>
      <c r="T44" s="67"/>
      <c r="U44" s="66" t="e">
        <f t="shared" si="5"/>
        <v>#DIV/0!</v>
      </c>
      <c r="V44" s="68">
        <f t="shared" si="6"/>
        <v>0</v>
      </c>
      <c r="W44" s="68">
        <f t="shared" si="7"/>
        <v>0</v>
      </c>
      <c r="X44" s="66" t="e">
        <f t="shared" si="8"/>
        <v>#DIV/0!</v>
      </c>
      <c r="Y44" s="61"/>
      <c r="Z44" s="61"/>
      <c r="AA44" s="66" t="e">
        <f t="shared" si="34"/>
        <v>#DIV/0!</v>
      </c>
      <c r="AB44" s="61">
        <f t="shared" si="35"/>
        <v>0</v>
      </c>
      <c r="AC44" s="61">
        <f t="shared" si="36"/>
        <v>0</v>
      </c>
      <c r="AD44" s="66" t="e">
        <f t="shared" si="37"/>
        <v>#DIV/0!</v>
      </c>
      <c r="AE44" s="61"/>
      <c r="AF44" s="61"/>
      <c r="AG44" s="66" t="e">
        <f t="shared" si="38"/>
        <v>#DIV/0!</v>
      </c>
      <c r="AH44" s="61">
        <f t="shared" si="39"/>
        <v>0</v>
      </c>
      <c r="AI44" s="61">
        <f t="shared" si="40"/>
        <v>0</v>
      </c>
      <c r="AJ44" s="66" t="e">
        <f t="shared" si="41"/>
        <v>#DIV/0!</v>
      </c>
      <c r="AK44" s="61"/>
      <c r="AL44" s="61"/>
      <c r="AM44" s="66" t="e">
        <f t="shared" si="42"/>
        <v>#DIV/0!</v>
      </c>
      <c r="AN44" s="61">
        <f t="shared" si="43"/>
        <v>0</v>
      </c>
      <c r="AO44" s="61">
        <f t="shared" si="44"/>
        <v>0</v>
      </c>
      <c r="AP44" s="66" t="e">
        <f t="shared" si="45"/>
        <v>#DIV/0!</v>
      </c>
      <c r="AQ44" s="67"/>
      <c r="AR44" s="67"/>
      <c r="AS44" s="66" t="e">
        <f t="shared" si="46"/>
        <v>#DIV/0!</v>
      </c>
      <c r="AT44" s="67">
        <f t="shared" si="47"/>
        <v>0</v>
      </c>
      <c r="AU44" s="67">
        <f t="shared" si="48"/>
        <v>0</v>
      </c>
      <c r="AV44" s="66" t="e">
        <f t="shared" si="49"/>
        <v>#DIV/0!</v>
      </c>
      <c r="AW44" s="61"/>
      <c r="AX44" s="61"/>
      <c r="AY44" s="66" t="e">
        <f t="shared" si="50"/>
        <v>#DIV/0!</v>
      </c>
      <c r="AZ44" s="61">
        <f t="shared" si="51"/>
        <v>0</v>
      </c>
      <c r="BA44" s="61">
        <f t="shared" si="52"/>
        <v>0</v>
      </c>
      <c r="BB44" s="66" t="e">
        <f t="shared" si="53"/>
        <v>#DIV/0!</v>
      </c>
      <c r="BC44" s="61"/>
      <c r="BD44" s="61"/>
      <c r="BE44" s="66" t="e">
        <f t="shared" si="54"/>
        <v>#DIV/0!</v>
      </c>
      <c r="BF44" s="61">
        <f t="shared" si="55"/>
        <v>0</v>
      </c>
      <c r="BG44" s="61">
        <f t="shared" si="56"/>
        <v>0</v>
      </c>
      <c r="BH44" s="66" t="e">
        <f t="shared" si="57"/>
        <v>#DIV/0!</v>
      </c>
      <c r="BI44" s="70"/>
      <c r="BJ44" s="61"/>
      <c r="BK44" s="61"/>
      <c r="BL44" s="61">
        <v>0</v>
      </c>
      <c r="BM44" s="71" t="e">
        <f t="shared" si="58"/>
        <v>#DIV/0!</v>
      </c>
    </row>
    <row r="45" spans="1:65">
      <c r="A45" s="52" t="s">
        <v>414</v>
      </c>
      <c r="B45" s="53" t="s">
        <v>453</v>
      </c>
      <c r="C45" s="60" t="s">
        <v>477</v>
      </c>
      <c r="D45" s="55" t="s">
        <v>102</v>
      </c>
      <c r="E45" s="55" t="s">
        <v>102</v>
      </c>
      <c r="F45" s="55" t="s">
        <v>478</v>
      </c>
      <c r="G45" s="53" t="s">
        <v>478</v>
      </c>
      <c r="H45" s="53" t="s">
        <v>457</v>
      </c>
      <c r="I45" s="53"/>
      <c r="J45" s="61">
        <v>8000</v>
      </c>
      <c r="K45" s="61"/>
      <c r="L45" s="66">
        <f t="shared" si="0"/>
        <v>-1</v>
      </c>
      <c r="M45" s="61"/>
      <c r="N45" s="61"/>
      <c r="O45" s="66" t="e">
        <f t="shared" si="1"/>
        <v>#DIV/0!</v>
      </c>
      <c r="P45" s="61">
        <f t="shared" si="2"/>
        <v>8000</v>
      </c>
      <c r="Q45" s="61">
        <f t="shared" si="3"/>
        <v>0</v>
      </c>
      <c r="R45" s="66">
        <f t="shared" si="4"/>
        <v>-1</v>
      </c>
      <c r="S45" s="67">
        <v>21660</v>
      </c>
      <c r="T45" s="67"/>
      <c r="U45" s="66">
        <f t="shared" si="5"/>
        <v>-1</v>
      </c>
      <c r="V45" s="68">
        <f t="shared" si="6"/>
        <v>29660</v>
      </c>
      <c r="W45" s="68">
        <f t="shared" si="7"/>
        <v>0</v>
      </c>
      <c r="X45" s="66">
        <f t="shared" si="8"/>
        <v>-1</v>
      </c>
      <c r="Y45" s="61"/>
      <c r="Z45" s="61"/>
      <c r="AA45" s="66" t="e">
        <f t="shared" si="34"/>
        <v>#DIV/0!</v>
      </c>
      <c r="AB45" s="61">
        <f t="shared" si="35"/>
        <v>29660</v>
      </c>
      <c r="AC45" s="61">
        <f t="shared" si="36"/>
        <v>0</v>
      </c>
      <c r="AD45" s="66">
        <f t="shared" si="37"/>
        <v>-1</v>
      </c>
      <c r="AE45" s="61"/>
      <c r="AF45" s="61"/>
      <c r="AG45" s="66" t="e">
        <f t="shared" si="38"/>
        <v>#DIV/0!</v>
      </c>
      <c r="AH45" s="61">
        <f t="shared" si="39"/>
        <v>29660</v>
      </c>
      <c r="AI45" s="61">
        <f t="shared" si="40"/>
        <v>0</v>
      </c>
      <c r="AJ45" s="66">
        <f t="shared" si="41"/>
        <v>-1</v>
      </c>
      <c r="AK45" s="61"/>
      <c r="AL45" s="61"/>
      <c r="AM45" s="66" t="e">
        <f t="shared" si="42"/>
        <v>#DIV/0!</v>
      </c>
      <c r="AN45" s="61">
        <f t="shared" si="43"/>
        <v>29660</v>
      </c>
      <c r="AO45" s="61">
        <f t="shared" si="44"/>
        <v>0</v>
      </c>
      <c r="AP45" s="66">
        <f t="shared" si="45"/>
        <v>-1</v>
      </c>
      <c r="AQ45" s="67"/>
      <c r="AR45" s="67"/>
      <c r="AS45" s="66" t="e">
        <f t="shared" si="46"/>
        <v>#DIV/0!</v>
      </c>
      <c r="AT45" s="67">
        <f t="shared" si="47"/>
        <v>29660</v>
      </c>
      <c r="AU45" s="67">
        <f t="shared" si="48"/>
        <v>0</v>
      </c>
      <c r="AV45" s="66">
        <f t="shared" si="49"/>
        <v>-1</v>
      </c>
      <c r="AW45" s="61"/>
      <c r="AX45" s="61"/>
      <c r="AY45" s="66" t="e">
        <f t="shared" si="50"/>
        <v>#DIV/0!</v>
      </c>
      <c r="AZ45" s="61">
        <f t="shared" si="51"/>
        <v>29660</v>
      </c>
      <c r="BA45" s="61">
        <f t="shared" si="52"/>
        <v>0</v>
      </c>
      <c r="BB45" s="66">
        <f t="shared" si="53"/>
        <v>-1</v>
      </c>
      <c r="BC45" s="61"/>
      <c r="BD45" s="61"/>
      <c r="BE45" s="66" t="e">
        <f t="shared" si="54"/>
        <v>#DIV/0!</v>
      </c>
      <c r="BF45" s="61">
        <f t="shared" si="55"/>
        <v>29660</v>
      </c>
      <c r="BG45" s="61">
        <f t="shared" si="56"/>
        <v>0</v>
      </c>
      <c r="BH45" s="66">
        <f t="shared" si="57"/>
        <v>-1</v>
      </c>
      <c r="BI45" s="70"/>
      <c r="BJ45" s="61"/>
      <c r="BK45" s="61"/>
      <c r="BL45" s="61">
        <v>29660</v>
      </c>
      <c r="BM45" s="71" t="e">
        <f t="shared" si="58"/>
        <v>#DIV/0!</v>
      </c>
    </row>
    <row r="46" spans="1:65">
      <c r="A46" s="52" t="s">
        <v>414</v>
      </c>
      <c r="B46" s="53" t="s">
        <v>414</v>
      </c>
      <c r="C46" s="60" t="s">
        <v>479</v>
      </c>
      <c r="D46" s="55" t="s">
        <v>61</v>
      </c>
      <c r="E46" s="55" t="s">
        <v>61</v>
      </c>
      <c r="F46" s="55" t="s">
        <v>420</v>
      </c>
      <c r="G46" s="53" t="s">
        <v>420</v>
      </c>
      <c r="H46" s="53" t="s">
        <v>421</v>
      </c>
      <c r="I46" s="53"/>
      <c r="J46" s="61"/>
      <c r="K46" s="61"/>
      <c r="L46" s="66" t="e">
        <f t="shared" si="0"/>
        <v>#DIV/0!</v>
      </c>
      <c r="M46" s="61"/>
      <c r="N46" s="61"/>
      <c r="O46" s="66" t="e">
        <f t="shared" si="1"/>
        <v>#DIV/0!</v>
      </c>
      <c r="P46" s="61">
        <f t="shared" si="2"/>
        <v>0</v>
      </c>
      <c r="Q46" s="61">
        <f t="shared" si="3"/>
        <v>0</v>
      </c>
      <c r="R46" s="66" t="e">
        <f t="shared" si="4"/>
        <v>#DIV/0!</v>
      </c>
      <c r="S46" s="67">
        <v>1580</v>
      </c>
      <c r="T46" s="67"/>
      <c r="U46" s="66">
        <f t="shared" si="5"/>
        <v>-1</v>
      </c>
      <c r="V46" s="68">
        <f t="shared" si="6"/>
        <v>1580</v>
      </c>
      <c r="W46" s="68">
        <f t="shared" si="7"/>
        <v>0</v>
      </c>
      <c r="X46" s="66">
        <f t="shared" si="8"/>
        <v>-1</v>
      </c>
      <c r="Y46" s="61"/>
      <c r="Z46" s="61"/>
      <c r="AA46" s="66" t="e">
        <f t="shared" si="34"/>
        <v>#DIV/0!</v>
      </c>
      <c r="AB46" s="61">
        <f t="shared" si="35"/>
        <v>1580</v>
      </c>
      <c r="AC46" s="61">
        <f t="shared" si="36"/>
        <v>0</v>
      </c>
      <c r="AD46" s="66">
        <f t="shared" si="37"/>
        <v>-1</v>
      </c>
      <c r="AE46" s="61"/>
      <c r="AF46" s="61"/>
      <c r="AG46" s="66" t="e">
        <f t="shared" si="38"/>
        <v>#DIV/0!</v>
      </c>
      <c r="AH46" s="61">
        <f t="shared" si="39"/>
        <v>1580</v>
      </c>
      <c r="AI46" s="61">
        <f t="shared" si="40"/>
        <v>0</v>
      </c>
      <c r="AJ46" s="66">
        <f t="shared" si="41"/>
        <v>-1</v>
      </c>
      <c r="AK46" s="61"/>
      <c r="AL46" s="61"/>
      <c r="AM46" s="66" t="e">
        <f t="shared" si="42"/>
        <v>#DIV/0!</v>
      </c>
      <c r="AN46" s="61">
        <f t="shared" si="43"/>
        <v>1580</v>
      </c>
      <c r="AO46" s="61">
        <f t="shared" si="44"/>
        <v>0</v>
      </c>
      <c r="AP46" s="66">
        <f t="shared" si="45"/>
        <v>-1</v>
      </c>
      <c r="AQ46" s="67"/>
      <c r="AR46" s="67"/>
      <c r="AS46" s="66" t="e">
        <f t="shared" si="46"/>
        <v>#DIV/0!</v>
      </c>
      <c r="AT46" s="67">
        <f t="shared" si="47"/>
        <v>1580</v>
      </c>
      <c r="AU46" s="67">
        <f t="shared" si="48"/>
        <v>0</v>
      </c>
      <c r="AV46" s="66">
        <f t="shared" si="49"/>
        <v>-1</v>
      </c>
      <c r="AW46" s="61"/>
      <c r="AX46" s="61"/>
      <c r="AY46" s="66" t="e">
        <f t="shared" si="50"/>
        <v>#DIV/0!</v>
      </c>
      <c r="AZ46" s="61">
        <f t="shared" si="51"/>
        <v>1580</v>
      </c>
      <c r="BA46" s="61">
        <f t="shared" si="52"/>
        <v>0</v>
      </c>
      <c r="BB46" s="66">
        <f t="shared" si="53"/>
        <v>-1</v>
      </c>
      <c r="BC46" s="61"/>
      <c r="BD46" s="61"/>
      <c r="BE46" s="66" t="e">
        <f t="shared" si="54"/>
        <v>#DIV/0!</v>
      </c>
      <c r="BF46" s="61">
        <f t="shared" si="55"/>
        <v>1580</v>
      </c>
      <c r="BG46" s="61">
        <f t="shared" si="56"/>
        <v>0</v>
      </c>
      <c r="BH46" s="66">
        <f t="shared" si="57"/>
        <v>-1</v>
      </c>
      <c r="BI46" s="70"/>
      <c r="BJ46" s="61"/>
      <c r="BK46" s="61"/>
      <c r="BL46" s="61">
        <v>1580</v>
      </c>
      <c r="BM46" s="71" t="e">
        <f t="shared" si="58"/>
        <v>#DIV/0!</v>
      </c>
    </row>
    <row r="47" spans="1:65">
      <c r="A47" s="52" t="s">
        <v>414</v>
      </c>
      <c r="B47" s="53" t="s">
        <v>453</v>
      </c>
      <c r="C47" s="60" t="s">
        <v>480</v>
      </c>
      <c r="D47" s="55" t="s">
        <v>61</v>
      </c>
      <c r="E47" s="55" t="s">
        <v>61</v>
      </c>
      <c r="F47" s="55" t="s">
        <v>481</v>
      </c>
      <c r="G47" s="53" t="s">
        <v>481</v>
      </c>
      <c r="H47" s="53" t="s">
        <v>457</v>
      </c>
      <c r="I47" s="53"/>
      <c r="J47" s="61">
        <v>40000</v>
      </c>
      <c r="K47" s="61">
        <v>75850</v>
      </c>
      <c r="L47" s="66">
        <f t="shared" si="0"/>
        <v>0.89624999999999999</v>
      </c>
      <c r="M47" s="61"/>
      <c r="N47" s="61"/>
      <c r="O47" s="66" t="e">
        <f t="shared" si="1"/>
        <v>#DIV/0!</v>
      </c>
      <c r="P47" s="61">
        <f t="shared" si="2"/>
        <v>40000</v>
      </c>
      <c r="Q47" s="61">
        <f t="shared" si="3"/>
        <v>75850</v>
      </c>
      <c r="R47" s="66">
        <f t="shared" si="4"/>
        <v>0.89624999999999999</v>
      </c>
      <c r="S47" s="67"/>
      <c r="T47" s="67"/>
      <c r="U47" s="66" t="e">
        <f t="shared" si="5"/>
        <v>#DIV/0!</v>
      </c>
      <c r="V47" s="68">
        <f t="shared" si="6"/>
        <v>40000</v>
      </c>
      <c r="W47" s="68">
        <f t="shared" si="7"/>
        <v>75850</v>
      </c>
      <c r="X47" s="66">
        <f t="shared" si="8"/>
        <v>0.89624999999999999</v>
      </c>
      <c r="Y47" s="61"/>
      <c r="Z47" s="61">
        <v>36500</v>
      </c>
      <c r="AA47" s="66" t="e">
        <f t="shared" si="34"/>
        <v>#DIV/0!</v>
      </c>
      <c r="AB47" s="61">
        <f t="shared" si="35"/>
        <v>40000</v>
      </c>
      <c r="AC47" s="61">
        <f t="shared" si="36"/>
        <v>112350</v>
      </c>
      <c r="AD47" s="66">
        <f t="shared" si="37"/>
        <v>1.8087500000000001</v>
      </c>
      <c r="AE47" s="61"/>
      <c r="AF47" s="61">
        <v>73000</v>
      </c>
      <c r="AG47" s="66" t="e">
        <f t="shared" si="38"/>
        <v>#DIV/0!</v>
      </c>
      <c r="AH47" s="61">
        <f t="shared" si="39"/>
        <v>40000</v>
      </c>
      <c r="AI47" s="61">
        <f t="shared" si="40"/>
        <v>185350</v>
      </c>
      <c r="AJ47" s="66">
        <f t="shared" si="41"/>
        <v>3.63375</v>
      </c>
      <c r="AK47" s="61"/>
      <c r="AL47" s="61">
        <v>36500</v>
      </c>
      <c r="AM47" s="66" t="e">
        <f t="shared" si="42"/>
        <v>#DIV/0!</v>
      </c>
      <c r="AN47" s="61">
        <f t="shared" si="43"/>
        <v>40000</v>
      </c>
      <c r="AO47" s="61">
        <f t="shared" si="44"/>
        <v>221850</v>
      </c>
      <c r="AP47" s="66">
        <f t="shared" si="45"/>
        <v>4.5462499999999997</v>
      </c>
      <c r="AQ47" s="67"/>
      <c r="AR47" s="67">
        <v>219000</v>
      </c>
      <c r="AS47" s="66" t="e">
        <f t="shared" si="46"/>
        <v>#DIV/0!</v>
      </c>
      <c r="AT47" s="67">
        <f t="shared" si="47"/>
        <v>40000</v>
      </c>
      <c r="AU47" s="67">
        <f t="shared" si="48"/>
        <v>440850</v>
      </c>
      <c r="AV47" s="66">
        <f t="shared" si="49"/>
        <v>10.02125</v>
      </c>
      <c r="AW47" s="61"/>
      <c r="AX47" s="61"/>
      <c r="AY47" s="66" t="e">
        <f t="shared" si="50"/>
        <v>#DIV/0!</v>
      </c>
      <c r="AZ47" s="61">
        <f t="shared" si="51"/>
        <v>40000</v>
      </c>
      <c r="BA47" s="61">
        <f t="shared" si="52"/>
        <v>440850</v>
      </c>
      <c r="BB47" s="66">
        <f t="shared" si="53"/>
        <v>10.02125</v>
      </c>
      <c r="BC47" s="61">
        <v>54750</v>
      </c>
      <c r="BD47" s="61"/>
      <c r="BE47" s="66">
        <f t="shared" si="54"/>
        <v>-1</v>
      </c>
      <c r="BF47" s="61">
        <f t="shared" si="55"/>
        <v>94750</v>
      </c>
      <c r="BG47" s="61">
        <f t="shared" si="56"/>
        <v>440850</v>
      </c>
      <c r="BH47" s="66">
        <f t="shared" si="57"/>
        <v>3.6527704485488099</v>
      </c>
      <c r="BI47" s="70">
        <v>54750</v>
      </c>
      <c r="BJ47" s="61">
        <v>79350</v>
      </c>
      <c r="BK47" s="61">
        <v>73000</v>
      </c>
      <c r="BL47" s="61">
        <v>301850</v>
      </c>
      <c r="BM47" s="71" t="e">
        <f t="shared" si="58"/>
        <v>#DIV/0!</v>
      </c>
    </row>
    <row r="48" spans="1:65">
      <c r="A48" s="52" t="s">
        <v>414</v>
      </c>
      <c r="B48" s="53" t="s">
        <v>414</v>
      </c>
      <c r="C48" s="60" t="s">
        <v>482</v>
      </c>
      <c r="D48" s="55" t="s">
        <v>61</v>
      </c>
      <c r="E48" s="55" t="s">
        <v>61</v>
      </c>
      <c r="F48" s="55" t="s">
        <v>420</v>
      </c>
      <c r="G48" s="53" t="s">
        <v>420</v>
      </c>
      <c r="H48" s="53" t="s">
        <v>421</v>
      </c>
      <c r="I48" s="53"/>
      <c r="J48" s="61"/>
      <c r="K48" s="61"/>
      <c r="L48" s="66" t="e">
        <f t="shared" si="0"/>
        <v>#DIV/0!</v>
      </c>
      <c r="M48" s="61"/>
      <c r="N48" s="61"/>
      <c r="O48" s="66" t="e">
        <f t="shared" si="1"/>
        <v>#DIV/0!</v>
      </c>
      <c r="P48" s="61">
        <f t="shared" si="2"/>
        <v>0</v>
      </c>
      <c r="Q48" s="61">
        <f t="shared" si="3"/>
        <v>0</v>
      </c>
      <c r="R48" s="66" t="e">
        <f t="shared" si="4"/>
        <v>#DIV/0!</v>
      </c>
      <c r="S48" s="67"/>
      <c r="T48" s="67"/>
      <c r="U48" s="66" t="e">
        <f t="shared" si="5"/>
        <v>#DIV/0!</v>
      </c>
      <c r="V48" s="68">
        <f t="shared" si="6"/>
        <v>0</v>
      </c>
      <c r="W48" s="68">
        <f t="shared" si="7"/>
        <v>0</v>
      </c>
      <c r="X48" s="66" t="e">
        <f t="shared" si="8"/>
        <v>#DIV/0!</v>
      </c>
      <c r="Y48" s="61"/>
      <c r="Z48" s="61"/>
      <c r="AA48" s="66" t="e">
        <f t="shared" si="34"/>
        <v>#DIV/0!</v>
      </c>
      <c r="AB48" s="61">
        <f t="shared" si="35"/>
        <v>0</v>
      </c>
      <c r="AC48" s="61">
        <f t="shared" si="36"/>
        <v>0</v>
      </c>
      <c r="AD48" s="66" t="e">
        <f t="shared" si="37"/>
        <v>#DIV/0!</v>
      </c>
      <c r="AE48" s="61"/>
      <c r="AF48" s="61"/>
      <c r="AG48" s="66" t="e">
        <f t="shared" si="38"/>
        <v>#DIV/0!</v>
      </c>
      <c r="AH48" s="61">
        <f t="shared" si="39"/>
        <v>0</v>
      </c>
      <c r="AI48" s="61">
        <f t="shared" si="40"/>
        <v>0</v>
      </c>
      <c r="AJ48" s="66" t="e">
        <f t="shared" si="41"/>
        <v>#DIV/0!</v>
      </c>
      <c r="AK48" s="61"/>
      <c r="AL48" s="61"/>
      <c r="AM48" s="66" t="e">
        <f t="shared" si="42"/>
        <v>#DIV/0!</v>
      </c>
      <c r="AN48" s="61">
        <f t="shared" si="43"/>
        <v>0</v>
      </c>
      <c r="AO48" s="61">
        <f t="shared" si="44"/>
        <v>0</v>
      </c>
      <c r="AP48" s="66" t="e">
        <f t="shared" si="45"/>
        <v>#DIV/0!</v>
      </c>
      <c r="AQ48" s="67"/>
      <c r="AR48" s="67"/>
      <c r="AS48" s="66" t="e">
        <f t="shared" si="46"/>
        <v>#DIV/0!</v>
      </c>
      <c r="AT48" s="67">
        <f t="shared" si="47"/>
        <v>0</v>
      </c>
      <c r="AU48" s="67">
        <f t="shared" si="48"/>
        <v>0</v>
      </c>
      <c r="AV48" s="66" t="e">
        <f t="shared" si="49"/>
        <v>#DIV/0!</v>
      </c>
      <c r="AW48" s="61"/>
      <c r="AX48" s="61"/>
      <c r="AY48" s="66" t="e">
        <f t="shared" si="50"/>
        <v>#DIV/0!</v>
      </c>
      <c r="AZ48" s="61">
        <f t="shared" si="51"/>
        <v>0</v>
      </c>
      <c r="BA48" s="61">
        <f t="shared" si="52"/>
        <v>0</v>
      </c>
      <c r="BB48" s="66" t="e">
        <f t="shared" si="53"/>
        <v>#DIV/0!</v>
      </c>
      <c r="BC48" s="61"/>
      <c r="BD48" s="61"/>
      <c r="BE48" s="66" t="e">
        <f t="shared" si="54"/>
        <v>#DIV/0!</v>
      </c>
      <c r="BF48" s="61">
        <f t="shared" si="55"/>
        <v>0</v>
      </c>
      <c r="BG48" s="61">
        <f t="shared" si="56"/>
        <v>0</v>
      </c>
      <c r="BH48" s="66" t="e">
        <f t="shared" si="57"/>
        <v>#DIV/0!</v>
      </c>
      <c r="BI48" s="70"/>
      <c r="BJ48" s="61"/>
      <c r="BK48" s="61"/>
      <c r="BL48" s="61">
        <v>0</v>
      </c>
      <c r="BM48" s="71" t="e">
        <f t="shared" si="58"/>
        <v>#DIV/0!</v>
      </c>
    </row>
    <row r="49" spans="1:65" ht="12" customHeight="1">
      <c r="A49" s="52" t="s">
        <v>414</v>
      </c>
      <c r="B49" s="53" t="s">
        <v>414</v>
      </c>
      <c r="C49" s="60" t="s">
        <v>483</v>
      </c>
      <c r="D49" s="55" t="s">
        <v>61</v>
      </c>
      <c r="E49" s="55" t="s">
        <v>61</v>
      </c>
      <c r="F49" s="55" t="s">
        <v>428</v>
      </c>
      <c r="G49" s="53" t="s">
        <v>437</v>
      </c>
      <c r="H49" s="53" t="s">
        <v>417</v>
      </c>
      <c r="I49" s="53"/>
      <c r="J49" s="61"/>
      <c r="K49" s="61"/>
      <c r="L49" s="66" t="e">
        <f t="shared" si="0"/>
        <v>#DIV/0!</v>
      </c>
      <c r="M49" s="61"/>
      <c r="N49" s="61"/>
      <c r="O49" s="66" t="e">
        <f t="shared" si="1"/>
        <v>#DIV/0!</v>
      </c>
      <c r="P49" s="61">
        <f t="shared" si="2"/>
        <v>0</v>
      </c>
      <c r="Q49" s="61">
        <f t="shared" si="3"/>
        <v>0</v>
      </c>
      <c r="R49" s="66" t="e">
        <f t="shared" si="4"/>
        <v>#DIV/0!</v>
      </c>
      <c r="S49" s="67"/>
      <c r="T49" s="67"/>
      <c r="U49" s="66" t="e">
        <f t="shared" si="5"/>
        <v>#DIV/0!</v>
      </c>
      <c r="V49" s="68">
        <f t="shared" si="6"/>
        <v>0</v>
      </c>
      <c r="W49" s="68">
        <f t="shared" si="7"/>
        <v>0</v>
      </c>
      <c r="X49" s="66" t="e">
        <f t="shared" si="8"/>
        <v>#DIV/0!</v>
      </c>
      <c r="Y49" s="61"/>
      <c r="Z49" s="61"/>
      <c r="AA49" s="66" t="e">
        <f t="shared" si="34"/>
        <v>#DIV/0!</v>
      </c>
      <c r="AB49" s="61">
        <f t="shared" si="35"/>
        <v>0</v>
      </c>
      <c r="AC49" s="61">
        <f t="shared" si="36"/>
        <v>0</v>
      </c>
      <c r="AD49" s="66" t="e">
        <f t="shared" si="37"/>
        <v>#DIV/0!</v>
      </c>
      <c r="AE49" s="61"/>
      <c r="AF49" s="61"/>
      <c r="AG49" s="66" t="e">
        <f t="shared" si="38"/>
        <v>#DIV/0!</v>
      </c>
      <c r="AH49" s="61">
        <f t="shared" si="39"/>
        <v>0</v>
      </c>
      <c r="AI49" s="61">
        <f t="shared" si="40"/>
        <v>0</v>
      </c>
      <c r="AJ49" s="66" t="e">
        <f t="shared" si="41"/>
        <v>#DIV/0!</v>
      </c>
      <c r="AK49" s="61"/>
      <c r="AL49" s="61"/>
      <c r="AM49" s="66" t="e">
        <f t="shared" si="42"/>
        <v>#DIV/0!</v>
      </c>
      <c r="AN49" s="61">
        <f t="shared" si="43"/>
        <v>0</v>
      </c>
      <c r="AO49" s="61">
        <f t="shared" si="44"/>
        <v>0</v>
      </c>
      <c r="AP49" s="66" t="e">
        <f t="shared" si="45"/>
        <v>#DIV/0!</v>
      </c>
      <c r="AQ49" s="67"/>
      <c r="AR49" s="67"/>
      <c r="AS49" s="66" t="e">
        <f t="shared" si="46"/>
        <v>#DIV/0!</v>
      </c>
      <c r="AT49" s="67">
        <f t="shared" si="47"/>
        <v>0</v>
      </c>
      <c r="AU49" s="67">
        <f t="shared" si="48"/>
        <v>0</v>
      </c>
      <c r="AV49" s="66" t="e">
        <f t="shared" si="49"/>
        <v>#DIV/0!</v>
      </c>
      <c r="AW49" s="61"/>
      <c r="AX49" s="61"/>
      <c r="AY49" s="66" t="e">
        <f t="shared" si="50"/>
        <v>#DIV/0!</v>
      </c>
      <c r="AZ49" s="61">
        <f t="shared" si="51"/>
        <v>0</v>
      </c>
      <c r="BA49" s="61">
        <f t="shared" si="52"/>
        <v>0</v>
      </c>
      <c r="BB49" s="66" t="e">
        <f t="shared" si="53"/>
        <v>#DIV/0!</v>
      </c>
      <c r="BC49" s="61"/>
      <c r="BD49" s="61"/>
      <c r="BE49" s="66" t="e">
        <f t="shared" si="54"/>
        <v>#DIV/0!</v>
      </c>
      <c r="BF49" s="61">
        <f t="shared" si="55"/>
        <v>0</v>
      </c>
      <c r="BG49" s="61">
        <f t="shared" si="56"/>
        <v>0</v>
      </c>
      <c r="BH49" s="66" t="e">
        <f t="shared" si="57"/>
        <v>#DIV/0!</v>
      </c>
      <c r="BI49" s="70"/>
      <c r="BJ49" s="61"/>
      <c r="BK49" s="61"/>
      <c r="BL49" s="61">
        <v>0</v>
      </c>
      <c r="BM49" s="71" t="e">
        <f t="shared" si="58"/>
        <v>#DIV/0!</v>
      </c>
    </row>
    <row r="50" spans="1:65" ht="12" customHeight="1">
      <c r="A50" s="52" t="s">
        <v>414</v>
      </c>
      <c r="B50" s="53" t="s">
        <v>414</v>
      </c>
      <c r="C50" s="60" t="s">
        <v>484</v>
      </c>
      <c r="D50" s="55" t="s">
        <v>61</v>
      </c>
      <c r="E50" s="55" t="s">
        <v>61</v>
      </c>
      <c r="F50" s="55" t="s">
        <v>420</v>
      </c>
      <c r="G50" s="53" t="s">
        <v>420</v>
      </c>
      <c r="H50" s="53" t="s">
        <v>421</v>
      </c>
      <c r="I50" s="53">
        <v>60</v>
      </c>
      <c r="J50" s="61">
        <v>86284</v>
      </c>
      <c r="K50" s="61">
        <v>20594</v>
      </c>
      <c r="L50" s="66">
        <f t="shared" si="0"/>
        <v>-0.76132307264382704</v>
      </c>
      <c r="M50" s="61">
        <v>8940</v>
      </c>
      <c r="N50" s="61">
        <v>13850</v>
      </c>
      <c r="O50" s="66">
        <f t="shared" si="1"/>
        <v>0.54921700223713699</v>
      </c>
      <c r="P50" s="61">
        <f t="shared" si="2"/>
        <v>95224</v>
      </c>
      <c r="Q50" s="61">
        <f t="shared" si="3"/>
        <v>34444</v>
      </c>
      <c r="R50" s="66">
        <f t="shared" si="4"/>
        <v>-0.63828446610098299</v>
      </c>
      <c r="S50" s="67">
        <v>16110</v>
      </c>
      <c r="T50" s="67">
        <v>11560</v>
      </c>
      <c r="U50" s="66">
        <f t="shared" si="5"/>
        <v>-0.28243327126008699</v>
      </c>
      <c r="V50" s="68">
        <f t="shared" si="6"/>
        <v>111334</v>
      </c>
      <c r="W50" s="68">
        <f t="shared" si="7"/>
        <v>46004</v>
      </c>
      <c r="X50" s="66">
        <f t="shared" si="8"/>
        <v>-0.58679289345572805</v>
      </c>
      <c r="Y50" s="61">
        <v>15196</v>
      </c>
      <c r="Z50" s="61">
        <v>19443</v>
      </c>
      <c r="AA50" s="66">
        <f t="shared" si="34"/>
        <v>0.27948144248486401</v>
      </c>
      <c r="AB50" s="61">
        <f t="shared" si="35"/>
        <v>126530</v>
      </c>
      <c r="AC50" s="61">
        <f t="shared" si="36"/>
        <v>65447</v>
      </c>
      <c r="AD50" s="66">
        <f t="shared" si="37"/>
        <v>-0.48275507784715099</v>
      </c>
      <c r="AE50" s="61">
        <v>4500</v>
      </c>
      <c r="AF50" s="61">
        <v>19739</v>
      </c>
      <c r="AG50" s="66">
        <f t="shared" si="38"/>
        <v>3.3864444444444399</v>
      </c>
      <c r="AH50" s="61">
        <f t="shared" si="39"/>
        <v>131030</v>
      </c>
      <c r="AI50" s="61">
        <f t="shared" si="40"/>
        <v>85186</v>
      </c>
      <c r="AJ50" s="66">
        <f t="shared" si="41"/>
        <v>-0.34987407463939602</v>
      </c>
      <c r="AK50" s="61"/>
      <c r="AL50" s="61">
        <v>4650</v>
      </c>
      <c r="AM50" s="66" t="e">
        <f t="shared" si="42"/>
        <v>#DIV/0!</v>
      </c>
      <c r="AN50" s="61">
        <f t="shared" si="43"/>
        <v>131030</v>
      </c>
      <c r="AO50" s="61">
        <f t="shared" si="44"/>
        <v>89836</v>
      </c>
      <c r="AP50" s="66">
        <f t="shared" si="45"/>
        <v>-0.31438601846905301</v>
      </c>
      <c r="AQ50" s="67">
        <v>21812</v>
      </c>
      <c r="AR50" s="67">
        <v>19099</v>
      </c>
      <c r="AS50" s="66">
        <f t="shared" si="46"/>
        <v>-0.124381074637814</v>
      </c>
      <c r="AT50" s="67">
        <f t="shared" si="47"/>
        <v>152842</v>
      </c>
      <c r="AU50" s="67">
        <f t="shared" si="48"/>
        <v>108935</v>
      </c>
      <c r="AV50" s="66">
        <f t="shared" si="49"/>
        <v>-0.28727051464911502</v>
      </c>
      <c r="AW50" s="61">
        <v>15160</v>
      </c>
      <c r="AX50" s="61">
        <v>5190</v>
      </c>
      <c r="AY50" s="66">
        <f t="shared" si="50"/>
        <v>-0.65765171503957798</v>
      </c>
      <c r="AZ50" s="61">
        <f t="shared" si="51"/>
        <v>168002</v>
      </c>
      <c r="BA50" s="61">
        <f t="shared" si="52"/>
        <v>114125</v>
      </c>
      <c r="BB50" s="66">
        <f t="shared" si="53"/>
        <v>-0.32069261080225198</v>
      </c>
      <c r="BC50" s="61">
        <v>50210</v>
      </c>
      <c r="BD50" s="61">
        <v>62721</v>
      </c>
      <c r="BE50" s="66">
        <f t="shared" si="54"/>
        <v>0.24917347142003601</v>
      </c>
      <c r="BF50" s="61">
        <f t="shared" si="55"/>
        <v>218212</v>
      </c>
      <c r="BG50" s="61">
        <f t="shared" si="56"/>
        <v>176846</v>
      </c>
      <c r="BH50" s="66">
        <f t="shared" si="57"/>
        <v>-0.18956794310120401</v>
      </c>
      <c r="BI50" s="70">
        <v>177765</v>
      </c>
      <c r="BJ50" s="61">
        <v>39960</v>
      </c>
      <c r="BK50" s="61">
        <v>133158</v>
      </c>
      <c r="BL50" s="61">
        <v>569095</v>
      </c>
      <c r="BM50" s="71">
        <f t="shared" si="58"/>
        <v>0.29474333333333302</v>
      </c>
    </row>
    <row r="51" spans="1:65" ht="12" customHeight="1">
      <c r="A51" s="52" t="s">
        <v>414</v>
      </c>
      <c r="B51" s="53" t="s">
        <v>414</v>
      </c>
      <c r="C51" s="60" t="s">
        <v>485</v>
      </c>
      <c r="D51" s="55" t="s">
        <v>61</v>
      </c>
      <c r="E51" s="55" t="s">
        <v>61</v>
      </c>
      <c r="F51" s="55" t="s">
        <v>428</v>
      </c>
      <c r="G51" s="53" t="s">
        <v>445</v>
      </c>
      <c r="H51" s="53" t="s">
        <v>417</v>
      </c>
      <c r="I51" s="53">
        <v>0</v>
      </c>
      <c r="J51" s="61">
        <v>3892</v>
      </c>
      <c r="K51" s="61"/>
      <c r="L51" s="66">
        <f t="shared" si="0"/>
        <v>-1</v>
      </c>
      <c r="M51" s="61"/>
      <c r="N51" s="61"/>
      <c r="O51" s="66" t="e">
        <f t="shared" si="1"/>
        <v>#DIV/0!</v>
      </c>
      <c r="P51" s="61">
        <f t="shared" si="2"/>
        <v>3892</v>
      </c>
      <c r="Q51" s="61">
        <f t="shared" si="3"/>
        <v>0</v>
      </c>
      <c r="R51" s="66">
        <f t="shared" si="4"/>
        <v>-1</v>
      </c>
      <c r="S51" s="67"/>
      <c r="T51" s="67"/>
      <c r="U51" s="66" t="e">
        <f t="shared" si="5"/>
        <v>#DIV/0!</v>
      </c>
      <c r="V51" s="68">
        <f t="shared" si="6"/>
        <v>3892</v>
      </c>
      <c r="W51" s="68">
        <f t="shared" si="7"/>
        <v>0</v>
      </c>
      <c r="X51" s="66">
        <f t="shared" si="8"/>
        <v>-1</v>
      </c>
      <c r="Y51" s="61"/>
      <c r="Z51" s="61"/>
      <c r="AA51" s="66" t="e">
        <f t="shared" si="34"/>
        <v>#DIV/0!</v>
      </c>
      <c r="AB51" s="61">
        <f t="shared" si="35"/>
        <v>3892</v>
      </c>
      <c r="AC51" s="61">
        <f t="shared" si="36"/>
        <v>0</v>
      </c>
      <c r="AD51" s="66">
        <f t="shared" si="37"/>
        <v>-1</v>
      </c>
      <c r="AE51" s="61">
        <v>2240</v>
      </c>
      <c r="AF51" s="61"/>
      <c r="AG51" s="66">
        <f t="shared" si="38"/>
        <v>-1</v>
      </c>
      <c r="AH51" s="61">
        <f t="shared" si="39"/>
        <v>6132</v>
      </c>
      <c r="AI51" s="61">
        <f t="shared" si="40"/>
        <v>0</v>
      </c>
      <c r="AJ51" s="66">
        <f t="shared" si="41"/>
        <v>-1</v>
      </c>
      <c r="AK51" s="61"/>
      <c r="AL51" s="61"/>
      <c r="AM51" s="66" t="e">
        <f t="shared" si="42"/>
        <v>#DIV/0!</v>
      </c>
      <c r="AN51" s="61">
        <f t="shared" si="43"/>
        <v>6132</v>
      </c>
      <c r="AO51" s="61">
        <f t="shared" si="44"/>
        <v>0</v>
      </c>
      <c r="AP51" s="66">
        <f t="shared" si="45"/>
        <v>-1</v>
      </c>
      <c r="AQ51" s="67"/>
      <c r="AR51" s="67"/>
      <c r="AS51" s="66" t="e">
        <f t="shared" si="46"/>
        <v>#DIV/0!</v>
      </c>
      <c r="AT51" s="67">
        <f t="shared" si="47"/>
        <v>6132</v>
      </c>
      <c r="AU51" s="67">
        <f t="shared" si="48"/>
        <v>0</v>
      </c>
      <c r="AV51" s="66">
        <f t="shared" si="49"/>
        <v>-1</v>
      </c>
      <c r="AW51" s="61"/>
      <c r="AX51" s="61"/>
      <c r="AY51" s="66" t="e">
        <f t="shared" si="50"/>
        <v>#DIV/0!</v>
      </c>
      <c r="AZ51" s="61">
        <f t="shared" si="51"/>
        <v>6132</v>
      </c>
      <c r="BA51" s="61">
        <f t="shared" si="52"/>
        <v>0</v>
      </c>
      <c r="BB51" s="66">
        <f t="shared" si="53"/>
        <v>-1</v>
      </c>
      <c r="BC51" s="61"/>
      <c r="BD51" s="61"/>
      <c r="BE51" s="66" t="e">
        <f t="shared" si="54"/>
        <v>#DIV/0!</v>
      </c>
      <c r="BF51" s="61">
        <f t="shared" si="55"/>
        <v>6132</v>
      </c>
      <c r="BG51" s="61">
        <f t="shared" si="56"/>
        <v>0</v>
      </c>
      <c r="BH51" s="66">
        <f t="shared" si="57"/>
        <v>-1</v>
      </c>
      <c r="BI51" s="70"/>
      <c r="BJ51" s="61"/>
      <c r="BK51" s="61"/>
      <c r="BL51" s="61">
        <v>6132</v>
      </c>
      <c r="BM51" s="71" t="e">
        <f t="shared" si="58"/>
        <v>#DIV/0!</v>
      </c>
    </row>
    <row r="52" spans="1:65" ht="12" customHeight="1">
      <c r="A52" s="52" t="s">
        <v>414</v>
      </c>
      <c r="B52" s="53" t="s">
        <v>453</v>
      </c>
      <c r="C52" s="60" t="s">
        <v>486</v>
      </c>
      <c r="D52" s="61" t="s">
        <v>102</v>
      </c>
      <c r="E52" s="55" t="s">
        <v>102</v>
      </c>
      <c r="F52" s="55" t="s">
        <v>487</v>
      </c>
      <c r="G52" s="61" t="s">
        <v>487</v>
      </c>
      <c r="H52" s="53" t="s">
        <v>457</v>
      </c>
      <c r="I52" s="53">
        <v>0</v>
      </c>
      <c r="J52" s="61"/>
      <c r="K52" s="61"/>
      <c r="L52" s="66" t="e">
        <f t="shared" si="0"/>
        <v>#DIV/0!</v>
      </c>
      <c r="M52" s="61"/>
      <c r="N52" s="61"/>
      <c r="O52" s="66" t="e">
        <f t="shared" si="1"/>
        <v>#DIV/0!</v>
      </c>
      <c r="P52" s="61">
        <f t="shared" si="2"/>
        <v>0</v>
      </c>
      <c r="Q52" s="61">
        <f t="shared" si="3"/>
        <v>0</v>
      </c>
      <c r="R52" s="66" t="e">
        <f t="shared" si="4"/>
        <v>#DIV/0!</v>
      </c>
      <c r="S52" s="67"/>
      <c r="T52" s="67"/>
      <c r="U52" s="66" t="e">
        <f t="shared" si="5"/>
        <v>#DIV/0!</v>
      </c>
      <c r="V52" s="68">
        <f t="shared" si="6"/>
        <v>0</v>
      </c>
      <c r="W52" s="68">
        <f t="shared" si="7"/>
        <v>0</v>
      </c>
      <c r="X52" s="66" t="e">
        <f t="shared" si="8"/>
        <v>#DIV/0!</v>
      </c>
      <c r="Y52" s="61"/>
      <c r="Z52" s="61"/>
      <c r="AA52" s="66" t="e">
        <f t="shared" si="34"/>
        <v>#DIV/0!</v>
      </c>
      <c r="AB52" s="61">
        <f t="shared" si="35"/>
        <v>0</v>
      </c>
      <c r="AC52" s="61">
        <f t="shared" si="36"/>
        <v>0</v>
      </c>
      <c r="AD52" s="66" t="e">
        <f t="shared" si="37"/>
        <v>#DIV/0!</v>
      </c>
      <c r="AE52" s="61"/>
      <c r="AF52" s="61"/>
      <c r="AG52" s="66" t="e">
        <f t="shared" si="38"/>
        <v>#DIV/0!</v>
      </c>
      <c r="AH52" s="61">
        <f t="shared" si="39"/>
        <v>0</v>
      </c>
      <c r="AI52" s="61">
        <f t="shared" si="40"/>
        <v>0</v>
      </c>
      <c r="AJ52" s="66" t="e">
        <f t="shared" si="41"/>
        <v>#DIV/0!</v>
      </c>
      <c r="AK52" s="61"/>
      <c r="AL52" s="61"/>
      <c r="AM52" s="66" t="e">
        <f t="shared" si="42"/>
        <v>#DIV/0!</v>
      </c>
      <c r="AN52" s="61">
        <f t="shared" si="43"/>
        <v>0</v>
      </c>
      <c r="AO52" s="61">
        <f t="shared" si="44"/>
        <v>0</v>
      </c>
      <c r="AP52" s="66" t="e">
        <f t="shared" si="45"/>
        <v>#DIV/0!</v>
      </c>
      <c r="AQ52" s="67"/>
      <c r="AR52" s="67"/>
      <c r="AS52" s="66" t="e">
        <f t="shared" si="46"/>
        <v>#DIV/0!</v>
      </c>
      <c r="AT52" s="67">
        <f t="shared" si="47"/>
        <v>0</v>
      </c>
      <c r="AU52" s="67">
        <f t="shared" si="48"/>
        <v>0</v>
      </c>
      <c r="AV52" s="66" t="e">
        <f t="shared" si="49"/>
        <v>#DIV/0!</v>
      </c>
      <c r="AW52" s="61"/>
      <c r="AX52" s="61"/>
      <c r="AY52" s="66" t="e">
        <f t="shared" si="50"/>
        <v>#DIV/0!</v>
      </c>
      <c r="AZ52" s="61">
        <f t="shared" si="51"/>
        <v>0</v>
      </c>
      <c r="BA52" s="61">
        <f t="shared" si="52"/>
        <v>0</v>
      </c>
      <c r="BB52" s="66" t="e">
        <f t="shared" si="53"/>
        <v>#DIV/0!</v>
      </c>
      <c r="BC52" s="61"/>
      <c r="BD52" s="61"/>
      <c r="BE52" s="66" t="e">
        <f t="shared" si="54"/>
        <v>#DIV/0!</v>
      </c>
      <c r="BF52" s="61">
        <f t="shared" si="55"/>
        <v>0</v>
      </c>
      <c r="BG52" s="61">
        <f t="shared" si="56"/>
        <v>0</v>
      </c>
      <c r="BH52" s="66" t="e">
        <f t="shared" si="57"/>
        <v>#DIV/0!</v>
      </c>
      <c r="BI52" s="70"/>
      <c r="BJ52" s="61"/>
      <c r="BK52" s="61"/>
      <c r="BL52" s="61">
        <v>0</v>
      </c>
      <c r="BM52" s="71" t="e">
        <f t="shared" si="58"/>
        <v>#DIV/0!</v>
      </c>
    </row>
    <row r="53" spans="1:65" ht="12" customHeight="1">
      <c r="A53" s="52" t="s">
        <v>414</v>
      </c>
      <c r="B53" s="53" t="s">
        <v>453</v>
      </c>
      <c r="C53" s="60" t="s">
        <v>488</v>
      </c>
      <c r="D53" s="61" t="s">
        <v>102</v>
      </c>
      <c r="E53" s="55" t="s">
        <v>102</v>
      </c>
      <c r="F53" s="55" t="s">
        <v>455</v>
      </c>
      <c r="G53" s="61" t="s">
        <v>456</v>
      </c>
      <c r="H53" s="53" t="s">
        <v>457</v>
      </c>
      <c r="I53" s="53">
        <v>0</v>
      </c>
      <c r="J53" s="61"/>
      <c r="K53" s="61"/>
      <c r="L53" s="66" t="e">
        <f t="shared" si="0"/>
        <v>#DIV/0!</v>
      </c>
      <c r="M53" s="61"/>
      <c r="N53" s="61"/>
      <c r="O53" s="66" t="e">
        <f t="shared" si="1"/>
        <v>#DIV/0!</v>
      </c>
      <c r="P53" s="61">
        <f t="shared" si="2"/>
        <v>0</v>
      </c>
      <c r="Q53" s="61">
        <f t="shared" si="3"/>
        <v>0</v>
      </c>
      <c r="R53" s="66" t="e">
        <f t="shared" si="4"/>
        <v>#DIV/0!</v>
      </c>
      <c r="S53" s="67"/>
      <c r="T53" s="67"/>
      <c r="U53" s="66" t="e">
        <f t="shared" si="5"/>
        <v>#DIV/0!</v>
      </c>
      <c r="V53" s="68">
        <f t="shared" si="6"/>
        <v>0</v>
      </c>
      <c r="W53" s="68">
        <f t="shared" si="7"/>
        <v>0</v>
      </c>
      <c r="X53" s="66" t="e">
        <f t="shared" si="8"/>
        <v>#DIV/0!</v>
      </c>
      <c r="Y53" s="61"/>
      <c r="Z53" s="61"/>
      <c r="AA53" s="66" t="e">
        <f t="shared" si="34"/>
        <v>#DIV/0!</v>
      </c>
      <c r="AB53" s="61">
        <f t="shared" si="35"/>
        <v>0</v>
      </c>
      <c r="AC53" s="61">
        <f t="shared" si="36"/>
        <v>0</v>
      </c>
      <c r="AD53" s="66" t="e">
        <f t="shared" si="37"/>
        <v>#DIV/0!</v>
      </c>
      <c r="AE53" s="61"/>
      <c r="AF53" s="61"/>
      <c r="AG53" s="66" t="e">
        <f t="shared" si="38"/>
        <v>#DIV/0!</v>
      </c>
      <c r="AH53" s="61">
        <f t="shared" si="39"/>
        <v>0</v>
      </c>
      <c r="AI53" s="61">
        <f t="shared" si="40"/>
        <v>0</v>
      </c>
      <c r="AJ53" s="66" t="e">
        <f t="shared" si="41"/>
        <v>#DIV/0!</v>
      </c>
      <c r="AK53" s="61"/>
      <c r="AL53" s="61"/>
      <c r="AM53" s="66" t="e">
        <f t="shared" si="42"/>
        <v>#DIV/0!</v>
      </c>
      <c r="AN53" s="61">
        <f t="shared" si="43"/>
        <v>0</v>
      </c>
      <c r="AO53" s="61">
        <f t="shared" si="44"/>
        <v>0</v>
      </c>
      <c r="AP53" s="66" t="e">
        <f t="shared" si="45"/>
        <v>#DIV/0!</v>
      </c>
      <c r="AQ53" s="67"/>
      <c r="AR53" s="67"/>
      <c r="AS53" s="66" t="e">
        <f t="shared" si="46"/>
        <v>#DIV/0!</v>
      </c>
      <c r="AT53" s="67">
        <f t="shared" si="47"/>
        <v>0</v>
      </c>
      <c r="AU53" s="67">
        <f t="shared" si="48"/>
        <v>0</v>
      </c>
      <c r="AV53" s="66" t="e">
        <f t="shared" si="49"/>
        <v>#DIV/0!</v>
      </c>
      <c r="AW53" s="61"/>
      <c r="AX53" s="61"/>
      <c r="AY53" s="66" t="e">
        <f t="shared" si="50"/>
        <v>#DIV/0!</v>
      </c>
      <c r="AZ53" s="61">
        <f t="shared" si="51"/>
        <v>0</v>
      </c>
      <c r="BA53" s="61">
        <f t="shared" si="52"/>
        <v>0</v>
      </c>
      <c r="BB53" s="66" t="e">
        <f t="shared" si="53"/>
        <v>#DIV/0!</v>
      </c>
      <c r="BC53" s="61"/>
      <c r="BD53" s="61"/>
      <c r="BE53" s="66" t="e">
        <f t="shared" si="54"/>
        <v>#DIV/0!</v>
      </c>
      <c r="BF53" s="61">
        <f t="shared" si="55"/>
        <v>0</v>
      </c>
      <c r="BG53" s="61">
        <f t="shared" si="56"/>
        <v>0</v>
      </c>
      <c r="BH53" s="66" t="e">
        <f t="shared" si="57"/>
        <v>#DIV/0!</v>
      </c>
      <c r="BI53" s="70"/>
      <c r="BJ53" s="61"/>
      <c r="BK53" s="61"/>
      <c r="BL53" s="61">
        <v>0</v>
      </c>
      <c r="BM53" s="71" t="e">
        <f t="shared" si="58"/>
        <v>#DIV/0!</v>
      </c>
    </row>
    <row r="54" spans="1:65" ht="12" customHeight="1">
      <c r="A54" s="52" t="s">
        <v>414</v>
      </c>
      <c r="B54" s="53" t="s">
        <v>453</v>
      </c>
      <c r="C54" s="62" t="s">
        <v>489</v>
      </c>
      <c r="D54" s="61" t="s">
        <v>102</v>
      </c>
      <c r="E54" s="55" t="s">
        <v>102</v>
      </c>
      <c r="F54" s="55" t="s">
        <v>481</v>
      </c>
      <c r="G54" s="61" t="s">
        <v>481</v>
      </c>
      <c r="H54" s="53" t="s">
        <v>457</v>
      </c>
      <c r="I54" s="53"/>
      <c r="J54" s="61"/>
      <c r="K54" s="61"/>
      <c r="L54" s="66" t="e">
        <f t="shared" si="0"/>
        <v>#DIV/0!</v>
      </c>
      <c r="M54" s="61"/>
      <c r="N54" s="61"/>
      <c r="O54" s="66" t="e">
        <f t="shared" si="1"/>
        <v>#DIV/0!</v>
      </c>
      <c r="P54" s="61">
        <f t="shared" si="2"/>
        <v>0</v>
      </c>
      <c r="Q54" s="61">
        <f t="shared" si="3"/>
        <v>0</v>
      </c>
      <c r="R54" s="66" t="e">
        <f t="shared" si="4"/>
        <v>#DIV/0!</v>
      </c>
      <c r="S54" s="67">
        <v>43000</v>
      </c>
      <c r="T54" s="67"/>
      <c r="U54" s="66">
        <f t="shared" si="5"/>
        <v>-1</v>
      </c>
      <c r="V54" s="68">
        <f t="shared" si="6"/>
        <v>43000</v>
      </c>
      <c r="W54" s="68">
        <f t="shared" si="7"/>
        <v>0</v>
      </c>
      <c r="X54" s="66">
        <f t="shared" si="8"/>
        <v>-1</v>
      </c>
      <c r="Y54" s="61"/>
      <c r="Z54" s="61"/>
      <c r="AA54" s="66" t="e">
        <f t="shared" si="34"/>
        <v>#DIV/0!</v>
      </c>
      <c r="AB54" s="61">
        <f t="shared" si="35"/>
        <v>43000</v>
      </c>
      <c r="AC54" s="61">
        <f t="shared" si="36"/>
        <v>0</v>
      </c>
      <c r="AD54" s="66">
        <f t="shared" si="37"/>
        <v>-1</v>
      </c>
      <c r="AE54" s="61"/>
      <c r="AF54" s="61"/>
      <c r="AG54" s="66" t="e">
        <f t="shared" si="38"/>
        <v>#DIV/0!</v>
      </c>
      <c r="AH54" s="61">
        <f t="shared" si="39"/>
        <v>43000</v>
      </c>
      <c r="AI54" s="61">
        <f t="shared" si="40"/>
        <v>0</v>
      </c>
      <c r="AJ54" s="66">
        <f t="shared" si="41"/>
        <v>-1</v>
      </c>
      <c r="AK54" s="61"/>
      <c r="AL54" s="61"/>
      <c r="AM54" s="66" t="e">
        <f t="shared" si="42"/>
        <v>#DIV/0!</v>
      </c>
      <c r="AN54" s="61">
        <f t="shared" si="43"/>
        <v>43000</v>
      </c>
      <c r="AO54" s="61">
        <f t="shared" si="44"/>
        <v>0</v>
      </c>
      <c r="AP54" s="66">
        <f t="shared" si="45"/>
        <v>-1</v>
      </c>
      <c r="AQ54" s="67"/>
      <c r="AR54" s="67"/>
      <c r="AS54" s="66" t="e">
        <f t="shared" si="46"/>
        <v>#DIV/0!</v>
      </c>
      <c r="AT54" s="67">
        <f t="shared" si="47"/>
        <v>43000</v>
      </c>
      <c r="AU54" s="67">
        <f t="shared" si="48"/>
        <v>0</v>
      </c>
      <c r="AV54" s="66">
        <f t="shared" si="49"/>
        <v>-1</v>
      </c>
      <c r="AW54" s="61"/>
      <c r="AX54" s="61"/>
      <c r="AY54" s="66" t="e">
        <f t="shared" si="50"/>
        <v>#DIV/0!</v>
      </c>
      <c r="AZ54" s="61">
        <f t="shared" si="51"/>
        <v>43000</v>
      </c>
      <c r="BA54" s="61">
        <f t="shared" si="52"/>
        <v>0</v>
      </c>
      <c r="BB54" s="66">
        <f t="shared" si="53"/>
        <v>-1</v>
      </c>
      <c r="BC54" s="61"/>
      <c r="BD54" s="61"/>
      <c r="BE54" s="66" t="e">
        <f t="shared" si="54"/>
        <v>#DIV/0!</v>
      </c>
      <c r="BF54" s="61">
        <f t="shared" si="55"/>
        <v>43000</v>
      </c>
      <c r="BG54" s="61">
        <f t="shared" si="56"/>
        <v>0</v>
      </c>
      <c r="BH54" s="66">
        <f t="shared" si="57"/>
        <v>-1</v>
      </c>
      <c r="BI54" s="70"/>
      <c r="BJ54" s="61"/>
      <c r="BK54" s="61"/>
      <c r="BL54" s="61">
        <v>43000</v>
      </c>
      <c r="BM54" s="71" t="e">
        <f t="shared" si="58"/>
        <v>#DIV/0!</v>
      </c>
    </row>
    <row r="55" spans="1:65" ht="12" customHeight="1">
      <c r="A55" s="52" t="s">
        <v>414</v>
      </c>
      <c r="B55" s="53" t="s">
        <v>414</v>
      </c>
      <c r="C55" s="62" t="s">
        <v>490</v>
      </c>
      <c r="D55" s="61" t="s">
        <v>102</v>
      </c>
      <c r="E55" s="55" t="s">
        <v>102</v>
      </c>
      <c r="F55" s="55" t="s">
        <v>416</v>
      </c>
      <c r="G55" s="61" t="s">
        <v>416</v>
      </c>
      <c r="H55" s="53" t="s">
        <v>417</v>
      </c>
      <c r="I55" s="53">
        <v>11</v>
      </c>
      <c r="J55" s="61">
        <v>15920</v>
      </c>
      <c r="K55" s="61"/>
      <c r="L55" s="66">
        <f t="shared" si="0"/>
        <v>-1</v>
      </c>
      <c r="M55" s="61"/>
      <c r="N55" s="61"/>
      <c r="O55" s="66" t="e">
        <f t="shared" si="1"/>
        <v>#DIV/0!</v>
      </c>
      <c r="P55" s="61">
        <f t="shared" si="2"/>
        <v>15920</v>
      </c>
      <c r="Q55" s="61">
        <f t="shared" si="3"/>
        <v>0</v>
      </c>
      <c r="R55" s="66">
        <f t="shared" si="4"/>
        <v>-1</v>
      </c>
      <c r="S55" s="67"/>
      <c r="T55" s="67"/>
      <c r="U55" s="66" t="e">
        <f t="shared" si="5"/>
        <v>#DIV/0!</v>
      </c>
      <c r="V55" s="68">
        <f t="shared" si="6"/>
        <v>15920</v>
      </c>
      <c r="W55" s="68">
        <f t="shared" si="7"/>
        <v>0</v>
      </c>
      <c r="X55" s="66">
        <f t="shared" si="8"/>
        <v>-1</v>
      </c>
      <c r="Y55" s="61">
        <v>166</v>
      </c>
      <c r="Z55" s="61"/>
      <c r="AA55" s="66">
        <f t="shared" si="34"/>
        <v>-1</v>
      </c>
      <c r="AB55" s="61">
        <f t="shared" si="35"/>
        <v>16086</v>
      </c>
      <c r="AC55" s="61">
        <f t="shared" si="36"/>
        <v>0</v>
      </c>
      <c r="AD55" s="66">
        <f t="shared" si="37"/>
        <v>-1</v>
      </c>
      <c r="AE55" s="61">
        <v>14325</v>
      </c>
      <c r="AF55" s="61"/>
      <c r="AG55" s="66">
        <f t="shared" si="38"/>
        <v>-1</v>
      </c>
      <c r="AH55" s="61">
        <f t="shared" si="39"/>
        <v>30411</v>
      </c>
      <c r="AI55" s="61">
        <f t="shared" si="40"/>
        <v>0</v>
      </c>
      <c r="AJ55" s="66">
        <f t="shared" si="41"/>
        <v>-1</v>
      </c>
      <c r="AK55" s="61">
        <v>28545</v>
      </c>
      <c r="AL55" s="61"/>
      <c r="AM55" s="66">
        <f t="shared" si="42"/>
        <v>-1</v>
      </c>
      <c r="AN55" s="61">
        <f t="shared" si="43"/>
        <v>58956</v>
      </c>
      <c r="AO55" s="61">
        <f t="shared" si="44"/>
        <v>0</v>
      </c>
      <c r="AP55" s="66">
        <f t="shared" si="45"/>
        <v>-1</v>
      </c>
      <c r="AQ55" s="67">
        <v>24678</v>
      </c>
      <c r="AR55" s="67">
        <v>198</v>
      </c>
      <c r="AS55" s="66">
        <f t="shared" si="46"/>
        <v>-0.99197665937272095</v>
      </c>
      <c r="AT55" s="67">
        <f t="shared" si="47"/>
        <v>83634</v>
      </c>
      <c r="AU55" s="67">
        <f t="shared" si="48"/>
        <v>198</v>
      </c>
      <c r="AV55" s="66">
        <f t="shared" si="49"/>
        <v>-0.997632541789224</v>
      </c>
      <c r="AW55" s="61"/>
      <c r="AX55" s="61"/>
      <c r="AY55" s="66" t="e">
        <f t="shared" si="50"/>
        <v>#DIV/0!</v>
      </c>
      <c r="AZ55" s="61">
        <f t="shared" si="51"/>
        <v>83634</v>
      </c>
      <c r="BA55" s="61">
        <f t="shared" si="52"/>
        <v>198</v>
      </c>
      <c r="BB55" s="66">
        <f t="shared" si="53"/>
        <v>-0.997632541789224</v>
      </c>
      <c r="BC55" s="61">
        <v>16912</v>
      </c>
      <c r="BD55" s="61"/>
      <c r="BE55" s="66">
        <f t="shared" si="54"/>
        <v>-1</v>
      </c>
      <c r="BF55" s="61">
        <f t="shared" si="55"/>
        <v>100546</v>
      </c>
      <c r="BG55" s="61">
        <f t="shared" si="56"/>
        <v>198</v>
      </c>
      <c r="BH55" s="66">
        <f t="shared" si="57"/>
        <v>-0.99803075209356895</v>
      </c>
      <c r="BI55" s="70"/>
      <c r="BJ55" s="61"/>
      <c r="BK55" s="61"/>
      <c r="BL55" s="61">
        <v>100546</v>
      </c>
      <c r="BM55" s="71">
        <f t="shared" si="58"/>
        <v>1.8E-3</v>
      </c>
    </row>
    <row r="56" spans="1:65" ht="12" customHeight="1">
      <c r="A56" s="52" t="s">
        <v>414</v>
      </c>
      <c r="B56" s="53" t="s">
        <v>453</v>
      </c>
      <c r="C56" s="62" t="s">
        <v>491</v>
      </c>
      <c r="D56" s="61" t="s">
        <v>61</v>
      </c>
      <c r="E56" s="55" t="s">
        <v>61</v>
      </c>
      <c r="F56" s="55" t="s">
        <v>492</v>
      </c>
      <c r="G56" s="61" t="s">
        <v>492</v>
      </c>
      <c r="H56" s="53" t="s">
        <v>457</v>
      </c>
      <c r="I56" s="53"/>
      <c r="J56" s="61">
        <v>8000</v>
      </c>
      <c r="K56" s="61"/>
      <c r="L56" s="66">
        <f t="shared" si="0"/>
        <v>-1</v>
      </c>
      <c r="M56" s="61"/>
      <c r="N56" s="61"/>
      <c r="O56" s="66" t="e">
        <f t="shared" si="1"/>
        <v>#DIV/0!</v>
      </c>
      <c r="P56" s="61">
        <f t="shared" si="2"/>
        <v>8000</v>
      </c>
      <c r="Q56" s="61">
        <f t="shared" si="3"/>
        <v>0</v>
      </c>
      <c r="R56" s="66">
        <f t="shared" si="4"/>
        <v>-1</v>
      </c>
      <c r="S56" s="67"/>
      <c r="T56" s="67"/>
      <c r="U56" s="66" t="e">
        <f t="shared" si="5"/>
        <v>#DIV/0!</v>
      </c>
      <c r="V56" s="68">
        <f t="shared" si="6"/>
        <v>8000</v>
      </c>
      <c r="W56" s="68">
        <f t="shared" si="7"/>
        <v>0</v>
      </c>
      <c r="X56" s="66">
        <f t="shared" si="8"/>
        <v>-1</v>
      </c>
      <c r="Y56" s="61"/>
      <c r="Z56" s="61"/>
      <c r="AA56" s="66" t="e">
        <f t="shared" si="34"/>
        <v>#DIV/0!</v>
      </c>
      <c r="AB56" s="61">
        <f t="shared" si="35"/>
        <v>8000</v>
      </c>
      <c r="AC56" s="61">
        <f t="shared" si="36"/>
        <v>0</v>
      </c>
      <c r="AD56" s="66">
        <f t="shared" si="37"/>
        <v>-1</v>
      </c>
      <c r="AE56" s="61"/>
      <c r="AF56" s="61"/>
      <c r="AG56" s="66" t="e">
        <f t="shared" si="38"/>
        <v>#DIV/0!</v>
      </c>
      <c r="AH56" s="61">
        <f t="shared" si="39"/>
        <v>8000</v>
      </c>
      <c r="AI56" s="61">
        <f t="shared" si="40"/>
        <v>0</v>
      </c>
      <c r="AJ56" s="66">
        <f t="shared" si="41"/>
        <v>-1</v>
      </c>
      <c r="AK56" s="61"/>
      <c r="AL56" s="61"/>
      <c r="AM56" s="66" t="e">
        <f t="shared" si="42"/>
        <v>#DIV/0!</v>
      </c>
      <c r="AN56" s="61">
        <f t="shared" si="43"/>
        <v>8000</v>
      </c>
      <c r="AO56" s="61">
        <f t="shared" si="44"/>
        <v>0</v>
      </c>
      <c r="AP56" s="66">
        <f t="shared" si="45"/>
        <v>-1</v>
      </c>
      <c r="AQ56" s="67"/>
      <c r="AR56" s="67"/>
      <c r="AS56" s="66" t="e">
        <f t="shared" si="46"/>
        <v>#DIV/0!</v>
      </c>
      <c r="AT56" s="67">
        <f t="shared" si="47"/>
        <v>8000</v>
      </c>
      <c r="AU56" s="67">
        <f t="shared" si="48"/>
        <v>0</v>
      </c>
      <c r="AV56" s="66">
        <f t="shared" si="49"/>
        <v>-1</v>
      </c>
      <c r="AW56" s="61"/>
      <c r="AX56" s="61"/>
      <c r="AY56" s="66" t="e">
        <f t="shared" si="50"/>
        <v>#DIV/0!</v>
      </c>
      <c r="AZ56" s="61">
        <f t="shared" si="51"/>
        <v>8000</v>
      </c>
      <c r="BA56" s="61">
        <f t="shared" si="52"/>
        <v>0</v>
      </c>
      <c r="BB56" s="66">
        <f t="shared" si="53"/>
        <v>-1</v>
      </c>
      <c r="BC56" s="61"/>
      <c r="BD56" s="61"/>
      <c r="BE56" s="66" t="e">
        <f t="shared" si="54"/>
        <v>#DIV/0!</v>
      </c>
      <c r="BF56" s="61">
        <f t="shared" si="55"/>
        <v>8000</v>
      </c>
      <c r="BG56" s="61">
        <f t="shared" si="56"/>
        <v>0</v>
      </c>
      <c r="BH56" s="66">
        <f t="shared" si="57"/>
        <v>-1</v>
      </c>
      <c r="BI56" s="70"/>
      <c r="BJ56" s="61"/>
      <c r="BK56" s="61"/>
      <c r="BL56" s="61">
        <v>8000</v>
      </c>
      <c r="BM56" s="71" t="e">
        <f t="shared" si="58"/>
        <v>#DIV/0!</v>
      </c>
    </row>
    <row r="57" spans="1:65" ht="12" customHeight="1">
      <c r="A57" s="52" t="s">
        <v>414</v>
      </c>
      <c r="B57" s="53" t="s">
        <v>414</v>
      </c>
      <c r="C57" s="62" t="s">
        <v>493</v>
      </c>
      <c r="D57" s="61" t="s">
        <v>102</v>
      </c>
      <c r="E57" s="55" t="s">
        <v>102</v>
      </c>
      <c r="F57" s="55" t="s">
        <v>420</v>
      </c>
      <c r="G57" s="61" t="s">
        <v>420</v>
      </c>
      <c r="H57" s="53" t="s">
        <v>417</v>
      </c>
      <c r="I57" s="53"/>
      <c r="J57" s="61"/>
      <c r="K57" s="61"/>
      <c r="L57" s="66" t="e">
        <f t="shared" si="0"/>
        <v>#DIV/0!</v>
      </c>
      <c r="M57" s="61"/>
      <c r="N57" s="61"/>
      <c r="O57" s="66" t="e">
        <f t="shared" si="1"/>
        <v>#DIV/0!</v>
      </c>
      <c r="P57" s="61">
        <f t="shared" si="2"/>
        <v>0</v>
      </c>
      <c r="Q57" s="61">
        <f t="shared" si="3"/>
        <v>0</v>
      </c>
      <c r="R57" s="66" t="e">
        <f t="shared" si="4"/>
        <v>#DIV/0!</v>
      </c>
      <c r="S57" s="67"/>
      <c r="T57" s="67"/>
      <c r="U57" s="66" t="e">
        <f t="shared" si="5"/>
        <v>#DIV/0!</v>
      </c>
      <c r="V57" s="68">
        <f t="shared" si="6"/>
        <v>0</v>
      </c>
      <c r="W57" s="68">
        <f t="shared" si="7"/>
        <v>0</v>
      </c>
      <c r="X57" s="66" t="e">
        <f t="shared" si="8"/>
        <v>#DIV/0!</v>
      </c>
      <c r="Y57" s="61"/>
      <c r="Z57" s="61"/>
      <c r="AA57" s="66" t="e">
        <f t="shared" si="34"/>
        <v>#DIV/0!</v>
      </c>
      <c r="AB57" s="61">
        <f t="shared" si="35"/>
        <v>0</v>
      </c>
      <c r="AC57" s="61">
        <f t="shared" si="36"/>
        <v>0</v>
      </c>
      <c r="AD57" s="66" t="e">
        <f t="shared" si="37"/>
        <v>#DIV/0!</v>
      </c>
      <c r="AE57" s="61"/>
      <c r="AF57" s="61"/>
      <c r="AG57" s="66" t="e">
        <f t="shared" si="38"/>
        <v>#DIV/0!</v>
      </c>
      <c r="AH57" s="61">
        <f t="shared" si="39"/>
        <v>0</v>
      </c>
      <c r="AI57" s="61">
        <f t="shared" si="40"/>
        <v>0</v>
      </c>
      <c r="AJ57" s="66" t="e">
        <f t="shared" si="41"/>
        <v>#DIV/0!</v>
      </c>
      <c r="AK57" s="61"/>
      <c r="AL57" s="61"/>
      <c r="AM57" s="66" t="e">
        <f t="shared" si="42"/>
        <v>#DIV/0!</v>
      </c>
      <c r="AN57" s="61">
        <f t="shared" si="43"/>
        <v>0</v>
      </c>
      <c r="AO57" s="61">
        <f t="shared" si="44"/>
        <v>0</v>
      </c>
      <c r="AP57" s="66" t="e">
        <f t="shared" si="45"/>
        <v>#DIV/0!</v>
      </c>
      <c r="AQ57" s="67"/>
      <c r="AR57" s="67"/>
      <c r="AS57" s="66" t="e">
        <f t="shared" si="46"/>
        <v>#DIV/0!</v>
      </c>
      <c r="AT57" s="67">
        <f t="shared" si="47"/>
        <v>0</v>
      </c>
      <c r="AU57" s="67">
        <f t="shared" si="48"/>
        <v>0</v>
      </c>
      <c r="AV57" s="66" t="e">
        <f t="shared" si="49"/>
        <v>#DIV/0!</v>
      </c>
      <c r="AW57" s="61"/>
      <c r="AX57" s="61"/>
      <c r="AY57" s="66" t="e">
        <f t="shared" si="50"/>
        <v>#DIV/0!</v>
      </c>
      <c r="AZ57" s="61">
        <f t="shared" si="51"/>
        <v>0</v>
      </c>
      <c r="BA57" s="61">
        <f t="shared" si="52"/>
        <v>0</v>
      </c>
      <c r="BB57" s="66" t="e">
        <f t="shared" si="53"/>
        <v>#DIV/0!</v>
      </c>
      <c r="BC57" s="61"/>
      <c r="BD57" s="61"/>
      <c r="BE57" s="66" t="e">
        <f t="shared" si="54"/>
        <v>#DIV/0!</v>
      </c>
      <c r="BF57" s="61">
        <f t="shared" si="55"/>
        <v>0</v>
      </c>
      <c r="BG57" s="61">
        <f t="shared" si="56"/>
        <v>0</v>
      </c>
      <c r="BH57" s="66" t="e">
        <f t="shared" si="57"/>
        <v>#DIV/0!</v>
      </c>
      <c r="BI57" s="70"/>
      <c r="BJ57" s="61"/>
      <c r="BK57" s="61"/>
      <c r="BL57" s="61">
        <v>0</v>
      </c>
      <c r="BM57" s="71" t="e">
        <f t="shared" si="58"/>
        <v>#DIV/0!</v>
      </c>
    </row>
    <row r="58" spans="1:65" ht="12" customHeight="1">
      <c r="A58" s="52" t="s">
        <v>414</v>
      </c>
      <c r="B58" s="53" t="s">
        <v>414</v>
      </c>
      <c r="C58" s="62" t="s">
        <v>494</v>
      </c>
      <c r="D58" s="61" t="s">
        <v>102</v>
      </c>
      <c r="E58" s="55" t="s">
        <v>102</v>
      </c>
      <c r="F58" s="55" t="s">
        <v>420</v>
      </c>
      <c r="G58" s="61" t="s">
        <v>420</v>
      </c>
      <c r="H58" s="53" t="s">
        <v>421</v>
      </c>
      <c r="I58" s="53"/>
      <c r="J58" s="61"/>
      <c r="K58" s="61"/>
      <c r="L58" s="66" t="e">
        <f t="shared" si="0"/>
        <v>#DIV/0!</v>
      </c>
      <c r="M58" s="61"/>
      <c r="N58" s="61"/>
      <c r="O58" s="66" t="e">
        <f t="shared" si="1"/>
        <v>#DIV/0!</v>
      </c>
      <c r="P58" s="61">
        <f t="shared" si="2"/>
        <v>0</v>
      </c>
      <c r="Q58" s="61">
        <f t="shared" si="3"/>
        <v>0</v>
      </c>
      <c r="R58" s="66" t="e">
        <f t="shared" si="4"/>
        <v>#DIV/0!</v>
      </c>
      <c r="S58" s="67"/>
      <c r="T58" s="67"/>
      <c r="U58" s="66" t="e">
        <f t="shared" si="5"/>
        <v>#DIV/0!</v>
      </c>
      <c r="V58" s="68">
        <f t="shared" si="6"/>
        <v>0</v>
      </c>
      <c r="W58" s="68">
        <f t="shared" si="7"/>
        <v>0</v>
      </c>
      <c r="X58" s="66" t="e">
        <f t="shared" si="8"/>
        <v>#DIV/0!</v>
      </c>
      <c r="Y58" s="61"/>
      <c r="Z58" s="61"/>
      <c r="AA58" s="66" t="e">
        <f t="shared" si="34"/>
        <v>#DIV/0!</v>
      </c>
      <c r="AB58" s="61">
        <f t="shared" si="35"/>
        <v>0</v>
      </c>
      <c r="AC58" s="61">
        <f t="shared" si="36"/>
        <v>0</v>
      </c>
      <c r="AD58" s="66" t="e">
        <f t="shared" si="37"/>
        <v>#DIV/0!</v>
      </c>
      <c r="AE58" s="61"/>
      <c r="AF58" s="61"/>
      <c r="AG58" s="66" t="e">
        <f t="shared" si="38"/>
        <v>#DIV/0!</v>
      </c>
      <c r="AH58" s="61">
        <f t="shared" si="39"/>
        <v>0</v>
      </c>
      <c r="AI58" s="61">
        <f t="shared" si="40"/>
        <v>0</v>
      </c>
      <c r="AJ58" s="66" t="e">
        <f t="shared" si="41"/>
        <v>#DIV/0!</v>
      </c>
      <c r="AK58" s="61"/>
      <c r="AL58" s="61"/>
      <c r="AM58" s="66" t="e">
        <f t="shared" si="42"/>
        <v>#DIV/0!</v>
      </c>
      <c r="AN58" s="61">
        <f t="shared" si="43"/>
        <v>0</v>
      </c>
      <c r="AO58" s="61">
        <f t="shared" si="44"/>
        <v>0</v>
      </c>
      <c r="AP58" s="66" t="e">
        <f t="shared" si="45"/>
        <v>#DIV/0!</v>
      </c>
      <c r="AQ58" s="67"/>
      <c r="AR58" s="67"/>
      <c r="AS58" s="66" t="e">
        <f t="shared" si="46"/>
        <v>#DIV/0!</v>
      </c>
      <c r="AT58" s="67">
        <f t="shared" si="47"/>
        <v>0</v>
      </c>
      <c r="AU58" s="67">
        <f t="shared" si="48"/>
        <v>0</v>
      </c>
      <c r="AV58" s="66" t="e">
        <f t="shared" si="49"/>
        <v>#DIV/0!</v>
      </c>
      <c r="AW58" s="61"/>
      <c r="AX58" s="61"/>
      <c r="AY58" s="66" t="e">
        <f t="shared" si="50"/>
        <v>#DIV/0!</v>
      </c>
      <c r="AZ58" s="61">
        <f t="shared" si="51"/>
        <v>0</v>
      </c>
      <c r="BA58" s="61">
        <f t="shared" si="52"/>
        <v>0</v>
      </c>
      <c r="BB58" s="66" t="e">
        <f t="shared" si="53"/>
        <v>#DIV/0!</v>
      </c>
      <c r="BC58" s="61"/>
      <c r="BD58" s="61"/>
      <c r="BE58" s="66" t="e">
        <f t="shared" si="54"/>
        <v>#DIV/0!</v>
      </c>
      <c r="BF58" s="61">
        <f t="shared" si="55"/>
        <v>0</v>
      </c>
      <c r="BG58" s="61">
        <f t="shared" si="56"/>
        <v>0</v>
      </c>
      <c r="BH58" s="66" t="e">
        <f t="shared" si="57"/>
        <v>#DIV/0!</v>
      </c>
      <c r="BI58" s="70"/>
      <c r="BJ58" s="61"/>
      <c r="BK58" s="61"/>
      <c r="BL58" s="61">
        <v>0</v>
      </c>
      <c r="BM58" s="71" t="e">
        <f t="shared" si="58"/>
        <v>#DIV/0!</v>
      </c>
    </row>
    <row r="59" spans="1:65" ht="12" customHeight="1">
      <c r="A59" s="52" t="s">
        <v>414</v>
      </c>
      <c r="B59" s="53" t="s">
        <v>453</v>
      </c>
      <c r="C59" s="60" t="s">
        <v>495</v>
      </c>
      <c r="D59" s="55" t="s">
        <v>61</v>
      </c>
      <c r="E59" s="55" t="s">
        <v>61</v>
      </c>
      <c r="F59" s="55" t="s">
        <v>455</v>
      </c>
      <c r="G59" s="53" t="s">
        <v>455</v>
      </c>
      <c r="H59" s="53" t="s">
        <v>457</v>
      </c>
      <c r="I59" s="53">
        <v>30</v>
      </c>
      <c r="J59" s="61"/>
      <c r="K59" s="61"/>
      <c r="L59" s="66" t="e">
        <f t="shared" si="0"/>
        <v>#DIV/0!</v>
      </c>
      <c r="M59" s="61"/>
      <c r="N59" s="61"/>
      <c r="O59" s="66" t="e">
        <f t="shared" si="1"/>
        <v>#DIV/0!</v>
      </c>
      <c r="P59" s="61">
        <f t="shared" si="2"/>
        <v>0</v>
      </c>
      <c r="Q59" s="61">
        <f t="shared" si="3"/>
        <v>0</v>
      </c>
      <c r="R59" s="66" t="e">
        <f t="shared" si="4"/>
        <v>#DIV/0!</v>
      </c>
      <c r="S59" s="67"/>
      <c r="T59" s="67"/>
      <c r="U59" s="66" t="e">
        <f t="shared" si="5"/>
        <v>#DIV/0!</v>
      </c>
      <c r="V59" s="68">
        <f t="shared" si="6"/>
        <v>0</v>
      </c>
      <c r="W59" s="68">
        <f t="shared" si="7"/>
        <v>0</v>
      </c>
      <c r="X59" s="66" t="e">
        <f t="shared" si="8"/>
        <v>#DIV/0!</v>
      </c>
      <c r="Y59" s="61"/>
      <c r="Z59" s="61"/>
      <c r="AA59" s="66" t="e">
        <f t="shared" si="34"/>
        <v>#DIV/0!</v>
      </c>
      <c r="AB59" s="61">
        <f t="shared" si="35"/>
        <v>0</v>
      </c>
      <c r="AC59" s="61">
        <f t="shared" si="36"/>
        <v>0</v>
      </c>
      <c r="AD59" s="66" t="e">
        <f t="shared" si="37"/>
        <v>#DIV/0!</v>
      </c>
      <c r="AE59" s="61"/>
      <c r="AF59" s="61"/>
      <c r="AG59" s="66" t="e">
        <f t="shared" si="38"/>
        <v>#DIV/0!</v>
      </c>
      <c r="AH59" s="61">
        <f t="shared" si="39"/>
        <v>0</v>
      </c>
      <c r="AI59" s="61">
        <f t="shared" si="40"/>
        <v>0</v>
      </c>
      <c r="AJ59" s="66" t="e">
        <f t="shared" si="41"/>
        <v>#DIV/0!</v>
      </c>
      <c r="AK59" s="61"/>
      <c r="AL59" s="61"/>
      <c r="AM59" s="66" t="e">
        <f t="shared" si="42"/>
        <v>#DIV/0!</v>
      </c>
      <c r="AN59" s="61">
        <f t="shared" si="43"/>
        <v>0</v>
      </c>
      <c r="AO59" s="61">
        <f t="shared" si="44"/>
        <v>0</v>
      </c>
      <c r="AP59" s="66" t="e">
        <f t="shared" si="45"/>
        <v>#DIV/0!</v>
      </c>
      <c r="AQ59" s="67"/>
      <c r="AR59" s="67">
        <v>116864</v>
      </c>
      <c r="AS59" s="66" t="e">
        <f t="shared" si="46"/>
        <v>#DIV/0!</v>
      </c>
      <c r="AT59" s="67">
        <f t="shared" si="47"/>
        <v>0</v>
      </c>
      <c r="AU59" s="67">
        <f t="shared" si="48"/>
        <v>116864</v>
      </c>
      <c r="AV59" s="66" t="e">
        <f t="shared" si="49"/>
        <v>#DIV/0!</v>
      </c>
      <c r="AW59" s="61"/>
      <c r="AX59" s="61">
        <v>4500</v>
      </c>
      <c r="AY59" s="66" t="e">
        <f t="shared" si="50"/>
        <v>#DIV/0!</v>
      </c>
      <c r="AZ59" s="61">
        <f t="shared" si="51"/>
        <v>0</v>
      </c>
      <c r="BA59" s="61">
        <f t="shared" si="52"/>
        <v>121364</v>
      </c>
      <c r="BB59" s="66" t="e">
        <f t="shared" si="53"/>
        <v>#DIV/0!</v>
      </c>
      <c r="BC59" s="61"/>
      <c r="BD59" s="61"/>
      <c r="BE59" s="66" t="e">
        <f t="shared" si="54"/>
        <v>#DIV/0!</v>
      </c>
      <c r="BF59" s="61">
        <f t="shared" si="55"/>
        <v>0</v>
      </c>
      <c r="BG59" s="61">
        <f t="shared" si="56"/>
        <v>121364</v>
      </c>
      <c r="BH59" s="66" t="e">
        <f t="shared" si="57"/>
        <v>#DIV/0!</v>
      </c>
      <c r="BI59" s="70"/>
      <c r="BJ59" s="61"/>
      <c r="BK59" s="61"/>
      <c r="BL59" s="61">
        <v>0</v>
      </c>
      <c r="BM59" s="71">
        <f t="shared" si="58"/>
        <v>0.404546666666667</v>
      </c>
    </row>
    <row r="60" spans="1:65" ht="12" customHeight="1">
      <c r="A60" s="52" t="s">
        <v>414</v>
      </c>
      <c r="B60" s="53" t="s">
        <v>414</v>
      </c>
      <c r="C60" s="60" t="s">
        <v>496</v>
      </c>
      <c r="D60" s="55" t="s">
        <v>61</v>
      </c>
      <c r="E60" s="55" t="s">
        <v>61</v>
      </c>
      <c r="F60" s="55" t="s">
        <v>420</v>
      </c>
      <c r="G60" s="53" t="s">
        <v>420</v>
      </c>
      <c r="H60" s="53" t="s">
        <v>421</v>
      </c>
      <c r="I60" s="53"/>
      <c r="J60" s="61"/>
      <c r="K60" s="61"/>
      <c r="L60" s="66" t="e">
        <f t="shared" si="0"/>
        <v>#DIV/0!</v>
      </c>
      <c r="M60" s="61"/>
      <c r="N60" s="61"/>
      <c r="O60" s="66" t="e">
        <f t="shared" si="1"/>
        <v>#DIV/0!</v>
      </c>
      <c r="P60" s="61">
        <f t="shared" si="2"/>
        <v>0</v>
      </c>
      <c r="Q60" s="61">
        <f t="shared" si="3"/>
        <v>0</v>
      </c>
      <c r="R60" s="66" t="e">
        <f t="shared" si="4"/>
        <v>#DIV/0!</v>
      </c>
      <c r="S60" s="67"/>
      <c r="T60" s="67"/>
      <c r="U60" s="66" t="e">
        <f t="shared" si="5"/>
        <v>#DIV/0!</v>
      </c>
      <c r="V60" s="68">
        <f t="shared" si="6"/>
        <v>0</v>
      </c>
      <c r="W60" s="68">
        <f t="shared" si="7"/>
        <v>0</v>
      </c>
      <c r="X60" s="66" t="e">
        <f t="shared" si="8"/>
        <v>#DIV/0!</v>
      </c>
      <c r="Y60" s="61"/>
      <c r="Z60" s="61"/>
      <c r="AA60" s="66" t="e">
        <f t="shared" si="34"/>
        <v>#DIV/0!</v>
      </c>
      <c r="AB60" s="61">
        <f t="shared" si="35"/>
        <v>0</v>
      </c>
      <c r="AC60" s="61">
        <f t="shared" si="36"/>
        <v>0</v>
      </c>
      <c r="AD60" s="66" t="e">
        <f t="shared" si="37"/>
        <v>#DIV/0!</v>
      </c>
      <c r="AE60" s="61"/>
      <c r="AF60" s="61"/>
      <c r="AG60" s="66" t="e">
        <f t="shared" si="38"/>
        <v>#DIV/0!</v>
      </c>
      <c r="AH60" s="61">
        <f t="shared" si="39"/>
        <v>0</v>
      </c>
      <c r="AI60" s="61">
        <f t="shared" si="40"/>
        <v>0</v>
      </c>
      <c r="AJ60" s="66" t="e">
        <f t="shared" si="41"/>
        <v>#DIV/0!</v>
      </c>
      <c r="AK60" s="61"/>
      <c r="AL60" s="61"/>
      <c r="AM60" s="66" t="e">
        <f t="shared" si="42"/>
        <v>#DIV/0!</v>
      </c>
      <c r="AN60" s="61">
        <f t="shared" si="43"/>
        <v>0</v>
      </c>
      <c r="AO60" s="61">
        <f t="shared" si="44"/>
        <v>0</v>
      </c>
      <c r="AP60" s="66" t="e">
        <f t="shared" si="45"/>
        <v>#DIV/0!</v>
      </c>
      <c r="AQ60" s="67"/>
      <c r="AR60" s="67"/>
      <c r="AS60" s="66" t="e">
        <f t="shared" si="46"/>
        <v>#DIV/0!</v>
      </c>
      <c r="AT60" s="67">
        <f t="shared" si="47"/>
        <v>0</v>
      </c>
      <c r="AU60" s="67">
        <f t="shared" si="48"/>
        <v>0</v>
      </c>
      <c r="AV60" s="66" t="e">
        <f t="shared" si="49"/>
        <v>#DIV/0!</v>
      </c>
      <c r="AW60" s="61"/>
      <c r="AX60" s="61"/>
      <c r="AY60" s="66" t="e">
        <f t="shared" si="50"/>
        <v>#DIV/0!</v>
      </c>
      <c r="AZ60" s="61">
        <f t="shared" si="51"/>
        <v>0</v>
      </c>
      <c r="BA60" s="61">
        <f t="shared" si="52"/>
        <v>0</v>
      </c>
      <c r="BB60" s="66" t="e">
        <f t="shared" si="53"/>
        <v>#DIV/0!</v>
      </c>
      <c r="BC60" s="61"/>
      <c r="BD60" s="61"/>
      <c r="BE60" s="66" t="e">
        <f t="shared" si="54"/>
        <v>#DIV/0!</v>
      </c>
      <c r="BF60" s="61">
        <f t="shared" si="55"/>
        <v>0</v>
      </c>
      <c r="BG60" s="61">
        <f t="shared" si="56"/>
        <v>0</v>
      </c>
      <c r="BH60" s="66" t="e">
        <f t="shared" si="57"/>
        <v>#DIV/0!</v>
      </c>
      <c r="BI60" s="70"/>
      <c r="BJ60" s="61"/>
      <c r="BK60" s="61"/>
      <c r="BL60" s="61">
        <v>0</v>
      </c>
      <c r="BM60" s="71" t="e">
        <f t="shared" si="58"/>
        <v>#DIV/0!</v>
      </c>
    </row>
    <row r="61" spans="1:65" ht="12" customHeight="1">
      <c r="A61" s="52" t="s">
        <v>414</v>
      </c>
      <c r="B61" s="53" t="s">
        <v>414</v>
      </c>
      <c r="C61" s="60" t="s">
        <v>497</v>
      </c>
      <c r="D61" s="61" t="s">
        <v>102</v>
      </c>
      <c r="E61" s="55" t="s">
        <v>102</v>
      </c>
      <c r="F61" s="55" t="s">
        <v>428</v>
      </c>
      <c r="G61" s="53" t="s">
        <v>428</v>
      </c>
      <c r="H61" s="53" t="s">
        <v>421</v>
      </c>
      <c r="I61" s="53"/>
      <c r="J61" s="61">
        <v>1790</v>
      </c>
      <c r="K61" s="61"/>
      <c r="L61" s="66">
        <f t="shared" si="0"/>
        <v>-1</v>
      </c>
      <c r="M61" s="61"/>
      <c r="N61" s="61"/>
      <c r="O61" s="66" t="e">
        <f t="shared" si="1"/>
        <v>#DIV/0!</v>
      </c>
      <c r="P61" s="61">
        <f t="shared" si="2"/>
        <v>1790</v>
      </c>
      <c r="Q61" s="61">
        <f t="shared" si="3"/>
        <v>0</v>
      </c>
      <c r="R61" s="66">
        <f t="shared" si="4"/>
        <v>-1</v>
      </c>
      <c r="S61" s="67"/>
      <c r="T61" s="67"/>
      <c r="U61" s="66" t="e">
        <f t="shared" si="5"/>
        <v>#DIV/0!</v>
      </c>
      <c r="V61" s="68">
        <f t="shared" si="6"/>
        <v>1790</v>
      </c>
      <c r="W61" s="68">
        <f t="shared" si="7"/>
        <v>0</v>
      </c>
      <c r="X61" s="66">
        <f t="shared" si="8"/>
        <v>-1</v>
      </c>
      <c r="Y61" s="61"/>
      <c r="Z61" s="61"/>
      <c r="AA61" s="66" t="e">
        <f t="shared" si="34"/>
        <v>#DIV/0!</v>
      </c>
      <c r="AB61" s="61">
        <f t="shared" si="35"/>
        <v>1790</v>
      </c>
      <c r="AC61" s="61">
        <f t="shared" si="36"/>
        <v>0</v>
      </c>
      <c r="AD61" s="66">
        <f t="shared" si="37"/>
        <v>-1</v>
      </c>
      <c r="AE61" s="61"/>
      <c r="AF61" s="61"/>
      <c r="AG61" s="66" t="e">
        <f t="shared" si="38"/>
        <v>#DIV/0!</v>
      </c>
      <c r="AH61" s="61">
        <f t="shared" si="39"/>
        <v>1790</v>
      </c>
      <c r="AI61" s="61">
        <f t="shared" si="40"/>
        <v>0</v>
      </c>
      <c r="AJ61" s="66">
        <f t="shared" si="41"/>
        <v>-1</v>
      </c>
      <c r="AK61" s="61"/>
      <c r="AL61" s="61"/>
      <c r="AM61" s="66" t="e">
        <f t="shared" si="42"/>
        <v>#DIV/0!</v>
      </c>
      <c r="AN61" s="61">
        <f t="shared" si="43"/>
        <v>1790</v>
      </c>
      <c r="AO61" s="61">
        <f t="shared" si="44"/>
        <v>0</v>
      </c>
      <c r="AP61" s="66">
        <f t="shared" si="45"/>
        <v>-1</v>
      </c>
      <c r="AQ61" s="67"/>
      <c r="AR61" s="67"/>
      <c r="AS61" s="66" t="e">
        <f t="shared" si="46"/>
        <v>#DIV/0!</v>
      </c>
      <c r="AT61" s="67">
        <f t="shared" si="47"/>
        <v>1790</v>
      </c>
      <c r="AU61" s="67">
        <f t="shared" si="48"/>
        <v>0</v>
      </c>
      <c r="AV61" s="66">
        <f t="shared" si="49"/>
        <v>-1</v>
      </c>
      <c r="AW61" s="61"/>
      <c r="AX61" s="61"/>
      <c r="AY61" s="66" t="e">
        <f t="shared" si="50"/>
        <v>#DIV/0!</v>
      </c>
      <c r="AZ61" s="61">
        <f t="shared" si="51"/>
        <v>1790</v>
      </c>
      <c r="BA61" s="61">
        <f t="shared" si="52"/>
        <v>0</v>
      </c>
      <c r="BB61" s="66">
        <f t="shared" si="53"/>
        <v>-1</v>
      </c>
      <c r="BC61" s="61"/>
      <c r="BD61" s="61"/>
      <c r="BE61" s="66" t="e">
        <f t="shared" si="54"/>
        <v>#DIV/0!</v>
      </c>
      <c r="BF61" s="61">
        <f t="shared" si="55"/>
        <v>1790</v>
      </c>
      <c r="BG61" s="61">
        <f t="shared" si="56"/>
        <v>0</v>
      </c>
      <c r="BH61" s="66">
        <f t="shared" si="57"/>
        <v>-1</v>
      </c>
      <c r="BI61" s="70"/>
      <c r="BJ61" s="61"/>
      <c r="BK61" s="61"/>
      <c r="BL61" s="61">
        <v>1790</v>
      </c>
      <c r="BM61" s="71" t="e">
        <f t="shared" si="58"/>
        <v>#DIV/0!</v>
      </c>
    </row>
    <row r="62" spans="1:65" ht="12" customHeight="1">
      <c r="A62" s="52" t="s">
        <v>414</v>
      </c>
      <c r="B62" s="53" t="s">
        <v>414</v>
      </c>
      <c r="C62" s="60" t="s">
        <v>498</v>
      </c>
      <c r="D62" s="55" t="s">
        <v>61</v>
      </c>
      <c r="E62" s="55" t="s">
        <v>61</v>
      </c>
      <c r="F62" s="55" t="s">
        <v>431</v>
      </c>
      <c r="G62" s="53" t="s">
        <v>431</v>
      </c>
      <c r="H62" s="53" t="s">
        <v>417</v>
      </c>
      <c r="I62" s="53"/>
      <c r="J62" s="61">
        <v>5100</v>
      </c>
      <c r="K62" s="61"/>
      <c r="L62" s="66">
        <f t="shared" si="0"/>
        <v>-1</v>
      </c>
      <c r="M62" s="61"/>
      <c r="N62" s="61"/>
      <c r="O62" s="66" t="e">
        <f t="shared" si="1"/>
        <v>#DIV/0!</v>
      </c>
      <c r="P62" s="61">
        <f t="shared" si="2"/>
        <v>5100</v>
      </c>
      <c r="Q62" s="61">
        <f t="shared" si="3"/>
        <v>0</v>
      </c>
      <c r="R62" s="66">
        <f t="shared" si="4"/>
        <v>-1</v>
      </c>
      <c r="S62" s="67"/>
      <c r="T62" s="67"/>
      <c r="U62" s="66" t="e">
        <f t="shared" si="5"/>
        <v>#DIV/0!</v>
      </c>
      <c r="V62" s="68">
        <f t="shared" si="6"/>
        <v>5100</v>
      </c>
      <c r="W62" s="68">
        <f t="shared" si="7"/>
        <v>0</v>
      </c>
      <c r="X62" s="66">
        <f t="shared" si="8"/>
        <v>-1</v>
      </c>
      <c r="Y62" s="61"/>
      <c r="Z62" s="61"/>
      <c r="AA62" s="66" t="e">
        <f t="shared" si="34"/>
        <v>#DIV/0!</v>
      </c>
      <c r="AB62" s="61">
        <f t="shared" si="35"/>
        <v>5100</v>
      </c>
      <c r="AC62" s="61">
        <f t="shared" si="36"/>
        <v>0</v>
      </c>
      <c r="AD62" s="66">
        <f t="shared" si="37"/>
        <v>-1</v>
      </c>
      <c r="AE62" s="61"/>
      <c r="AF62" s="61"/>
      <c r="AG62" s="66" t="e">
        <f t="shared" si="38"/>
        <v>#DIV/0!</v>
      </c>
      <c r="AH62" s="61">
        <f t="shared" si="39"/>
        <v>5100</v>
      </c>
      <c r="AI62" s="61">
        <f t="shared" si="40"/>
        <v>0</v>
      </c>
      <c r="AJ62" s="66">
        <f t="shared" si="41"/>
        <v>-1</v>
      </c>
      <c r="AK62" s="61"/>
      <c r="AL62" s="61"/>
      <c r="AM62" s="66" t="e">
        <f t="shared" si="42"/>
        <v>#DIV/0!</v>
      </c>
      <c r="AN62" s="61">
        <f t="shared" si="43"/>
        <v>5100</v>
      </c>
      <c r="AO62" s="61">
        <f t="shared" si="44"/>
        <v>0</v>
      </c>
      <c r="AP62" s="66">
        <f t="shared" si="45"/>
        <v>-1</v>
      </c>
      <c r="AQ62" s="67"/>
      <c r="AR62" s="67"/>
      <c r="AS62" s="66" t="e">
        <f t="shared" si="46"/>
        <v>#DIV/0!</v>
      </c>
      <c r="AT62" s="67">
        <f t="shared" si="47"/>
        <v>5100</v>
      </c>
      <c r="AU62" s="67">
        <f t="shared" si="48"/>
        <v>0</v>
      </c>
      <c r="AV62" s="66">
        <f t="shared" si="49"/>
        <v>-1</v>
      </c>
      <c r="AW62" s="61"/>
      <c r="AX62" s="61"/>
      <c r="AY62" s="66" t="e">
        <f t="shared" si="50"/>
        <v>#DIV/0!</v>
      </c>
      <c r="AZ62" s="61">
        <f t="shared" si="51"/>
        <v>5100</v>
      </c>
      <c r="BA62" s="61">
        <f t="shared" si="52"/>
        <v>0</v>
      </c>
      <c r="BB62" s="66">
        <f t="shared" si="53"/>
        <v>-1</v>
      </c>
      <c r="BC62" s="61"/>
      <c r="BD62" s="61"/>
      <c r="BE62" s="66" t="e">
        <f t="shared" si="54"/>
        <v>#DIV/0!</v>
      </c>
      <c r="BF62" s="61">
        <f t="shared" si="55"/>
        <v>5100</v>
      </c>
      <c r="BG62" s="61">
        <f t="shared" si="56"/>
        <v>0</v>
      </c>
      <c r="BH62" s="66">
        <f t="shared" si="57"/>
        <v>-1</v>
      </c>
      <c r="BI62" s="70"/>
      <c r="BJ62" s="61"/>
      <c r="BK62" s="61"/>
      <c r="BL62" s="61">
        <v>5100</v>
      </c>
      <c r="BM62" s="71" t="e">
        <f t="shared" si="58"/>
        <v>#DIV/0!</v>
      </c>
    </row>
    <row r="63" spans="1:65" ht="12" customHeight="1">
      <c r="A63" s="52" t="s">
        <v>414</v>
      </c>
      <c r="B63" s="53" t="s">
        <v>414</v>
      </c>
      <c r="C63" s="60" t="s">
        <v>499</v>
      </c>
      <c r="D63" s="55" t="s">
        <v>61</v>
      </c>
      <c r="E63" s="55" t="s">
        <v>61</v>
      </c>
      <c r="F63" s="55" t="s">
        <v>431</v>
      </c>
      <c r="G63" s="53" t="s">
        <v>431</v>
      </c>
      <c r="H63" s="53" t="s">
        <v>417</v>
      </c>
      <c r="I63" s="53">
        <v>10</v>
      </c>
      <c r="J63" s="61">
        <v>19260</v>
      </c>
      <c r="K63" s="61">
        <v>10740</v>
      </c>
      <c r="L63" s="66">
        <f t="shared" si="0"/>
        <v>-0.44236760124610602</v>
      </c>
      <c r="M63" s="61"/>
      <c r="N63" s="61"/>
      <c r="O63" s="66" t="e">
        <f t="shared" si="1"/>
        <v>#DIV/0!</v>
      </c>
      <c r="P63" s="61">
        <f t="shared" si="2"/>
        <v>19260</v>
      </c>
      <c r="Q63" s="61">
        <f t="shared" si="3"/>
        <v>10740</v>
      </c>
      <c r="R63" s="66">
        <f t="shared" si="4"/>
        <v>-0.44236760124610602</v>
      </c>
      <c r="S63" s="67">
        <v>7850</v>
      </c>
      <c r="T63" s="67"/>
      <c r="U63" s="66">
        <f t="shared" si="5"/>
        <v>-1</v>
      </c>
      <c r="V63" s="68">
        <f t="shared" si="6"/>
        <v>27110</v>
      </c>
      <c r="W63" s="68">
        <f t="shared" si="7"/>
        <v>10740</v>
      </c>
      <c r="X63" s="66">
        <f t="shared" si="8"/>
        <v>-0.60383622279601601</v>
      </c>
      <c r="Y63" s="61">
        <v>1740</v>
      </c>
      <c r="Z63" s="61">
        <v>5491</v>
      </c>
      <c r="AA63" s="66">
        <f t="shared" si="34"/>
        <v>2.15574712643678</v>
      </c>
      <c r="AB63" s="61">
        <f t="shared" si="35"/>
        <v>28850</v>
      </c>
      <c r="AC63" s="61">
        <f t="shared" si="36"/>
        <v>16231</v>
      </c>
      <c r="AD63" s="66">
        <f t="shared" si="37"/>
        <v>-0.43740034662045102</v>
      </c>
      <c r="AE63" s="61">
        <v>49370</v>
      </c>
      <c r="AF63" s="61">
        <v>12884</v>
      </c>
      <c r="AG63" s="66">
        <f t="shared" si="38"/>
        <v>-0.73903180068867702</v>
      </c>
      <c r="AH63" s="61">
        <f t="shared" si="39"/>
        <v>78220</v>
      </c>
      <c r="AI63" s="61">
        <f t="shared" si="40"/>
        <v>29115</v>
      </c>
      <c r="AJ63" s="66">
        <f t="shared" si="41"/>
        <v>-0.62778061876757896</v>
      </c>
      <c r="AK63" s="61">
        <v>4800</v>
      </c>
      <c r="AL63" s="61">
        <v>4541</v>
      </c>
      <c r="AM63" s="66">
        <f t="shared" si="42"/>
        <v>-5.3958333333333303E-2</v>
      </c>
      <c r="AN63" s="61">
        <f t="shared" si="43"/>
        <v>83020</v>
      </c>
      <c r="AO63" s="61">
        <f t="shared" si="44"/>
        <v>33656</v>
      </c>
      <c r="AP63" s="66">
        <f t="shared" si="45"/>
        <v>-0.59460370994941003</v>
      </c>
      <c r="AQ63" s="67"/>
      <c r="AR63" s="67"/>
      <c r="AS63" s="66" t="e">
        <f t="shared" si="46"/>
        <v>#DIV/0!</v>
      </c>
      <c r="AT63" s="67">
        <f t="shared" si="47"/>
        <v>83020</v>
      </c>
      <c r="AU63" s="67">
        <f t="shared" si="48"/>
        <v>33656</v>
      </c>
      <c r="AV63" s="66">
        <f t="shared" si="49"/>
        <v>-0.59460370994941003</v>
      </c>
      <c r="AW63" s="61"/>
      <c r="AX63" s="61"/>
      <c r="AY63" s="66" t="e">
        <f t="shared" si="50"/>
        <v>#DIV/0!</v>
      </c>
      <c r="AZ63" s="61">
        <f t="shared" si="51"/>
        <v>83020</v>
      </c>
      <c r="BA63" s="61">
        <f t="shared" si="52"/>
        <v>33656</v>
      </c>
      <c r="BB63" s="66">
        <f t="shared" si="53"/>
        <v>-0.59460370994941003</v>
      </c>
      <c r="BC63" s="61">
        <v>9010</v>
      </c>
      <c r="BD63" s="61">
        <v>1838</v>
      </c>
      <c r="BE63" s="66">
        <f t="shared" si="54"/>
        <v>-0.79600443951165401</v>
      </c>
      <c r="BF63" s="61">
        <f t="shared" si="55"/>
        <v>92030</v>
      </c>
      <c r="BG63" s="61">
        <f t="shared" si="56"/>
        <v>35494</v>
      </c>
      <c r="BH63" s="66">
        <f t="shared" si="57"/>
        <v>-0.61432141692926201</v>
      </c>
      <c r="BI63" s="70">
        <v>7850</v>
      </c>
      <c r="BJ63" s="61">
        <v>3060</v>
      </c>
      <c r="BK63" s="61">
        <v>45168</v>
      </c>
      <c r="BL63" s="61">
        <v>148108</v>
      </c>
      <c r="BM63" s="71">
        <f t="shared" si="58"/>
        <v>0.35493999999999998</v>
      </c>
    </row>
    <row r="64" spans="1:65" ht="12" customHeight="1">
      <c r="A64" s="52" t="s">
        <v>414</v>
      </c>
      <c r="B64" s="53" t="s">
        <v>414</v>
      </c>
      <c r="C64" s="60" t="s">
        <v>500</v>
      </c>
      <c r="D64" s="55" t="s">
        <v>61</v>
      </c>
      <c r="E64" s="55" t="s">
        <v>61</v>
      </c>
      <c r="F64" s="55" t="s">
        <v>464</v>
      </c>
      <c r="G64" s="53" t="s">
        <v>464</v>
      </c>
      <c r="H64" s="53" t="s">
        <v>435</v>
      </c>
      <c r="I64" s="53">
        <v>30</v>
      </c>
      <c r="J64" s="61">
        <v>57994</v>
      </c>
      <c r="K64" s="61"/>
      <c r="L64" s="66">
        <f t="shared" si="0"/>
        <v>-1</v>
      </c>
      <c r="M64" s="61">
        <v>45000</v>
      </c>
      <c r="N64" s="61"/>
      <c r="O64" s="66">
        <f t="shared" si="1"/>
        <v>-1</v>
      </c>
      <c r="P64" s="61">
        <f t="shared" si="2"/>
        <v>102994</v>
      </c>
      <c r="Q64" s="61">
        <f t="shared" si="3"/>
        <v>0</v>
      </c>
      <c r="R64" s="66">
        <f t="shared" si="4"/>
        <v>-1</v>
      </c>
      <c r="S64" s="67">
        <v>2390</v>
      </c>
      <c r="T64" s="67">
        <v>53000</v>
      </c>
      <c r="U64" s="66">
        <f t="shared" si="5"/>
        <v>21.175732217573199</v>
      </c>
      <c r="V64" s="68">
        <f t="shared" si="6"/>
        <v>105384</v>
      </c>
      <c r="W64" s="68">
        <f t="shared" si="7"/>
        <v>53000</v>
      </c>
      <c r="X64" s="66">
        <f t="shared" si="8"/>
        <v>-0.49707735519623503</v>
      </c>
      <c r="Y64" s="61"/>
      <c r="Z64" s="61"/>
      <c r="AA64" s="66" t="e">
        <f t="shared" si="34"/>
        <v>#DIV/0!</v>
      </c>
      <c r="AB64" s="61">
        <f t="shared" si="35"/>
        <v>105384</v>
      </c>
      <c r="AC64" s="61">
        <f t="shared" si="36"/>
        <v>53000</v>
      </c>
      <c r="AD64" s="66">
        <f t="shared" si="37"/>
        <v>-0.49707735519623503</v>
      </c>
      <c r="AE64" s="61">
        <v>1650</v>
      </c>
      <c r="AF64" s="61"/>
      <c r="AG64" s="66">
        <f t="shared" si="38"/>
        <v>-1</v>
      </c>
      <c r="AH64" s="61">
        <f t="shared" si="39"/>
        <v>107034</v>
      </c>
      <c r="AI64" s="61">
        <f t="shared" si="40"/>
        <v>53000</v>
      </c>
      <c r="AJ64" s="66">
        <f t="shared" si="41"/>
        <v>-0.50483024085804495</v>
      </c>
      <c r="AK64" s="61">
        <v>48160</v>
      </c>
      <c r="AL64" s="61"/>
      <c r="AM64" s="66">
        <f t="shared" si="42"/>
        <v>-1</v>
      </c>
      <c r="AN64" s="61">
        <f t="shared" si="43"/>
        <v>155194</v>
      </c>
      <c r="AO64" s="61">
        <f t="shared" si="44"/>
        <v>53000</v>
      </c>
      <c r="AP64" s="66">
        <f t="shared" si="45"/>
        <v>-0.65849195200845401</v>
      </c>
      <c r="AQ64" s="67"/>
      <c r="AR64" s="67"/>
      <c r="AS64" s="66" t="e">
        <f t="shared" si="46"/>
        <v>#DIV/0!</v>
      </c>
      <c r="AT64" s="67">
        <f t="shared" si="47"/>
        <v>155194</v>
      </c>
      <c r="AU64" s="67">
        <f t="shared" si="48"/>
        <v>53000</v>
      </c>
      <c r="AV64" s="66">
        <f t="shared" si="49"/>
        <v>-0.65849195200845401</v>
      </c>
      <c r="AW64" s="61"/>
      <c r="AX64" s="61"/>
      <c r="AY64" s="66" t="e">
        <f t="shared" si="50"/>
        <v>#DIV/0!</v>
      </c>
      <c r="AZ64" s="61">
        <f t="shared" si="51"/>
        <v>155194</v>
      </c>
      <c r="BA64" s="61">
        <f t="shared" si="52"/>
        <v>53000</v>
      </c>
      <c r="BB64" s="66">
        <f t="shared" si="53"/>
        <v>-0.65849195200845401</v>
      </c>
      <c r="BC64" s="61"/>
      <c r="BD64" s="61"/>
      <c r="BE64" s="66" t="e">
        <f t="shared" si="54"/>
        <v>#DIV/0!</v>
      </c>
      <c r="BF64" s="61">
        <f t="shared" si="55"/>
        <v>155194</v>
      </c>
      <c r="BG64" s="61">
        <f t="shared" si="56"/>
        <v>53000</v>
      </c>
      <c r="BH64" s="66">
        <f t="shared" si="57"/>
        <v>-0.65849195200845401</v>
      </c>
      <c r="BI64" s="70">
        <v>59400</v>
      </c>
      <c r="BJ64" s="61"/>
      <c r="BK64" s="61"/>
      <c r="BL64" s="61">
        <v>214594</v>
      </c>
      <c r="BM64" s="71">
        <f t="shared" si="58"/>
        <v>0.176666666666667</v>
      </c>
    </row>
    <row r="65" spans="1:65" ht="12" customHeight="1">
      <c r="A65" s="52" t="s">
        <v>414</v>
      </c>
      <c r="B65" s="53" t="s">
        <v>414</v>
      </c>
      <c r="C65" s="60" t="s">
        <v>501</v>
      </c>
      <c r="D65" s="55" t="s">
        <v>61</v>
      </c>
      <c r="E65" s="55" t="s">
        <v>61</v>
      </c>
      <c r="F65" s="55" t="s">
        <v>420</v>
      </c>
      <c r="G65" s="55" t="s">
        <v>420</v>
      </c>
      <c r="H65" s="53" t="s">
        <v>421</v>
      </c>
      <c r="I65" s="53"/>
      <c r="J65" s="61"/>
      <c r="K65" s="61"/>
      <c r="L65" s="66" t="e">
        <f t="shared" si="0"/>
        <v>#DIV/0!</v>
      </c>
      <c r="M65" s="61"/>
      <c r="N65" s="61"/>
      <c r="O65" s="66" t="e">
        <f t="shared" si="1"/>
        <v>#DIV/0!</v>
      </c>
      <c r="P65" s="61">
        <f t="shared" si="2"/>
        <v>0</v>
      </c>
      <c r="Q65" s="61">
        <f t="shared" si="3"/>
        <v>0</v>
      </c>
      <c r="R65" s="66" t="e">
        <f t="shared" si="4"/>
        <v>#DIV/0!</v>
      </c>
      <c r="S65" s="67"/>
      <c r="T65" s="67"/>
      <c r="U65" s="66" t="e">
        <f t="shared" si="5"/>
        <v>#DIV/0!</v>
      </c>
      <c r="V65" s="68">
        <f t="shared" si="6"/>
        <v>0</v>
      </c>
      <c r="W65" s="68">
        <f t="shared" si="7"/>
        <v>0</v>
      </c>
      <c r="X65" s="66" t="e">
        <f t="shared" si="8"/>
        <v>#DIV/0!</v>
      </c>
      <c r="Y65" s="61">
        <v>10260</v>
      </c>
      <c r="Z65" s="61"/>
      <c r="AA65" s="66">
        <f t="shared" si="34"/>
        <v>-1</v>
      </c>
      <c r="AB65" s="61">
        <f t="shared" si="35"/>
        <v>10260</v>
      </c>
      <c r="AC65" s="61">
        <f t="shared" si="36"/>
        <v>0</v>
      </c>
      <c r="AD65" s="66">
        <f t="shared" si="37"/>
        <v>-1</v>
      </c>
      <c r="AE65" s="61"/>
      <c r="AF65" s="61"/>
      <c r="AG65" s="66" t="e">
        <f t="shared" si="38"/>
        <v>#DIV/0!</v>
      </c>
      <c r="AH65" s="61">
        <f t="shared" si="39"/>
        <v>10260</v>
      </c>
      <c r="AI65" s="61">
        <f t="shared" si="40"/>
        <v>0</v>
      </c>
      <c r="AJ65" s="66">
        <f t="shared" si="41"/>
        <v>-1</v>
      </c>
      <c r="AK65" s="61"/>
      <c r="AL65" s="61"/>
      <c r="AM65" s="66" t="e">
        <f t="shared" si="42"/>
        <v>#DIV/0!</v>
      </c>
      <c r="AN65" s="61">
        <f t="shared" si="43"/>
        <v>10260</v>
      </c>
      <c r="AO65" s="61">
        <f t="shared" si="44"/>
        <v>0</v>
      </c>
      <c r="AP65" s="66">
        <f t="shared" si="45"/>
        <v>-1</v>
      </c>
      <c r="AQ65" s="67"/>
      <c r="AR65" s="67"/>
      <c r="AS65" s="66" t="e">
        <f t="shared" si="46"/>
        <v>#DIV/0!</v>
      </c>
      <c r="AT65" s="67">
        <f t="shared" si="47"/>
        <v>10260</v>
      </c>
      <c r="AU65" s="67">
        <f t="shared" si="48"/>
        <v>0</v>
      </c>
      <c r="AV65" s="66">
        <f t="shared" si="49"/>
        <v>-1</v>
      </c>
      <c r="AW65" s="61"/>
      <c r="AX65" s="61"/>
      <c r="AY65" s="66" t="e">
        <f t="shared" si="50"/>
        <v>#DIV/0!</v>
      </c>
      <c r="AZ65" s="61">
        <f t="shared" si="51"/>
        <v>10260</v>
      </c>
      <c r="BA65" s="61">
        <f t="shared" si="52"/>
        <v>0</v>
      </c>
      <c r="BB65" s="66">
        <f t="shared" si="53"/>
        <v>-1</v>
      </c>
      <c r="BC65" s="61"/>
      <c r="BD65" s="61"/>
      <c r="BE65" s="66" t="e">
        <f t="shared" si="54"/>
        <v>#DIV/0!</v>
      </c>
      <c r="BF65" s="61">
        <f t="shared" si="55"/>
        <v>10260</v>
      </c>
      <c r="BG65" s="61">
        <f t="shared" si="56"/>
        <v>0</v>
      </c>
      <c r="BH65" s="66">
        <f t="shared" si="57"/>
        <v>-1</v>
      </c>
      <c r="BI65" s="70"/>
      <c r="BJ65" s="61"/>
      <c r="BK65" s="61"/>
      <c r="BL65" s="61">
        <v>10260</v>
      </c>
      <c r="BM65" s="71" t="e">
        <f t="shared" si="58"/>
        <v>#DIV/0!</v>
      </c>
    </row>
    <row r="66" spans="1:65" ht="12" customHeight="1">
      <c r="A66" s="52" t="s">
        <v>414</v>
      </c>
      <c r="B66" s="53" t="s">
        <v>414</v>
      </c>
      <c r="C66" s="60" t="s">
        <v>502</v>
      </c>
      <c r="D66" s="55" t="s">
        <v>84</v>
      </c>
      <c r="E66" s="55" t="s">
        <v>84</v>
      </c>
      <c r="F66" s="181" t="s">
        <v>434</v>
      </c>
      <c r="G66" s="55"/>
      <c r="H66" s="53" t="s">
        <v>435</v>
      </c>
      <c r="I66" s="53"/>
      <c r="J66" s="61"/>
      <c r="K66" s="61"/>
      <c r="L66" s="66"/>
      <c r="M66" s="61"/>
      <c r="N66" s="61"/>
      <c r="O66" s="66"/>
      <c r="P66" s="61"/>
      <c r="Q66" s="61"/>
      <c r="R66" s="66"/>
      <c r="S66" s="67"/>
      <c r="T66" s="67"/>
      <c r="U66" s="66"/>
      <c r="V66" s="68"/>
      <c r="W66" s="68"/>
      <c r="X66" s="66"/>
      <c r="Y66" s="61"/>
      <c r="Z66" s="61"/>
      <c r="AA66" s="66"/>
      <c r="AB66" s="61"/>
      <c r="AC66" s="61"/>
      <c r="AD66" s="66"/>
      <c r="AE66" s="61"/>
      <c r="AF66" s="61"/>
      <c r="AG66" s="66" t="e">
        <f t="shared" si="38"/>
        <v>#DIV/0!</v>
      </c>
      <c r="AH66" s="61">
        <f t="shared" si="39"/>
        <v>0</v>
      </c>
      <c r="AI66" s="61">
        <f t="shared" si="40"/>
        <v>0</v>
      </c>
      <c r="AJ66" s="66" t="e">
        <f t="shared" si="41"/>
        <v>#DIV/0!</v>
      </c>
      <c r="AK66" s="61"/>
      <c r="AL66" s="61"/>
      <c r="AM66" s="66" t="e">
        <f t="shared" si="42"/>
        <v>#DIV/0!</v>
      </c>
      <c r="AN66" s="61">
        <f t="shared" si="43"/>
        <v>0</v>
      </c>
      <c r="AO66" s="61">
        <f t="shared" si="44"/>
        <v>0</v>
      </c>
      <c r="AP66" s="66" t="e">
        <f t="shared" si="45"/>
        <v>#DIV/0!</v>
      </c>
      <c r="AQ66" s="67"/>
      <c r="AR66" s="67"/>
      <c r="AS66" s="66" t="e">
        <f t="shared" si="46"/>
        <v>#DIV/0!</v>
      </c>
      <c r="AT66" s="67">
        <f t="shared" si="47"/>
        <v>0</v>
      </c>
      <c r="AU66" s="67">
        <f t="shared" si="48"/>
        <v>0</v>
      </c>
      <c r="AV66" s="66" t="e">
        <f t="shared" si="49"/>
        <v>#DIV/0!</v>
      </c>
      <c r="AW66" s="61"/>
      <c r="AX66" s="61"/>
      <c r="AY66" s="66" t="e">
        <f t="shared" si="50"/>
        <v>#DIV/0!</v>
      </c>
      <c r="AZ66" s="61">
        <f t="shared" si="51"/>
        <v>0</v>
      </c>
      <c r="BA66" s="61">
        <f t="shared" si="52"/>
        <v>0</v>
      </c>
      <c r="BB66" s="66" t="e">
        <f t="shared" si="53"/>
        <v>#DIV/0!</v>
      </c>
      <c r="BC66" s="61"/>
      <c r="BD66" s="61"/>
      <c r="BE66" s="66" t="e">
        <f t="shared" si="54"/>
        <v>#DIV/0!</v>
      </c>
      <c r="BF66" s="61">
        <f t="shared" si="55"/>
        <v>0</v>
      </c>
      <c r="BG66" s="61">
        <f t="shared" si="56"/>
        <v>0</v>
      </c>
      <c r="BH66" s="66" t="e">
        <f t="shared" si="57"/>
        <v>#DIV/0!</v>
      </c>
      <c r="BI66" s="70"/>
      <c r="BJ66" s="61"/>
      <c r="BK66" s="61"/>
      <c r="BL66" s="61"/>
      <c r="BM66" s="71" t="e">
        <f t="shared" si="58"/>
        <v>#DIV/0!</v>
      </c>
    </row>
    <row r="67" spans="1:65" ht="12" customHeight="1">
      <c r="A67" s="52" t="s">
        <v>414</v>
      </c>
      <c r="B67" s="53" t="s">
        <v>414</v>
      </c>
      <c r="C67" s="60" t="s">
        <v>503</v>
      </c>
      <c r="D67" s="55" t="s">
        <v>84</v>
      </c>
      <c r="E67" s="55" t="s">
        <v>84</v>
      </c>
      <c r="F67" s="55" t="s">
        <v>420</v>
      </c>
      <c r="G67" s="55" t="s">
        <v>420</v>
      </c>
      <c r="H67" s="53" t="s">
        <v>421</v>
      </c>
      <c r="I67" s="53">
        <v>120</v>
      </c>
      <c r="J67" s="61"/>
      <c r="K67" s="61">
        <v>6740</v>
      </c>
      <c r="L67" s="66" t="e">
        <f>K67/J67-1</f>
        <v>#DIV/0!</v>
      </c>
      <c r="M67" s="61"/>
      <c r="N67" s="61">
        <v>38925</v>
      </c>
      <c r="O67" s="66" t="e">
        <f>N67/M67-1</f>
        <v>#DIV/0!</v>
      </c>
      <c r="P67" s="61">
        <f t="shared" ref="P67:Q71" si="59">M67+J67</f>
        <v>0</v>
      </c>
      <c r="Q67" s="61">
        <f t="shared" si="59"/>
        <v>45665</v>
      </c>
      <c r="R67" s="66" t="e">
        <f>Q67/P67-1</f>
        <v>#DIV/0!</v>
      </c>
      <c r="S67" s="67"/>
      <c r="T67" s="67">
        <v>56110</v>
      </c>
      <c r="U67" s="66" t="e">
        <f>T67/S67-1</f>
        <v>#DIV/0!</v>
      </c>
      <c r="V67" s="68">
        <f t="shared" ref="V67:W71" si="60">S67+P67</f>
        <v>0</v>
      </c>
      <c r="W67" s="68">
        <f t="shared" si="60"/>
        <v>101775</v>
      </c>
      <c r="X67" s="66" t="e">
        <f>W67/V67-1</f>
        <v>#DIV/0!</v>
      </c>
      <c r="Y67" s="61"/>
      <c r="Z67" s="61">
        <v>59624</v>
      </c>
      <c r="AA67" s="66" t="e">
        <f>Z67/Y67-1</f>
        <v>#DIV/0!</v>
      </c>
      <c r="AB67" s="61">
        <f t="shared" ref="AB67:AC71" si="61">Y67+V67</f>
        <v>0</v>
      </c>
      <c r="AC67" s="61">
        <f t="shared" si="61"/>
        <v>161399</v>
      </c>
      <c r="AD67" s="66" t="e">
        <f>AC67/AB67-1</f>
        <v>#DIV/0!</v>
      </c>
      <c r="AE67" s="61">
        <v>4500</v>
      </c>
      <c r="AF67" s="61">
        <v>32576</v>
      </c>
      <c r="AG67" s="66">
        <f t="shared" si="38"/>
        <v>6.2391111111111099</v>
      </c>
      <c r="AH67" s="61">
        <f t="shared" si="39"/>
        <v>4500</v>
      </c>
      <c r="AI67" s="61">
        <f t="shared" si="40"/>
        <v>193975</v>
      </c>
      <c r="AJ67" s="66">
        <f t="shared" si="41"/>
        <v>42.105555555555597</v>
      </c>
      <c r="AK67" s="61">
        <v>12300</v>
      </c>
      <c r="AL67" s="61">
        <v>70979</v>
      </c>
      <c r="AM67" s="66">
        <f t="shared" si="42"/>
        <v>4.7706504065040596</v>
      </c>
      <c r="AN67" s="61">
        <f t="shared" si="43"/>
        <v>16800</v>
      </c>
      <c r="AO67" s="61">
        <f t="shared" si="44"/>
        <v>264954</v>
      </c>
      <c r="AP67" s="66">
        <f t="shared" si="45"/>
        <v>14.7710714285714</v>
      </c>
      <c r="AQ67" s="67">
        <v>35850</v>
      </c>
      <c r="AR67" s="67">
        <v>17770</v>
      </c>
      <c r="AS67" s="66">
        <f t="shared" si="46"/>
        <v>-0.50432357043235698</v>
      </c>
      <c r="AT67" s="67">
        <f t="shared" si="47"/>
        <v>52650</v>
      </c>
      <c r="AU67" s="67">
        <f t="shared" si="48"/>
        <v>282724</v>
      </c>
      <c r="AV67" s="66">
        <f t="shared" si="49"/>
        <v>4.3698765432098803</v>
      </c>
      <c r="AW67" s="61">
        <v>28830</v>
      </c>
      <c r="AX67" s="61">
        <v>42102</v>
      </c>
      <c r="AY67" s="66">
        <f t="shared" si="50"/>
        <v>0.46035379812695099</v>
      </c>
      <c r="AZ67" s="61">
        <f t="shared" si="51"/>
        <v>81480</v>
      </c>
      <c r="BA67" s="61">
        <f t="shared" si="52"/>
        <v>324826</v>
      </c>
      <c r="BB67" s="66">
        <f t="shared" si="53"/>
        <v>2.9865733922434998</v>
      </c>
      <c r="BC67" s="61">
        <v>130174</v>
      </c>
      <c r="BD67" s="61">
        <v>24845</v>
      </c>
      <c r="BE67" s="66">
        <f t="shared" si="54"/>
        <v>-0.80914007405472699</v>
      </c>
      <c r="BF67" s="61">
        <f t="shared" si="55"/>
        <v>211654</v>
      </c>
      <c r="BG67" s="61">
        <f t="shared" si="56"/>
        <v>349671</v>
      </c>
      <c r="BH67" s="66">
        <f t="shared" si="57"/>
        <v>0.65208784147712795</v>
      </c>
      <c r="BI67" s="70">
        <v>240921.4</v>
      </c>
      <c r="BJ67" s="61">
        <v>102826</v>
      </c>
      <c r="BK67" s="61">
        <v>67749</v>
      </c>
      <c r="BL67" s="61">
        <v>623150.4</v>
      </c>
      <c r="BM67" s="71">
        <f t="shared" si="58"/>
        <v>0.2913925</v>
      </c>
    </row>
    <row r="68" spans="1:65" ht="12" customHeight="1">
      <c r="A68" s="52" t="s">
        <v>414</v>
      </c>
      <c r="B68" s="53" t="s">
        <v>414</v>
      </c>
      <c r="C68" s="60" t="s">
        <v>504</v>
      </c>
      <c r="D68" s="55" t="s">
        <v>61</v>
      </c>
      <c r="E68" s="55" t="s">
        <v>61</v>
      </c>
      <c r="F68" s="55" t="s">
        <v>420</v>
      </c>
      <c r="G68" s="55" t="s">
        <v>420</v>
      </c>
      <c r="H68" s="53" t="s">
        <v>421</v>
      </c>
      <c r="I68" s="53"/>
      <c r="J68" s="61"/>
      <c r="K68" s="61"/>
      <c r="L68" s="66" t="e">
        <f>K68/J68-1</f>
        <v>#DIV/0!</v>
      </c>
      <c r="M68" s="61"/>
      <c r="N68" s="61"/>
      <c r="O68" s="66" t="e">
        <f>N68/M68-1</f>
        <v>#DIV/0!</v>
      </c>
      <c r="P68" s="61">
        <f t="shared" si="59"/>
        <v>0</v>
      </c>
      <c r="Q68" s="61">
        <f t="shared" si="59"/>
        <v>0</v>
      </c>
      <c r="R68" s="66" t="e">
        <f>Q68/P68-1</f>
        <v>#DIV/0!</v>
      </c>
      <c r="S68" s="67"/>
      <c r="T68" s="67"/>
      <c r="U68" s="66" t="e">
        <f>T68/S68-1</f>
        <v>#DIV/0!</v>
      </c>
      <c r="V68" s="68">
        <f t="shared" si="60"/>
        <v>0</v>
      </c>
      <c r="W68" s="68">
        <f t="shared" si="60"/>
        <v>0</v>
      </c>
      <c r="X68" s="66" t="e">
        <f>W68/V68-1</f>
        <v>#DIV/0!</v>
      </c>
      <c r="Y68" s="61"/>
      <c r="Z68" s="61"/>
      <c r="AA68" s="66" t="e">
        <f>Z68/Y68-1</f>
        <v>#DIV/0!</v>
      </c>
      <c r="AB68" s="61">
        <f t="shared" si="61"/>
        <v>0</v>
      </c>
      <c r="AC68" s="61">
        <f t="shared" si="61"/>
        <v>0</v>
      </c>
      <c r="AD68" s="66" t="e">
        <f>AC68/AB68-1</f>
        <v>#DIV/0!</v>
      </c>
      <c r="AE68" s="61"/>
      <c r="AF68" s="61"/>
      <c r="AG68" s="66" t="e">
        <f t="shared" si="38"/>
        <v>#DIV/0!</v>
      </c>
      <c r="AH68" s="61">
        <f t="shared" si="39"/>
        <v>0</v>
      </c>
      <c r="AI68" s="61">
        <f t="shared" si="40"/>
        <v>0</v>
      </c>
      <c r="AJ68" s="66" t="e">
        <f t="shared" si="41"/>
        <v>#DIV/0!</v>
      </c>
      <c r="AK68" s="61">
        <v>10000</v>
      </c>
      <c r="AL68" s="61"/>
      <c r="AM68" s="66">
        <f t="shared" si="42"/>
        <v>-1</v>
      </c>
      <c r="AN68" s="61">
        <f t="shared" si="43"/>
        <v>10000</v>
      </c>
      <c r="AO68" s="61">
        <f t="shared" si="44"/>
        <v>0</v>
      </c>
      <c r="AP68" s="66">
        <f t="shared" si="45"/>
        <v>-1</v>
      </c>
      <c r="AQ68" s="67"/>
      <c r="AR68" s="67"/>
      <c r="AS68" s="66" t="e">
        <f t="shared" ref="AS68:AS84" si="62">AR68/AQ68-1</f>
        <v>#DIV/0!</v>
      </c>
      <c r="AT68" s="67">
        <f t="shared" ref="AT68:AT83" si="63">AQ68+AN68</f>
        <v>10000</v>
      </c>
      <c r="AU68" s="67">
        <f t="shared" ref="AU68:AU83" si="64">AR68+AO68</f>
        <v>0</v>
      </c>
      <c r="AV68" s="66">
        <f t="shared" ref="AV68:AV84" si="65">AU68/AT68-1</f>
        <v>-1</v>
      </c>
      <c r="AW68" s="61"/>
      <c r="AX68" s="61">
        <v>16200</v>
      </c>
      <c r="AY68" s="66" t="e">
        <f t="shared" ref="AY68:AY84" si="66">AX68/AW68-1</f>
        <v>#DIV/0!</v>
      </c>
      <c r="AZ68" s="61">
        <f t="shared" ref="AZ68:AZ83" si="67">AW68+AT68</f>
        <v>10000</v>
      </c>
      <c r="BA68" s="61">
        <f t="shared" ref="BA68:BA83" si="68">AX68+AU68</f>
        <v>16200</v>
      </c>
      <c r="BB68" s="66">
        <f t="shared" ref="BB68:BB84" si="69">BA68/AZ68-1</f>
        <v>0.62</v>
      </c>
      <c r="BC68" s="61"/>
      <c r="BD68" s="61"/>
      <c r="BE68" s="66" t="e">
        <f t="shared" ref="BE68:BE84" si="70">BD68/BC68-1</f>
        <v>#DIV/0!</v>
      </c>
      <c r="BF68" s="61">
        <f t="shared" ref="BF68:BF83" si="71">BC68+AZ68</f>
        <v>10000</v>
      </c>
      <c r="BG68" s="61">
        <f t="shared" ref="BG68:BG83" si="72">BD68+BA68</f>
        <v>16200</v>
      </c>
      <c r="BH68" s="66">
        <f t="shared" ref="BH68:BH84" si="73">BG68/BF68-1</f>
        <v>0.62</v>
      </c>
      <c r="BI68" s="70"/>
      <c r="BJ68" s="61"/>
      <c r="BK68" s="61"/>
      <c r="BL68" s="61">
        <v>10000</v>
      </c>
      <c r="BM68" s="71" t="e">
        <f t="shared" ref="BM68:BM84" si="74">BG68/10000/I68</f>
        <v>#DIV/0!</v>
      </c>
    </row>
    <row r="69" spans="1:65" ht="12" customHeight="1">
      <c r="A69" s="52" t="s">
        <v>414</v>
      </c>
      <c r="B69" s="53" t="s">
        <v>414</v>
      </c>
      <c r="C69" s="60" t="s">
        <v>505</v>
      </c>
      <c r="D69" s="55" t="s">
        <v>84</v>
      </c>
      <c r="E69" s="55" t="s">
        <v>84</v>
      </c>
      <c r="F69" s="181" t="s">
        <v>416</v>
      </c>
      <c r="G69" s="181" t="s">
        <v>416</v>
      </c>
      <c r="H69" s="53" t="s">
        <v>417</v>
      </c>
      <c r="I69" s="53"/>
      <c r="J69" s="61"/>
      <c r="K69" s="61"/>
      <c r="L69" s="66" t="e">
        <f>K69/J69-1</f>
        <v>#DIV/0!</v>
      </c>
      <c r="M69" s="61"/>
      <c r="N69" s="61"/>
      <c r="O69" s="66" t="e">
        <f>N69/M69-1</f>
        <v>#DIV/0!</v>
      </c>
      <c r="P69" s="61">
        <f t="shared" si="59"/>
        <v>0</v>
      </c>
      <c r="Q69" s="61">
        <f t="shared" si="59"/>
        <v>0</v>
      </c>
      <c r="R69" s="66" t="e">
        <f>Q69/P69-1</f>
        <v>#DIV/0!</v>
      </c>
      <c r="S69" s="67"/>
      <c r="T69" s="67"/>
      <c r="U69" s="66" t="e">
        <f>T69/S69-1</f>
        <v>#DIV/0!</v>
      </c>
      <c r="V69" s="68">
        <f t="shared" si="60"/>
        <v>0</v>
      </c>
      <c r="W69" s="68">
        <f t="shared" si="60"/>
        <v>0</v>
      </c>
      <c r="X69" s="66" t="e">
        <f>W69/V69-1</f>
        <v>#DIV/0!</v>
      </c>
      <c r="Y69" s="61"/>
      <c r="Z69" s="61"/>
      <c r="AA69" s="66" t="e">
        <f>Z69/Y69-1</f>
        <v>#DIV/0!</v>
      </c>
      <c r="AB69" s="61">
        <f t="shared" si="61"/>
        <v>0</v>
      </c>
      <c r="AC69" s="61">
        <f t="shared" si="61"/>
        <v>0</v>
      </c>
      <c r="AD69" s="66" t="e">
        <f>AC69/AB69-1</f>
        <v>#DIV/0!</v>
      </c>
      <c r="AE69" s="61"/>
      <c r="AF69" s="61"/>
      <c r="AG69" s="66" t="e">
        <f t="shared" si="38"/>
        <v>#DIV/0!</v>
      </c>
      <c r="AH69" s="61">
        <f t="shared" si="39"/>
        <v>0</v>
      </c>
      <c r="AI69" s="61">
        <f t="shared" si="40"/>
        <v>0</v>
      </c>
      <c r="AJ69" s="66" t="e">
        <f t="shared" si="41"/>
        <v>#DIV/0!</v>
      </c>
      <c r="AK69" s="61">
        <v>2700</v>
      </c>
      <c r="AL69" s="61"/>
      <c r="AM69" s="66">
        <f t="shared" si="42"/>
        <v>-1</v>
      </c>
      <c r="AN69" s="61">
        <f t="shared" si="43"/>
        <v>2700</v>
      </c>
      <c r="AO69" s="61">
        <f t="shared" si="44"/>
        <v>0</v>
      </c>
      <c r="AP69" s="66">
        <f t="shared" si="45"/>
        <v>-1</v>
      </c>
      <c r="AQ69" s="67">
        <v>2900</v>
      </c>
      <c r="AR69" s="67"/>
      <c r="AS69" s="66">
        <f t="shared" si="62"/>
        <v>-1</v>
      </c>
      <c r="AT69" s="67">
        <f t="shared" si="63"/>
        <v>5600</v>
      </c>
      <c r="AU69" s="67">
        <f t="shared" si="64"/>
        <v>0</v>
      </c>
      <c r="AV69" s="66">
        <f t="shared" si="65"/>
        <v>-1</v>
      </c>
      <c r="AW69" s="61">
        <v>30150</v>
      </c>
      <c r="AX69" s="61"/>
      <c r="AY69" s="66">
        <f t="shared" si="66"/>
        <v>-1</v>
      </c>
      <c r="AZ69" s="61">
        <f t="shared" si="67"/>
        <v>35750</v>
      </c>
      <c r="BA69" s="61">
        <f t="shared" si="68"/>
        <v>0</v>
      </c>
      <c r="BB69" s="66">
        <f t="shared" si="69"/>
        <v>-1</v>
      </c>
      <c r="BC69" s="61">
        <v>77941</v>
      </c>
      <c r="BD69" s="61"/>
      <c r="BE69" s="66">
        <f t="shared" si="70"/>
        <v>-1</v>
      </c>
      <c r="BF69" s="61">
        <f t="shared" si="71"/>
        <v>113691</v>
      </c>
      <c r="BG69" s="61">
        <f t="shared" si="72"/>
        <v>0</v>
      </c>
      <c r="BH69" s="66">
        <f t="shared" si="73"/>
        <v>-1</v>
      </c>
      <c r="BI69" s="70">
        <v>169211</v>
      </c>
      <c r="BJ69" s="61">
        <v>0</v>
      </c>
      <c r="BK69" s="61"/>
      <c r="BL69" s="61">
        <v>282902</v>
      </c>
      <c r="BM69" s="71" t="e">
        <f t="shared" si="74"/>
        <v>#DIV/0!</v>
      </c>
    </row>
    <row r="70" spans="1:65" ht="12" customHeight="1">
      <c r="A70" s="52" t="s">
        <v>414</v>
      </c>
      <c r="B70" s="53" t="s">
        <v>414</v>
      </c>
      <c r="C70" s="60" t="s">
        <v>506</v>
      </c>
      <c r="D70" s="55" t="s">
        <v>65</v>
      </c>
      <c r="E70" s="55" t="s">
        <v>65</v>
      </c>
      <c r="F70" s="181" t="s">
        <v>416</v>
      </c>
      <c r="G70" s="181" t="s">
        <v>416</v>
      </c>
      <c r="H70" s="53" t="s">
        <v>417</v>
      </c>
      <c r="I70" s="53">
        <v>80</v>
      </c>
      <c r="J70" s="61"/>
      <c r="K70" s="61">
        <v>82267</v>
      </c>
      <c r="L70" s="66" t="e">
        <f>K70/J70-1</f>
        <v>#DIV/0!</v>
      </c>
      <c r="M70" s="61"/>
      <c r="N70" s="61">
        <v>58370</v>
      </c>
      <c r="O70" s="66" t="e">
        <f>N70/M70-1</f>
        <v>#DIV/0!</v>
      </c>
      <c r="P70" s="61">
        <f t="shared" si="59"/>
        <v>0</v>
      </c>
      <c r="Q70" s="61">
        <f t="shared" si="59"/>
        <v>140637</v>
      </c>
      <c r="R70" s="66" t="e">
        <f>Q70/P70-1</f>
        <v>#DIV/0!</v>
      </c>
      <c r="S70" s="67"/>
      <c r="T70" s="67">
        <v>173051.5</v>
      </c>
      <c r="U70" s="66" t="e">
        <f>T70/S70-1</f>
        <v>#DIV/0!</v>
      </c>
      <c r="V70" s="68">
        <f t="shared" si="60"/>
        <v>0</v>
      </c>
      <c r="W70" s="68">
        <f t="shared" si="60"/>
        <v>313688.5</v>
      </c>
      <c r="X70" s="66" t="e">
        <f>W70/V70-1</f>
        <v>#DIV/0!</v>
      </c>
      <c r="Y70" s="61"/>
      <c r="Z70" s="61">
        <v>162945</v>
      </c>
      <c r="AA70" s="66" t="e">
        <f>Z70/Y70-1</f>
        <v>#DIV/0!</v>
      </c>
      <c r="AB70" s="61">
        <f t="shared" si="61"/>
        <v>0</v>
      </c>
      <c r="AC70" s="61">
        <f t="shared" si="61"/>
        <v>476633.5</v>
      </c>
      <c r="AD70" s="66" t="e">
        <f>AC70/AB70-1</f>
        <v>#DIV/0!</v>
      </c>
      <c r="AE70" s="61"/>
      <c r="AF70" s="61">
        <v>128305.5</v>
      </c>
      <c r="AG70" s="66" t="e">
        <f t="shared" si="38"/>
        <v>#DIV/0!</v>
      </c>
      <c r="AH70" s="61">
        <f t="shared" si="39"/>
        <v>0</v>
      </c>
      <c r="AI70" s="61">
        <f t="shared" si="40"/>
        <v>604939</v>
      </c>
      <c r="AJ70" s="66" t="e">
        <f t="shared" si="41"/>
        <v>#DIV/0!</v>
      </c>
      <c r="AK70" s="61"/>
      <c r="AL70" s="61">
        <v>186310.5</v>
      </c>
      <c r="AM70" s="66" t="e">
        <f t="shared" si="42"/>
        <v>#DIV/0!</v>
      </c>
      <c r="AN70" s="61">
        <f t="shared" si="43"/>
        <v>0</v>
      </c>
      <c r="AO70" s="61">
        <f t="shared" si="44"/>
        <v>791249.5</v>
      </c>
      <c r="AP70" s="66" t="e">
        <f t="shared" si="45"/>
        <v>#DIV/0!</v>
      </c>
      <c r="AQ70" s="67"/>
      <c r="AR70" s="67">
        <v>121999</v>
      </c>
      <c r="AS70" s="66" t="e">
        <f t="shared" si="62"/>
        <v>#DIV/0!</v>
      </c>
      <c r="AT70" s="67">
        <f t="shared" si="63"/>
        <v>0</v>
      </c>
      <c r="AU70" s="67">
        <f t="shared" si="64"/>
        <v>913248.5</v>
      </c>
      <c r="AV70" s="66" t="e">
        <f t="shared" si="65"/>
        <v>#DIV/0!</v>
      </c>
      <c r="AW70" s="61"/>
      <c r="AX70" s="61">
        <v>192638</v>
      </c>
      <c r="AY70" s="66" t="e">
        <f t="shared" si="66"/>
        <v>#DIV/0!</v>
      </c>
      <c r="AZ70" s="61">
        <f t="shared" si="67"/>
        <v>0</v>
      </c>
      <c r="BA70" s="61">
        <f t="shared" si="68"/>
        <v>1105886.5</v>
      </c>
      <c r="BB70" s="66" t="e">
        <f t="shared" si="69"/>
        <v>#DIV/0!</v>
      </c>
      <c r="BC70" s="61"/>
      <c r="BD70" s="61">
        <v>162935.56</v>
      </c>
      <c r="BE70" s="66" t="e">
        <f t="shared" si="70"/>
        <v>#DIV/0!</v>
      </c>
      <c r="BF70" s="61">
        <f t="shared" si="71"/>
        <v>0</v>
      </c>
      <c r="BG70" s="61">
        <f t="shared" si="72"/>
        <v>1268822.06</v>
      </c>
      <c r="BH70" s="66" t="e">
        <f t="shared" si="73"/>
        <v>#DIV/0!</v>
      </c>
      <c r="BI70" s="70"/>
      <c r="BJ70" s="61">
        <v>188546.2</v>
      </c>
      <c r="BK70" s="61">
        <v>267247.95</v>
      </c>
      <c r="BL70" s="61">
        <v>455794.15</v>
      </c>
      <c r="BM70" s="71">
        <f t="shared" si="74"/>
        <v>1.5860275749999999</v>
      </c>
    </row>
    <row r="71" spans="1:65" ht="12" customHeight="1">
      <c r="A71" s="52" t="s">
        <v>414</v>
      </c>
      <c r="B71" s="53" t="s">
        <v>414</v>
      </c>
      <c r="C71" s="60" t="s">
        <v>119</v>
      </c>
      <c r="D71" s="55" t="s">
        <v>61</v>
      </c>
      <c r="E71" s="55" t="s">
        <v>61</v>
      </c>
      <c r="F71" s="55" t="s">
        <v>428</v>
      </c>
      <c r="G71" s="55"/>
      <c r="H71" s="53" t="s">
        <v>417</v>
      </c>
      <c r="I71" s="53"/>
      <c r="J71" s="61"/>
      <c r="K71" s="61"/>
      <c r="L71" s="66" t="e">
        <f>K71/J71-1</f>
        <v>#DIV/0!</v>
      </c>
      <c r="M71" s="61"/>
      <c r="N71" s="61"/>
      <c r="O71" s="66" t="e">
        <f>N71/M71-1</f>
        <v>#DIV/0!</v>
      </c>
      <c r="P71" s="61">
        <f t="shared" si="59"/>
        <v>0</v>
      </c>
      <c r="Q71" s="61">
        <f t="shared" si="59"/>
        <v>0</v>
      </c>
      <c r="R71" s="66" t="e">
        <f>Q71/P71-1</f>
        <v>#DIV/0!</v>
      </c>
      <c r="S71" s="67"/>
      <c r="T71" s="67"/>
      <c r="U71" s="66" t="e">
        <f>T71/S71-1</f>
        <v>#DIV/0!</v>
      </c>
      <c r="V71" s="68">
        <f t="shared" si="60"/>
        <v>0</v>
      </c>
      <c r="W71" s="68">
        <f t="shared" si="60"/>
        <v>0</v>
      </c>
      <c r="X71" s="66" t="e">
        <f>W71/V71-1</f>
        <v>#DIV/0!</v>
      </c>
      <c r="Y71" s="61"/>
      <c r="Z71" s="61"/>
      <c r="AA71" s="66" t="e">
        <f>Z71/Y71-1</f>
        <v>#DIV/0!</v>
      </c>
      <c r="AB71" s="61">
        <f t="shared" si="61"/>
        <v>0</v>
      </c>
      <c r="AC71" s="61">
        <f t="shared" si="61"/>
        <v>0</v>
      </c>
      <c r="AD71" s="66" t="e">
        <f>AC71/AB71-1</f>
        <v>#DIV/0!</v>
      </c>
      <c r="AE71" s="61"/>
      <c r="AF71" s="61"/>
      <c r="AG71" s="66" t="e">
        <f t="shared" si="38"/>
        <v>#DIV/0!</v>
      </c>
      <c r="AH71" s="61">
        <f t="shared" si="39"/>
        <v>0</v>
      </c>
      <c r="AI71" s="61">
        <f t="shared" si="40"/>
        <v>0</v>
      </c>
      <c r="AJ71" s="66" t="e">
        <f t="shared" si="41"/>
        <v>#DIV/0!</v>
      </c>
      <c r="AK71" s="61"/>
      <c r="AL71" s="61"/>
      <c r="AM71" s="66" t="e">
        <f t="shared" si="42"/>
        <v>#DIV/0!</v>
      </c>
      <c r="AN71" s="61">
        <f t="shared" si="43"/>
        <v>0</v>
      </c>
      <c r="AO71" s="61">
        <f t="shared" si="44"/>
        <v>0</v>
      </c>
      <c r="AP71" s="66" t="e">
        <f t="shared" si="45"/>
        <v>#DIV/0!</v>
      </c>
      <c r="AQ71" s="67"/>
      <c r="AR71" s="67"/>
      <c r="AS71" s="66" t="e">
        <f t="shared" si="62"/>
        <v>#DIV/0!</v>
      </c>
      <c r="AT71" s="67">
        <f t="shared" si="63"/>
        <v>0</v>
      </c>
      <c r="AU71" s="67">
        <f t="shared" si="64"/>
        <v>0</v>
      </c>
      <c r="AV71" s="66" t="e">
        <f t="shared" si="65"/>
        <v>#DIV/0!</v>
      </c>
      <c r="AW71" s="61"/>
      <c r="AX71" s="61"/>
      <c r="AY71" s="66" t="e">
        <f t="shared" si="66"/>
        <v>#DIV/0!</v>
      </c>
      <c r="AZ71" s="61">
        <f t="shared" si="67"/>
        <v>0</v>
      </c>
      <c r="BA71" s="61">
        <f t="shared" si="68"/>
        <v>0</v>
      </c>
      <c r="BB71" s="66" t="e">
        <f t="shared" si="69"/>
        <v>#DIV/0!</v>
      </c>
      <c r="BC71" s="61">
        <v>1859.2</v>
      </c>
      <c r="BD71" s="61"/>
      <c r="BE71" s="66">
        <f t="shared" si="70"/>
        <v>-1</v>
      </c>
      <c r="BF71" s="61">
        <f t="shared" si="71"/>
        <v>1859.2</v>
      </c>
      <c r="BG71" s="61">
        <f t="shared" si="72"/>
        <v>0</v>
      </c>
      <c r="BH71" s="66">
        <f t="shared" si="73"/>
        <v>-1</v>
      </c>
      <c r="BI71" s="70">
        <v>4397.67</v>
      </c>
      <c r="BJ71" s="61"/>
      <c r="BK71" s="61">
        <v>11711.6</v>
      </c>
      <c r="BL71" s="61">
        <v>17968.47</v>
      </c>
      <c r="BM71" s="71" t="e">
        <f t="shared" si="74"/>
        <v>#DIV/0!</v>
      </c>
    </row>
    <row r="72" spans="1:65" ht="12" customHeight="1">
      <c r="A72" s="52" t="s">
        <v>414</v>
      </c>
      <c r="B72" s="53" t="s">
        <v>414</v>
      </c>
      <c r="C72" s="60" t="s">
        <v>507</v>
      </c>
      <c r="D72" s="55" t="s">
        <v>61</v>
      </c>
      <c r="E72" s="55" t="s">
        <v>61</v>
      </c>
      <c r="F72" s="55" t="s">
        <v>481</v>
      </c>
      <c r="G72" s="55"/>
      <c r="H72" s="53" t="s">
        <v>457</v>
      </c>
      <c r="I72" s="53">
        <v>40</v>
      </c>
      <c r="J72" s="61"/>
      <c r="K72" s="61"/>
      <c r="L72" s="66"/>
      <c r="M72" s="61"/>
      <c r="N72" s="61"/>
      <c r="O72" s="66"/>
      <c r="P72" s="61"/>
      <c r="Q72" s="61"/>
      <c r="R72" s="66"/>
      <c r="S72" s="67"/>
      <c r="T72" s="67"/>
      <c r="U72" s="66"/>
      <c r="V72" s="68"/>
      <c r="W72" s="68"/>
      <c r="X72" s="66"/>
      <c r="Y72" s="61"/>
      <c r="Z72" s="61"/>
      <c r="AA72" s="66"/>
      <c r="AB72" s="61"/>
      <c r="AC72" s="61"/>
      <c r="AD72" s="66"/>
      <c r="AE72" s="61"/>
      <c r="AF72" s="61"/>
      <c r="AG72" s="66" t="e">
        <f t="shared" si="38"/>
        <v>#DIV/0!</v>
      </c>
      <c r="AH72" s="61">
        <f t="shared" si="39"/>
        <v>0</v>
      </c>
      <c r="AI72" s="61">
        <f t="shared" si="40"/>
        <v>0</v>
      </c>
      <c r="AJ72" s="66" t="e">
        <f t="shared" si="41"/>
        <v>#DIV/0!</v>
      </c>
      <c r="AK72" s="61"/>
      <c r="AL72" s="61"/>
      <c r="AM72" s="66" t="e">
        <f t="shared" si="42"/>
        <v>#DIV/0!</v>
      </c>
      <c r="AN72" s="61">
        <f t="shared" si="43"/>
        <v>0</v>
      </c>
      <c r="AO72" s="61">
        <f t="shared" si="44"/>
        <v>0</v>
      </c>
      <c r="AP72" s="66" t="e">
        <f t="shared" si="45"/>
        <v>#DIV/0!</v>
      </c>
      <c r="AQ72" s="67"/>
      <c r="AR72" s="67"/>
      <c r="AS72" s="66" t="e">
        <f t="shared" si="62"/>
        <v>#DIV/0!</v>
      </c>
      <c r="AT72" s="67">
        <f t="shared" si="63"/>
        <v>0</v>
      </c>
      <c r="AU72" s="67">
        <f t="shared" si="64"/>
        <v>0</v>
      </c>
      <c r="AV72" s="66" t="e">
        <f t="shared" si="65"/>
        <v>#DIV/0!</v>
      </c>
      <c r="AW72" s="61"/>
      <c r="AX72" s="61"/>
      <c r="AY72" s="66" t="e">
        <f t="shared" si="66"/>
        <v>#DIV/0!</v>
      </c>
      <c r="AZ72" s="61">
        <f t="shared" si="67"/>
        <v>0</v>
      </c>
      <c r="BA72" s="61">
        <f t="shared" si="68"/>
        <v>0</v>
      </c>
      <c r="BB72" s="66" t="e">
        <f t="shared" si="69"/>
        <v>#DIV/0!</v>
      </c>
      <c r="BC72" s="61"/>
      <c r="BD72" s="61"/>
      <c r="BE72" s="66" t="e">
        <f t="shared" si="70"/>
        <v>#DIV/0!</v>
      </c>
      <c r="BF72" s="61">
        <f t="shared" si="71"/>
        <v>0</v>
      </c>
      <c r="BG72" s="61">
        <f t="shared" si="72"/>
        <v>0</v>
      </c>
      <c r="BH72" s="66" t="e">
        <f t="shared" si="73"/>
        <v>#DIV/0!</v>
      </c>
      <c r="BI72" s="70"/>
      <c r="BJ72" s="61"/>
      <c r="BK72" s="61"/>
      <c r="BL72" s="61"/>
      <c r="BM72" s="71">
        <f t="shared" si="74"/>
        <v>0</v>
      </c>
    </row>
    <row r="73" spans="1:65" ht="12" customHeight="1">
      <c r="A73" s="52" t="s">
        <v>414</v>
      </c>
      <c r="B73" s="53" t="s">
        <v>414</v>
      </c>
      <c r="C73" s="60" t="s">
        <v>508</v>
      </c>
      <c r="D73" s="55" t="s">
        <v>61</v>
      </c>
      <c r="E73" s="55" t="s">
        <v>61</v>
      </c>
      <c r="F73" s="55" t="s">
        <v>481</v>
      </c>
      <c r="G73" s="55"/>
      <c r="H73" s="53" t="s">
        <v>457</v>
      </c>
      <c r="I73" s="53">
        <v>0</v>
      </c>
      <c r="J73" s="61"/>
      <c r="K73" s="61"/>
      <c r="L73" s="66"/>
      <c r="M73" s="61"/>
      <c r="N73" s="61"/>
      <c r="O73" s="66"/>
      <c r="P73" s="61"/>
      <c r="Q73" s="61"/>
      <c r="R73" s="66"/>
      <c r="S73" s="67"/>
      <c r="T73" s="67"/>
      <c r="U73" s="66"/>
      <c r="V73" s="68"/>
      <c r="W73" s="68"/>
      <c r="X73" s="66"/>
      <c r="Y73" s="61"/>
      <c r="Z73" s="61"/>
      <c r="AA73" s="66"/>
      <c r="AB73" s="61"/>
      <c r="AC73" s="61"/>
      <c r="AD73" s="66"/>
      <c r="AE73" s="61"/>
      <c r="AF73" s="61"/>
      <c r="AG73" s="66" t="e">
        <f t="shared" si="38"/>
        <v>#DIV/0!</v>
      </c>
      <c r="AH73" s="61">
        <f t="shared" si="39"/>
        <v>0</v>
      </c>
      <c r="AI73" s="61">
        <f t="shared" si="40"/>
        <v>0</v>
      </c>
      <c r="AJ73" s="66" t="e">
        <f t="shared" si="41"/>
        <v>#DIV/0!</v>
      </c>
      <c r="AK73" s="61"/>
      <c r="AL73" s="61"/>
      <c r="AM73" s="66" t="e">
        <f t="shared" si="42"/>
        <v>#DIV/0!</v>
      </c>
      <c r="AN73" s="61">
        <f t="shared" si="43"/>
        <v>0</v>
      </c>
      <c r="AO73" s="61">
        <f t="shared" si="44"/>
        <v>0</v>
      </c>
      <c r="AP73" s="66" t="e">
        <f t="shared" si="45"/>
        <v>#DIV/0!</v>
      </c>
      <c r="AQ73" s="67"/>
      <c r="AR73" s="67"/>
      <c r="AS73" s="66" t="e">
        <f t="shared" si="62"/>
        <v>#DIV/0!</v>
      </c>
      <c r="AT73" s="67">
        <f t="shared" si="63"/>
        <v>0</v>
      </c>
      <c r="AU73" s="67">
        <f t="shared" si="64"/>
        <v>0</v>
      </c>
      <c r="AV73" s="66" t="e">
        <f t="shared" si="65"/>
        <v>#DIV/0!</v>
      </c>
      <c r="AW73" s="61"/>
      <c r="AX73" s="61"/>
      <c r="AY73" s="66" t="e">
        <f t="shared" si="66"/>
        <v>#DIV/0!</v>
      </c>
      <c r="AZ73" s="61">
        <f t="shared" si="67"/>
        <v>0</v>
      </c>
      <c r="BA73" s="61">
        <f t="shared" si="68"/>
        <v>0</v>
      </c>
      <c r="BB73" s="66" t="e">
        <f t="shared" si="69"/>
        <v>#DIV/0!</v>
      </c>
      <c r="BC73" s="61"/>
      <c r="BD73" s="61"/>
      <c r="BE73" s="66" t="e">
        <f t="shared" si="70"/>
        <v>#DIV/0!</v>
      </c>
      <c r="BF73" s="61">
        <f t="shared" si="71"/>
        <v>0</v>
      </c>
      <c r="BG73" s="61">
        <f t="shared" si="72"/>
        <v>0</v>
      </c>
      <c r="BH73" s="66" t="e">
        <f t="shared" si="73"/>
        <v>#DIV/0!</v>
      </c>
      <c r="BI73" s="70"/>
      <c r="BJ73" s="61"/>
      <c r="BK73" s="61"/>
      <c r="BL73" s="61"/>
      <c r="BM73" s="71" t="e">
        <f t="shared" si="74"/>
        <v>#DIV/0!</v>
      </c>
    </row>
    <row r="74" spans="1:65" ht="12" customHeight="1">
      <c r="A74" s="52" t="s">
        <v>414</v>
      </c>
      <c r="B74" s="53" t="s">
        <v>414</v>
      </c>
      <c r="C74" s="60" t="s">
        <v>509</v>
      </c>
      <c r="D74" s="55" t="s">
        <v>61</v>
      </c>
      <c r="E74" s="55" t="s">
        <v>61</v>
      </c>
      <c r="F74" s="181" t="s">
        <v>416</v>
      </c>
      <c r="G74" s="181" t="s">
        <v>416</v>
      </c>
      <c r="H74" s="53" t="s">
        <v>417</v>
      </c>
      <c r="I74" s="53">
        <v>10</v>
      </c>
      <c r="J74" s="61"/>
      <c r="K74" s="61"/>
      <c r="L74" s="66" t="e">
        <f>K74/J74-1</f>
        <v>#DIV/0!</v>
      </c>
      <c r="M74" s="61"/>
      <c r="N74" s="61"/>
      <c r="O74" s="66" t="e">
        <f>N74/M74-1</f>
        <v>#DIV/0!</v>
      </c>
      <c r="P74" s="61">
        <f>M74+J74</f>
        <v>0</v>
      </c>
      <c r="Q74" s="61">
        <f>N74+K74</f>
        <v>0</v>
      </c>
      <c r="R74" s="66" t="e">
        <f>Q74/P74-1</f>
        <v>#DIV/0!</v>
      </c>
      <c r="S74" s="67"/>
      <c r="T74" s="67"/>
      <c r="U74" s="66" t="e">
        <f>T74/S74-1</f>
        <v>#DIV/0!</v>
      </c>
      <c r="V74" s="68">
        <f>S74+P74</f>
        <v>0</v>
      </c>
      <c r="W74" s="68">
        <f>T74+Q74</f>
        <v>0</v>
      </c>
      <c r="X74" s="66" t="e">
        <f>W74/V74-1</f>
        <v>#DIV/0!</v>
      </c>
      <c r="Y74" s="61"/>
      <c r="Z74" s="61"/>
      <c r="AA74" s="66" t="e">
        <f>Z74/Y74-1</f>
        <v>#DIV/0!</v>
      </c>
      <c r="AB74" s="61">
        <f>Y74+V74</f>
        <v>0</v>
      </c>
      <c r="AC74" s="61">
        <f>Z74+W74</f>
        <v>0</v>
      </c>
      <c r="AD74" s="66" t="e">
        <f>AC74/AB74-1</f>
        <v>#DIV/0!</v>
      </c>
      <c r="AE74" s="61"/>
      <c r="AF74" s="61"/>
      <c r="AG74" s="66" t="e">
        <f t="shared" si="38"/>
        <v>#DIV/0!</v>
      </c>
      <c r="AH74" s="61">
        <f t="shared" si="39"/>
        <v>0</v>
      </c>
      <c r="AI74" s="61">
        <f t="shared" si="40"/>
        <v>0</v>
      </c>
      <c r="AJ74" s="66" t="e">
        <f t="shared" si="41"/>
        <v>#DIV/0!</v>
      </c>
      <c r="AK74" s="61"/>
      <c r="AL74" s="61"/>
      <c r="AM74" s="66" t="e">
        <f t="shared" si="42"/>
        <v>#DIV/0!</v>
      </c>
      <c r="AN74" s="61">
        <f t="shared" si="43"/>
        <v>0</v>
      </c>
      <c r="AO74" s="61">
        <f t="shared" si="44"/>
        <v>0</v>
      </c>
      <c r="AP74" s="66" t="e">
        <f t="shared" si="45"/>
        <v>#DIV/0!</v>
      </c>
      <c r="AQ74" s="67"/>
      <c r="AR74" s="67"/>
      <c r="AS74" s="66" t="e">
        <f t="shared" si="62"/>
        <v>#DIV/0!</v>
      </c>
      <c r="AT74" s="67">
        <f t="shared" si="63"/>
        <v>0</v>
      </c>
      <c r="AU74" s="67">
        <f t="shared" si="64"/>
        <v>0</v>
      </c>
      <c r="AV74" s="66" t="e">
        <f t="shared" si="65"/>
        <v>#DIV/0!</v>
      </c>
      <c r="AW74" s="61"/>
      <c r="AX74" s="61"/>
      <c r="AY74" s="66" t="e">
        <f t="shared" si="66"/>
        <v>#DIV/0!</v>
      </c>
      <c r="AZ74" s="61">
        <f t="shared" si="67"/>
        <v>0</v>
      </c>
      <c r="BA74" s="61">
        <f t="shared" si="68"/>
        <v>0</v>
      </c>
      <c r="BB74" s="66" t="e">
        <f t="shared" si="69"/>
        <v>#DIV/0!</v>
      </c>
      <c r="BC74" s="61"/>
      <c r="BD74" s="61"/>
      <c r="BE74" s="66" t="e">
        <f t="shared" si="70"/>
        <v>#DIV/0!</v>
      </c>
      <c r="BF74" s="61">
        <f t="shared" si="71"/>
        <v>0</v>
      </c>
      <c r="BG74" s="61">
        <f t="shared" si="72"/>
        <v>0</v>
      </c>
      <c r="BH74" s="66" t="e">
        <f t="shared" si="73"/>
        <v>#DIV/0!</v>
      </c>
      <c r="BI74" s="70"/>
      <c r="BJ74" s="61">
        <v>2200</v>
      </c>
      <c r="BK74" s="61"/>
      <c r="BL74" s="61">
        <v>2200</v>
      </c>
      <c r="BM74" s="71">
        <f t="shared" si="74"/>
        <v>0</v>
      </c>
    </row>
    <row r="75" spans="1:65" ht="12" customHeight="1">
      <c r="A75" s="52" t="s">
        <v>414</v>
      </c>
      <c r="B75" s="53" t="s">
        <v>414</v>
      </c>
      <c r="C75" s="72" t="s">
        <v>510</v>
      </c>
      <c r="D75" s="55" t="s">
        <v>61</v>
      </c>
      <c r="E75" s="55" t="s">
        <v>61</v>
      </c>
      <c r="F75" s="55" t="s">
        <v>464</v>
      </c>
      <c r="G75" s="55"/>
      <c r="H75" s="53" t="s">
        <v>435</v>
      </c>
      <c r="I75" s="75">
        <v>20</v>
      </c>
      <c r="J75" s="61"/>
      <c r="K75" s="61"/>
      <c r="L75" s="66"/>
      <c r="M75" s="61"/>
      <c r="N75" s="61"/>
      <c r="O75" s="66"/>
      <c r="P75" s="61"/>
      <c r="Q75" s="61"/>
      <c r="R75" s="66"/>
      <c r="S75" s="67"/>
      <c r="T75" s="67"/>
      <c r="U75" s="66"/>
      <c r="V75" s="68"/>
      <c r="W75" s="68"/>
      <c r="X75" s="66"/>
      <c r="Y75" s="61"/>
      <c r="Z75" s="61"/>
      <c r="AA75" s="66"/>
      <c r="AB75" s="61"/>
      <c r="AC75" s="61"/>
      <c r="AD75" s="66"/>
      <c r="AE75" s="61"/>
      <c r="AF75" s="61"/>
      <c r="AG75" s="66" t="e">
        <f t="shared" si="38"/>
        <v>#DIV/0!</v>
      </c>
      <c r="AH75" s="61">
        <f t="shared" si="39"/>
        <v>0</v>
      </c>
      <c r="AI75" s="61">
        <f t="shared" si="40"/>
        <v>0</v>
      </c>
      <c r="AJ75" s="66" t="e">
        <f t="shared" si="41"/>
        <v>#DIV/0!</v>
      </c>
      <c r="AK75" s="61"/>
      <c r="AL75" s="61"/>
      <c r="AM75" s="66" t="e">
        <f t="shared" si="42"/>
        <v>#DIV/0!</v>
      </c>
      <c r="AN75" s="61">
        <f t="shared" si="43"/>
        <v>0</v>
      </c>
      <c r="AO75" s="61">
        <f t="shared" si="44"/>
        <v>0</v>
      </c>
      <c r="AP75" s="66" t="e">
        <f t="shared" si="45"/>
        <v>#DIV/0!</v>
      </c>
      <c r="AQ75" s="67"/>
      <c r="AR75" s="67"/>
      <c r="AS75" s="66" t="e">
        <f t="shared" si="62"/>
        <v>#DIV/0!</v>
      </c>
      <c r="AT75" s="67">
        <f t="shared" si="63"/>
        <v>0</v>
      </c>
      <c r="AU75" s="67">
        <f t="shared" si="64"/>
        <v>0</v>
      </c>
      <c r="AV75" s="66" t="e">
        <f t="shared" si="65"/>
        <v>#DIV/0!</v>
      </c>
      <c r="AW75" s="61"/>
      <c r="AX75" s="61"/>
      <c r="AY75" s="66" t="e">
        <f t="shared" si="66"/>
        <v>#DIV/0!</v>
      </c>
      <c r="AZ75" s="61">
        <f t="shared" si="67"/>
        <v>0</v>
      </c>
      <c r="BA75" s="61">
        <f t="shared" si="68"/>
        <v>0</v>
      </c>
      <c r="BB75" s="66" t="e">
        <f t="shared" si="69"/>
        <v>#DIV/0!</v>
      </c>
      <c r="BC75" s="61"/>
      <c r="BD75" s="61"/>
      <c r="BE75" s="66" t="e">
        <f t="shared" si="70"/>
        <v>#DIV/0!</v>
      </c>
      <c r="BF75" s="61">
        <f t="shared" si="71"/>
        <v>0</v>
      </c>
      <c r="BG75" s="61">
        <f t="shared" si="72"/>
        <v>0</v>
      </c>
      <c r="BH75" s="66" t="e">
        <f t="shared" si="73"/>
        <v>#DIV/0!</v>
      </c>
      <c r="BI75" s="70"/>
      <c r="BJ75" s="61"/>
      <c r="BK75" s="61"/>
      <c r="BL75" s="61"/>
      <c r="BM75" s="71">
        <f t="shared" si="74"/>
        <v>0</v>
      </c>
    </row>
    <row r="76" spans="1:65" ht="12" customHeight="1">
      <c r="A76" s="52" t="s">
        <v>414</v>
      </c>
      <c r="B76" s="53" t="s">
        <v>414</v>
      </c>
      <c r="C76" s="72" t="s">
        <v>511</v>
      </c>
      <c r="D76" s="55" t="s">
        <v>61</v>
      </c>
      <c r="E76" s="55" t="s">
        <v>61</v>
      </c>
      <c r="F76" s="55" t="s">
        <v>474</v>
      </c>
      <c r="G76" s="55"/>
      <c r="H76" s="53" t="s">
        <v>457</v>
      </c>
      <c r="I76" s="75">
        <v>10</v>
      </c>
      <c r="J76" s="61"/>
      <c r="K76" s="61"/>
      <c r="L76" s="66"/>
      <c r="M76" s="61"/>
      <c r="N76" s="61"/>
      <c r="O76" s="66"/>
      <c r="P76" s="61"/>
      <c r="Q76" s="61"/>
      <c r="R76" s="66"/>
      <c r="S76" s="67"/>
      <c r="T76" s="67"/>
      <c r="U76" s="66"/>
      <c r="V76" s="68"/>
      <c r="W76" s="68"/>
      <c r="X76" s="66"/>
      <c r="Y76" s="61"/>
      <c r="Z76" s="61"/>
      <c r="AA76" s="66"/>
      <c r="AB76" s="61"/>
      <c r="AC76" s="61"/>
      <c r="AD76" s="66"/>
      <c r="AE76" s="61"/>
      <c r="AF76" s="61"/>
      <c r="AG76" s="66" t="e">
        <f t="shared" si="38"/>
        <v>#DIV/0!</v>
      </c>
      <c r="AH76" s="61">
        <f t="shared" si="39"/>
        <v>0</v>
      </c>
      <c r="AI76" s="61">
        <f t="shared" si="40"/>
        <v>0</v>
      </c>
      <c r="AJ76" s="66" t="e">
        <f t="shared" si="41"/>
        <v>#DIV/0!</v>
      </c>
      <c r="AK76" s="61"/>
      <c r="AL76" s="61"/>
      <c r="AM76" s="66" t="e">
        <f t="shared" si="42"/>
        <v>#DIV/0!</v>
      </c>
      <c r="AN76" s="61">
        <f t="shared" si="43"/>
        <v>0</v>
      </c>
      <c r="AO76" s="61">
        <f t="shared" si="44"/>
        <v>0</v>
      </c>
      <c r="AP76" s="66" t="e">
        <f t="shared" si="45"/>
        <v>#DIV/0!</v>
      </c>
      <c r="AQ76" s="67"/>
      <c r="AR76" s="67">
        <v>18490</v>
      </c>
      <c r="AS76" s="66" t="e">
        <f t="shared" si="62"/>
        <v>#DIV/0!</v>
      </c>
      <c r="AT76" s="67">
        <f t="shared" si="63"/>
        <v>0</v>
      </c>
      <c r="AU76" s="67">
        <f t="shared" si="64"/>
        <v>18490</v>
      </c>
      <c r="AV76" s="66" t="e">
        <f t="shared" si="65"/>
        <v>#DIV/0!</v>
      </c>
      <c r="AW76" s="61"/>
      <c r="AX76" s="61">
        <v>3245</v>
      </c>
      <c r="AY76" s="66" t="e">
        <f t="shared" si="66"/>
        <v>#DIV/0!</v>
      </c>
      <c r="AZ76" s="61">
        <f t="shared" si="67"/>
        <v>0</v>
      </c>
      <c r="BA76" s="61">
        <f t="shared" si="68"/>
        <v>21735</v>
      </c>
      <c r="BB76" s="66" t="e">
        <f t="shared" si="69"/>
        <v>#DIV/0!</v>
      </c>
      <c r="BC76" s="61"/>
      <c r="BD76" s="61">
        <v>8850</v>
      </c>
      <c r="BE76" s="66" t="e">
        <f t="shared" si="70"/>
        <v>#DIV/0!</v>
      </c>
      <c r="BF76" s="61">
        <f t="shared" si="71"/>
        <v>0</v>
      </c>
      <c r="BG76" s="61">
        <f t="shared" si="72"/>
        <v>30585</v>
      </c>
      <c r="BH76" s="66" t="e">
        <f t="shared" si="73"/>
        <v>#DIV/0!</v>
      </c>
      <c r="BI76" s="70"/>
      <c r="BJ76" s="61"/>
      <c r="BK76" s="61"/>
      <c r="BL76" s="61"/>
      <c r="BM76" s="71">
        <f t="shared" si="74"/>
        <v>0.30585000000000001</v>
      </c>
    </row>
    <row r="77" spans="1:65" ht="12" customHeight="1">
      <c r="A77" s="52" t="s">
        <v>414</v>
      </c>
      <c r="B77" s="53" t="s">
        <v>414</v>
      </c>
      <c r="C77" s="72" t="s">
        <v>512</v>
      </c>
      <c r="D77" s="55" t="s">
        <v>84</v>
      </c>
      <c r="E77" s="55" t="s">
        <v>84</v>
      </c>
      <c r="F77" s="181" t="s">
        <v>434</v>
      </c>
      <c r="G77" s="182" t="s">
        <v>434</v>
      </c>
      <c r="H77" s="53" t="s">
        <v>435</v>
      </c>
      <c r="I77" s="75">
        <v>100</v>
      </c>
      <c r="J77" s="61"/>
      <c r="K77" s="61"/>
      <c r="L77" s="66"/>
      <c r="M77" s="61"/>
      <c r="N77" s="61"/>
      <c r="O77" s="66"/>
      <c r="P77" s="61"/>
      <c r="Q77" s="61"/>
      <c r="R77" s="66"/>
      <c r="S77" s="67"/>
      <c r="T77" s="67"/>
      <c r="U77" s="66"/>
      <c r="V77" s="68"/>
      <c r="W77" s="68"/>
      <c r="X77" s="66"/>
      <c r="Y77" s="61"/>
      <c r="Z77" s="61"/>
      <c r="AA77" s="66"/>
      <c r="AB77" s="61"/>
      <c r="AC77" s="61"/>
      <c r="AD77" s="66"/>
      <c r="AE77" s="61"/>
      <c r="AF77" s="61"/>
      <c r="AG77" s="66"/>
      <c r="AH77" s="61"/>
      <c r="AI77" s="61"/>
      <c r="AJ77" s="66"/>
      <c r="AK77" s="61"/>
      <c r="AL77" s="61">
        <v>39993.5</v>
      </c>
      <c r="AM77" s="66" t="e">
        <f t="shared" si="42"/>
        <v>#DIV/0!</v>
      </c>
      <c r="AN77" s="61">
        <f t="shared" si="43"/>
        <v>0</v>
      </c>
      <c r="AO77" s="61">
        <f t="shared" si="44"/>
        <v>39993.5</v>
      </c>
      <c r="AP77" s="66" t="e">
        <f t="shared" si="45"/>
        <v>#DIV/0!</v>
      </c>
      <c r="AQ77" s="67"/>
      <c r="AR77" s="67">
        <v>28649</v>
      </c>
      <c r="AS77" s="66" t="e">
        <f t="shared" si="62"/>
        <v>#DIV/0!</v>
      </c>
      <c r="AT77" s="67">
        <f t="shared" si="63"/>
        <v>0</v>
      </c>
      <c r="AU77" s="67">
        <f t="shared" si="64"/>
        <v>68642.5</v>
      </c>
      <c r="AV77" s="66" t="e">
        <f t="shared" si="65"/>
        <v>#DIV/0!</v>
      </c>
      <c r="AW77" s="61"/>
      <c r="AX77" s="61"/>
      <c r="AY77" s="66" t="e">
        <f t="shared" si="66"/>
        <v>#DIV/0!</v>
      </c>
      <c r="AZ77" s="61">
        <f t="shared" si="67"/>
        <v>0</v>
      </c>
      <c r="BA77" s="61">
        <f t="shared" si="68"/>
        <v>68642.5</v>
      </c>
      <c r="BB77" s="66" t="e">
        <f t="shared" si="69"/>
        <v>#DIV/0!</v>
      </c>
      <c r="BC77" s="61"/>
      <c r="BD77" s="61">
        <v>11548</v>
      </c>
      <c r="BE77" s="66" t="e">
        <f t="shared" si="70"/>
        <v>#DIV/0!</v>
      </c>
      <c r="BF77" s="61">
        <f t="shared" si="71"/>
        <v>0</v>
      </c>
      <c r="BG77" s="61">
        <f t="shared" si="72"/>
        <v>80190.5</v>
      </c>
      <c r="BH77" s="66" t="e">
        <f t="shared" si="73"/>
        <v>#DIV/0!</v>
      </c>
      <c r="BI77" s="70"/>
      <c r="BJ77" s="61"/>
      <c r="BK77" s="61"/>
      <c r="BL77" s="61"/>
      <c r="BM77" s="71">
        <f t="shared" si="74"/>
        <v>8.0190499999999998E-2</v>
      </c>
    </row>
    <row r="78" spans="1:65" ht="12" customHeight="1">
      <c r="A78" s="52" t="s">
        <v>414</v>
      </c>
      <c r="B78" s="53" t="s">
        <v>414</v>
      </c>
      <c r="C78" s="72" t="s">
        <v>513</v>
      </c>
      <c r="D78" s="55" t="s">
        <v>61</v>
      </c>
      <c r="E78" s="55" t="s">
        <v>61</v>
      </c>
      <c r="F78" s="55" t="s">
        <v>420</v>
      </c>
      <c r="G78" s="55"/>
      <c r="H78" s="53" t="s">
        <v>421</v>
      </c>
      <c r="I78" s="75">
        <v>10</v>
      </c>
      <c r="J78" s="61"/>
      <c r="K78" s="61"/>
      <c r="L78" s="66"/>
      <c r="M78" s="61"/>
      <c r="N78" s="61"/>
      <c r="O78" s="66"/>
      <c r="P78" s="61"/>
      <c r="Q78" s="61"/>
      <c r="R78" s="66"/>
      <c r="S78" s="67"/>
      <c r="T78" s="67"/>
      <c r="U78" s="66"/>
      <c r="V78" s="68"/>
      <c r="W78" s="68"/>
      <c r="X78" s="66"/>
      <c r="Y78" s="61"/>
      <c r="Z78" s="61"/>
      <c r="AA78" s="66"/>
      <c r="AB78" s="61"/>
      <c r="AC78" s="61"/>
      <c r="AD78" s="66"/>
      <c r="AE78" s="61"/>
      <c r="AF78" s="61"/>
      <c r="AG78" s="66" t="e">
        <f>AF78/AE78-1</f>
        <v>#DIV/0!</v>
      </c>
      <c r="AH78" s="61">
        <f>AE78+AB78</f>
        <v>0</v>
      </c>
      <c r="AI78" s="61">
        <f>AF78+AC78</f>
        <v>0</v>
      </c>
      <c r="AJ78" s="66" t="e">
        <f>AI78/AH78-1</f>
        <v>#DIV/0!</v>
      </c>
      <c r="AK78" s="61"/>
      <c r="AL78" s="61"/>
      <c r="AM78" s="66" t="e">
        <f t="shared" si="42"/>
        <v>#DIV/0!</v>
      </c>
      <c r="AN78" s="61">
        <f t="shared" si="43"/>
        <v>0</v>
      </c>
      <c r="AO78" s="61">
        <f t="shared" si="44"/>
        <v>0</v>
      </c>
      <c r="AP78" s="66" t="e">
        <f t="shared" si="45"/>
        <v>#DIV/0!</v>
      </c>
      <c r="AQ78" s="67"/>
      <c r="AR78" s="67"/>
      <c r="AS78" s="66" t="e">
        <f t="shared" si="62"/>
        <v>#DIV/0!</v>
      </c>
      <c r="AT78" s="67">
        <f t="shared" si="63"/>
        <v>0</v>
      </c>
      <c r="AU78" s="67">
        <f t="shared" si="64"/>
        <v>0</v>
      </c>
      <c r="AV78" s="66" t="e">
        <f t="shared" si="65"/>
        <v>#DIV/0!</v>
      </c>
      <c r="AW78" s="61"/>
      <c r="AX78" s="61"/>
      <c r="AY78" s="66" t="e">
        <f t="shared" si="66"/>
        <v>#DIV/0!</v>
      </c>
      <c r="AZ78" s="61">
        <f t="shared" si="67"/>
        <v>0</v>
      </c>
      <c r="BA78" s="61">
        <f t="shared" si="68"/>
        <v>0</v>
      </c>
      <c r="BB78" s="66" t="e">
        <f t="shared" si="69"/>
        <v>#DIV/0!</v>
      </c>
      <c r="BC78" s="61"/>
      <c r="BD78" s="61"/>
      <c r="BE78" s="66" t="e">
        <f t="shared" si="70"/>
        <v>#DIV/0!</v>
      </c>
      <c r="BF78" s="61">
        <f t="shared" si="71"/>
        <v>0</v>
      </c>
      <c r="BG78" s="61">
        <f t="shared" si="72"/>
        <v>0</v>
      </c>
      <c r="BH78" s="66" t="e">
        <f t="shared" si="73"/>
        <v>#DIV/0!</v>
      </c>
      <c r="BI78" s="70"/>
      <c r="BJ78" s="61"/>
      <c r="BK78" s="61"/>
      <c r="BL78" s="61"/>
      <c r="BM78" s="71">
        <f t="shared" si="74"/>
        <v>0</v>
      </c>
    </row>
    <row r="79" spans="1:65" ht="12" customHeight="1">
      <c r="A79" s="52" t="s">
        <v>414</v>
      </c>
      <c r="B79" s="53" t="s">
        <v>414</v>
      </c>
      <c r="C79" s="73" t="s">
        <v>514</v>
      </c>
      <c r="D79" s="55" t="s">
        <v>61</v>
      </c>
      <c r="E79" s="55" t="s">
        <v>61</v>
      </c>
      <c r="F79" s="55" t="s">
        <v>515</v>
      </c>
      <c r="G79" s="55"/>
      <c r="H79" s="53" t="s">
        <v>457</v>
      </c>
      <c r="I79" s="61">
        <v>10</v>
      </c>
      <c r="J79" s="61"/>
      <c r="K79" s="61"/>
      <c r="L79" s="66"/>
      <c r="M79" s="61"/>
      <c r="N79" s="61"/>
      <c r="O79" s="66"/>
      <c r="P79" s="61"/>
      <c r="Q79" s="61"/>
      <c r="R79" s="66"/>
      <c r="S79" s="67"/>
      <c r="T79" s="67"/>
      <c r="U79" s="66"/>
      <c r="V79" s="68"/>
      <c r="W79" s="68"/>
      <c r="X79" s="66"/>
      <c r="Y79" s="61"/>
      <c r="Z79" s="61"/>
      <c r="AA79" s="66"/>
      <c r="AB79" s="61"/>
      <c r="AC79" s="61"/>
      <c r="AD79" s="66"/>
      <c r="AE79" s="61"/>
      <c r="AF79" s="61"/>
      <c r="AG79" s="66"/>
      <c r="AH79" s="61"/>
      <c r="AI79" s="61"/>
      <c r="AJ79" s="66"/>
      <c r="AK79" s="61"/>
      <c r="AL79" s="61"/>
      <c r="AM79" s="66"/>
      <c r="AN79" s="61"/>
      <c r="AO79" s="61"/>
      <c r="AP79" s="66"/>
      <c r="AQ79" s="67"/>
      <c r="AR79" s="67">
        <v>21900</v>
      </c>
      <c r="AS79" s="66" t="e">
        <f t="shared" si="62"/>
        <v>#DIV/0!</v>
      </c>
      <c r="AT79" s="67">
        <f t="shared" si="63"/>
        <v>0</v>
      </c>
      <c r="AU79" s="67">
        <f t="shared" si="64"/>
        <v>21900</v>
      </c>
      <c r="AV79" s="66" t="e">
        <f t="shared" si="65"/>
        <v>#DIV/0!</v>
      </c>
      <c r="AW79" s="61"/>
      <c r="AX79" s="61"/>
      <c r="AY79" s="66" t="e">
        <f t="shared" si="66"/>
        <v>#DIV/0!</v>
      </c>
      <c r="AZ79" s="61">
        <f t="shared" si="67"/>
        <v>0</v>
      </c>
      <c r="BA79" s="61">
        <f t="shared" si="68"/>
        <v>21900</v>
      </c>
      <c r="BB79" s="66" t="e">
        <f t="shared" si="69"/>
        <v>#DIV/0!</v>
      </c>
      <c r="BC79" s="61"/>
      <c r="BD79" s="61"/>
      <c r="BE79" s="66" t="e">
        <f t="shared" si="70"/>
        <v>#DIV/0!</v>
      </c>
      <c r="BF79" s="61">
        <f t="shared" si="71"/>
        <v>0</v>
      </c>
      <c r="BG79" s="61">
        <f t="shared" si="72"/>
        <v>21900</v>
      </c>
      <c r="BH79" s="66" t="e">
        <f t="shared" si="73"/>
        <v>#DIV/0!</v>
      </c>
      <c r="BI79" s="70"/>
      <c r="BJ79" s="61"/>
      <c r="BK79" s="61"/>
      <c r="BL79" s="61"/>
      <c r="BM79" s="71">
        <f t="shared" si="74"/>
        <v>0.219</v>
      </c>
    </row>
    <row r="80" spans="1:65" ht="12" customHeight="1">
      <c r="A80" s="52" t="s">
        <v>414</v>
      </c>
      <c r="B80" s="53" t="s">
        <v>414</v>
      </c>
      <c r="C80" s="73" t="s">
        <v>516</v>
      </c>
      <c r="D80" s="55" t="s">
        <v>61</v>
      </c>
      <c r="E80" s="55" t="s">
        <v>61</v>
      </c>
      <c r="F80" s="55" t="s">
        <v>455</v>
      </c>
      <c r="G80" s="55"/>
      <c r="H80" s="53" t="s">
        <v>457</v>
      </c>
      <c r="I80" s="61">
        <v>10</v>
      </c>
      <c r="J80" s="61"/>
      <c r="K80" s="61"/>
      <c r="L80" s="66"/>
      <c r="M80" s="61"/>
      <c r="N80" s="61"/>
      <c r="O80" s="66"/>
      <c r="P80" s="61"/>
      <c r="Q80" s="61"/>
      <c r="R80" s="66"/>
      <c r="S80" s="67"/>
      <c r="T80" s="67"/>
      <c r="U80" s="66"/>
      <c r="V80" s="68"/>
      <c r="W80" s="68"/>
      <c r="X80" s="66"/>
      <c r="Y80" s="61"/>
      <c r="Z80" s="61"/>
      <c r="AA80" s="66"/>
      <c r="AB80" s="61"/>
      <c r="AC80" s="61"/>
      <c r="AD80" s="66"/>
      <c r="AE80" s="61"/>
      <c r="AF80" s="61"/>
      <c r="AG80" s="66"/>
      <c r="AH80" s="61"/>
      <c r="AI80" s="61"/>
      <c r="AJ80" s="66"/>
      <c r="AK80" s="61"/>
      <c r="AL80" s="61"/>
      <c r="AM80" s="66"/>
      <c r="AN80" s="61"/>
      <c r="AO80" s="61"/>
      <c r="AP80" s="66"/>
      <c r="AQ80" s="67"/>
      <c r="AR80" s="67">
        <v>110500</v>
      </c>
      <c r="AS80" s="66" t="e">
        <f t="shared" si="62"/>
        <v>#DIV/0!</v>
      </c>
      <c r="AT80" s="67">
        <f t="shared" si="63"/>
        <v>0</v>
      </c>
      <c r="AU80" s="67">
        <f t="shared" si="64"/>
        <v>110500</v>
      </c>
      <c r="AV80" s="66" t="e">
        <f t="shared" si="65"/>
        <v>#DIV/0!</v>
      </c>
      <c r="AW80" s="61"/>
      <c r="AX80" s="61"/>
      <c r="AY80" s="66" t="e">
        <f t="shared" si="66"/>
        <v>#DIV/0!</v>
      </c>
      <c r="AZ80" s="61">
        <f t="shared" si="67"/>
        <v>0</v>
      </c>
      <c r="BA80" s="61">
        <f t="shared" si="68"/>
        <v>110500</v>
      </c>
      <c r="BB80" s="66" t="e">
        <f t="shared" si="69"/>
        <v>#DIV/0!</v>
      </c>
      <c r="BC80" s="61"/>
      <c r="BD80" s="61"/>
      <c r="BE80" s="66" t="e">
        <f t="shared" si="70"/>
        <v>#DIV/0!</v>
      </c>
      <c r="BF80" s="61">
        <f t="shared" si="71"/>
        <v>0</v>
      </c>
      <c r="BG80" s="61">
        <f t="shared" si="72"/>
        <v>110500</v>
      </c>
      <c r="BH80" s="66" t="e">
        <f t="shared" si="73"/>
        <v>#DIV/0!</v>
      </c>
      <c r="BI80" s="70"/>
      <c r="BJ80" s="61"/>
      <c r="BK80" s="61"/>
      <c r="BL80" s="61"/>
      <c r="BM80" s="71">
        <f t="shared" si="74"/>
        <v>1.105</v>
      </c>
    </row>
    <row r="81" spans="1:65" ht="12" customHeight="1">
      <c r="A81" s="52" t="s">
        <v>414</v>
      </c>
      <c r="B81" s="53" t="s">
        <v>414</v>
      </c>
      <c r="C81" s="73" t="s">
        <v>517</v>
      </c>
      <c r="D81" s="55" t="s">
        <v>61</v>
      </c>
      <c r="E81" s="55" t="s">
        <v>61</v>
      </c>
      <c r="F81" s="55" t="s">
        <v>478</v>
      </c>
      <c r="G81" s="55"/>
      <c r="H81" s="53" t="s">
        <v>457</v>
      </c>
      <c r="I81" s="61">
        <v>10</v>
      </c>
      <c r="J81" s="61"/>
      <c r="K81" s="61"/>
      <c r="L81" s="66"/>
      <c r="M81" s="61"/>
      <c r="N81" s="61"/>
      <c r="O81" s="66"/>
      <c r="P81" s="61"/>
      <c r="Q81" s="61"/>
      <c r="R81" s="66"/>
      <c r="S81" s="67"/>
      <c r="T81" s="67"/>
      <c r="U81" s="66"/>
      <c r="V81" s="68"/>
      <c r="W81" s="68"/>
      <c r="X81" s="66"/>
      <c r="Y81" s="61"/>
      <c r="Z81" s="61"/>
      <c r="AA81" s="66"/>
      <c r="AB81" s="61"/>
      <c r="AC81" s="61"/>
      <c r="AD81" s="66"/>
      <c r="AE81" s="61"/>
      <c r="AF81" s="61"/>
      <c r="AG81" s="66"/>
      <c r="AH81" s="61"/>
      <c r="AI81" s="61"/>
      <c r="AJ81" s="66"/>
      <c r="AK81" s="61"/>
      <c r="AL81" s="61"/>
      <c r="AM81" s="66"/>
      <c r="AN81" s="61"/>
      <c r="AO81" s="61"/>
      <c r="AP81" s="66"/>
      <c r="AQ81" s="67"/>
      <c r="AR81" s="67">
        <v>55500</v>
      </c>
      <c r="AS81" s="66" t="e">
        <f t="shared" si="62"/>
        <v>#DIV/0!</v>
      </c>
      <c r="AT81" s="67">
        <f t="shared" si="63"/>
        <v>0</v>
      </c>
      <c r="AU81" s="67">
        <f t="shared" si="64"/>
        <v>55500</v>
      </c>
      <c r="AV81" s="66" t="e">
        <f t="shared" si="65"/>
        <v>#DIV/0!</v>
      </c>
      <c r="AW81" s="61"/>
      <c r="AX81" s="61">
        <v>1067</v>
      </c>
      <c r="AY81" s="66" t="e">
        <f t="shared" si="66"/>
        <v>#DIV/0!</v>
      </c>
      <c r="AZ81" s="61">
        <f t="shared" si="67"/>
        <v>0</v>
      </c>
      <c r="BA81" s="61">
        <f t="shared" si="68"/>
        <v>56567</v>
      </c>
      <c r="BB81" s="66" t="e">
        <f t="shared" si="69"/>
        <v>#DIV/0!</v>
      </c>
      <c r="BC81" s="61"/>
      <c r="BD81" s="61"/>
      <c r="BE81" s="66" t="e">
        <f t="shared" si="70"/>
        <v>#DIV/0!</v>
      </c>
      <c r="BF81" s="61">
        <f t="shared" si="71"/>
        <v>0</v>
      </c>
      <c r="BG81" s="61">
        <f t="shared" si="72"/>
        <v>56567</v>
      </c>
      <c r="BH81" s="66" t="e">
        <f t="shared" si="73"/>
        <v>#DIV/0!</v>
      </c>
      <c r="BI81" s="70"/>
      <c r="BJ81" s="61"/>
      <c r="BK81" s="61"/>
      <c r="BL81" s="61"/>
      <c r="BM81" s="71">
        <f t="shared" si="74"/>
        <v>0.56567000000000001</v>
      </c>
    </row>
    <row r="82" spans="1:65" ht="12" customHeight="1">
      <c r="A82" s="52" t="s">
        <v>414</v>
      </c>
      <c r="B82" s="53" t="s">
        <v>414</v>
      </c>
      <c r="C82" s="73" t="s">
        <v>518</v>
      </c>
      <c r="D82" s="55" t="s">
        <v>61</v>
      </c>
      <c r="E82" s="55" t="s">
        <v>61</v>
      </c>
      <c r="F82" s="55" t="s">
        <v>492</v>
      </c>
      <c r="G82" s="61" t="s">
        <v>492</v>
      </c>
      <c r="H82" s="53" t="s">
        <v>457</v>
      </c>
      <c r="I82" s="61">
        <v>10</v>
      </c>
      <c r="J82" s="61"/>
      <c r="K82" s="61"/>
      <c r="L82" s="66"/>
      <c r="M82" s="61"/>
      <c r="N82" s="61"/>
      <c r="O82" s="66"/>
      <c r="P82" s="61"/>
      <c r="Q82" s="61"/>
      <c r="R82" s="66"/>
      <c r="S82" s="67"/>
      <c r="T82" s="67"/>
      <c r="U82" s="66"/>
      <c r="V82" s="68"/>
      <c r="W82" s="68"/>
      <c r="X82" s="66"/>
      <c r="Y82" s="61"/>
      <c r="Z82" s="61"/>
      <c r="AA82" s="66"/>
      <c r="AB82" s="61"/>
      <c r="AC82" s="61"/>
      <c r="AD82" s="66"/>
      <c r="AE82" s="61"/>
      <c r="AF82" s="61"/>
      <c r="AG82" s="66"/>
      <c r="AH82" s="61"/>
      <c r="AI82" s="61"/>
      <c r="AJ82" s="66"/>
      <c r="AK82" s="61"/>
      <c r="AL82" s="61"/>
      <c r="AM82" s="66"/>
      <c r="AN82" s="61"/>
      <c r="AO82" s="61"/>
      <c r="AP82" s="66"/>
      <c r="AQ82" s="67"/>
      <c r="AR82" s="67">
        <v>36798</v>
      </c>
      <c r="AS82" s="66" t="e">
        <f t="shared" si="62"/>
        <v>#DIV/0!</v>
      </c>
      <c r="AT82" s="67">
        <f t="shared" si="63"/>
        <v>0</v>
      </c>
      <c r="AU82" s="67">
        <f t="shared" si="64"/>
        <v>36798</v>
      </c>
      <c r="AV82" s="66" t="e">
        <f t="shared" si="65"/>
        <v>#DIV/0!</v>
      </c>
      <c r="AW82" s="61"/>
      <c r="AX82" s="61">
        <v>4500</v>
      </c>
      <c r="AY82" s="66" t="e">
        <f t="shared" si="66"/>
        <v>#DIV/0!</v>
      </c>
      <c r="AZ82" s="61">
        <f t="shared" si="67"/>
        <v>0</v>
      </c>
      <c r="BA82" s="61">
        <f t="shared" si="68"/>
        <v>41298</v>
      </c>
      <c r="BB82" s="66" t="e">
        <f t="shared" si="69"/>
        <v>#DIV/0!</v>
      </c>
      <c r="BC82" s="61"/>
      <c r="BD82" s="61"/>
      <c r="BE82" s="66" t="e">
        <f t="shared" si="70"/>
        <v>#DIV/0!</v>
      </c>
      <c r="BF82" s="61">
        <f t="shared" si="71"/>
        <v>0</v>
      </c>
      <c r="BG82" s="61">
        <f t="shared" si="72"/>
        <v>41298</v>
      </c>
      <c r="BH82" s="66" t="e">
        <f t="shared" si="73"/>
        <v>#DIV/0!</v>
      </c>
      <c r="BI82" s="70"/>
      <c r="BJ82" s="61"/>
      <c r="BK82" s="61"/>
      <c r="BL82" s="61"/>
      <c r="BM82" s="71">
        <f t="shared" si="74"/>
        <v>0.41298000000000001</v>
      </c>
    </row>
    <row r="83" spans="1:65" ht="12" customHeight="1">
      <c r="A83" s="52" t="s">
        <v>414</v>
      </c>
      <c r="B83" s="53" t="s">
        <v>414</v>
      </c>
      <c r="C83" s="74" t="s">
        <v>519</v>
      </c>
      <c r="D83" s="55" t="s">
        <v>61</v>
      </c>
      <c r="E83" s="55" t="s">
        <v>61</v>
      </c>
      <c r="F83" s="55" t="s">
        <v>464</v>
      </c>
      <c r="G83" s="55"/>
      <c r="H83" s="53" t="s">
        <v>435</v>
      </c>
      <c r="I83" s="61">
        <v>100</v>
      </c>
      <c r="J83" s="61"/>
      <c r="K83" s="61"/>
      <c r="L83" s="66"/>
      <c r="M83" s="61"/>
      <c r="N83" s="61"/>
      <c r="O83" s="66"/>
      <c r="P83" s="61"/>
      <c r="Q83" s="61"/>
      <c r="R83" s="66"/>
      <c r="S83" s="67"/>
      <c r="T83" s="67"/>
      <c r="U83" s="66"/>
      <c r="V83" s="68"/>
      <c r="W83" s="68"/>
      <c r="X83" s="66"/>
      <c r="Y83" s="61"/>
      <c r="Z83" s="61"/>
      <c r="AA83" s="66"/>
      <c r="AB83" s="61"/>
      <c r="AC83" s="61"/>
      <c r="AD83" s="66"/>
      <c r="AE83" s="61"/>
      <c r="AF83" s="61"/>
      <c r="AG83" s="66"/>
      <c r="AH83" s="61"/>
      <c r="AI83" s="61"/>
      <c r="AJ83" s="66"/>
      <c r="AK83" s="61"/>
      <c r="AL83" s="61"/>
      <c r="AM83" s="66"/>
      <c r="AN83" s="61"/>
      <c r="AO83" s="61"/>
      <c r="AP83" s="66"/>
      <c r="AQ83" s="67"/>
      <c r="AR83" s="67"/>
      <c r="AS83" s="66" t="e">
        <f t="shared" si="62"/>
        <v>#DIV/0!</v>
      </c>
      <c r="AT83" s="67">
        <f t="shared" si="63"/>
        <v>0</v>
      </c>
      <c r="AU83" s="67">
        <f t="shared" si="64"/>
        <v>0</v>
      </c>
      <c r="AV83" s="66" t="e">
        <f t="shared" si="65"/>
        <v>#DIV/0!</v>
      </c>
      <c r="AW83" s="61"/>
      <c r="AX83" s="61"/>
      <c r="AY83" s="66" t="e">
        <f t="shared" si="66"/>
        <v>#DIV/0!</v>
      </c>
      <c r="AZ83" s="61">
        <f t="shared" si="67"/>
        <v>0</v>
      </c>
      <c r="BA83" s="61">
        <f t="shared" si="68"/>
        <v>0</v>
      </c>
      <c r="BB83" s="66" t="e">
        <f t="shared" si="69"/>
        <v>#DIV/0!</v>
      </c>
      <c r="BC83" s="61"/>
      <c r="BD83" s="61"/>
      <c r="BE83" s="66" t="e">
        <f t="shared" si="70"/>
        <v>#DIV/0!</v>
      </c>
      <c r="BF83" s="61">
        <f t="shared" si="71"/>
        <v>0</v>
      </c>
      <c r="BG83" s="61">
        <f t="shared" si="72"/>
        <v>0</v>
      </c>
      <c r="BH83" s="66" t="e">
        <f t="shared" si="73"/>
        <v>#DIV/0!</v>
      </c>
      <c r="BI83" s="70"/>
      <c r="BJ83" s="61"/>
      <c r="BK83" s="61"/>
      <c r="BL83" s="61"/>
      <c r="BM83" s="71">
        <f t="shared" si="74"/>
        <v>0</v>
      </c>
    </row>
    <row r="84" spans="1:65">
      <c r="A84" s="52"/>
      <c r="B84" s="53">
        <v>57</v>
      </c>
      <c r="C84" s="62" t="s">
        <v>31</v>
      </c>
      <c r="D84" s="61"/>
      <c r="E84" s="55"/>
      <c r="F84" s="61"/>
      <c r="G84" s="61"/>
      <c r="H84" s="53"/>
      <c r="I84" s="61">
        <f>SUM(I3:I83)</f>
        <v>1381</v>
      </c>
      <c r="J84" s="61">
        <f>SUM(J3:J78)</f>
        <v>1223845.6000000001</v>
      </c>
      <c r="K84" s="61">
        <f>SUM(K3:K78)</f>
        <v>595578.30000000005</v>
      </c>
      <c r="L84" s="66">
        <f>K84/J84-1</f>
        <v>-0.51335503432786</v>
      </c>
      <c r="M84" s="61">
        <f>SUM(M3:M74)</f>
        <v>355310.4</v>
      </c>
      <c r="N84" s="61">
        <f>SUM(N3:N74)</f>
        <v>470333.56</v>
      </c>
      <c r="O84" s="66">
        <f>N84/M84-1</f>
        <v>0.323725846471142</v>
      </c>
      <c r="P84" s="61">
        <f>SUM(P3:P74)</f>
        <v>1579156</v>
      </c>
      <c r="Q84" s="61">
        <f>SUM(Q3:Q74)</f>
        <v>1065911.8600000001</v>
      </c>
      <c r="R84" s="66">
        <f>Q84/P84-1</f>
        <v>-0.32501167712372903</v>
      </c>
      <c r="S84" s="61">
        <f>SUM(S3:S74)</f>
        <v>756633.2</v>
      </c>
      <c r="T84" s="61">
        <f>SUM(T3:T74)</f>
        <v>1014927.78</v>
      </c>
      <c r="U84" s="66">
        <f>T84/S84-1</f>
        <v>0.34137357440831301</v>
      </c>
      <c r="V84" s="61">
        <f>SUM(V3:V74)</f>
        <v>2335789.2000000002</v>
      </c>
      <c r="W84" s="61">
        <f>SUM(W3:W74)</f>
        <v>2080839.64</v>
      </c>
      <c r="X84" s="66">
        <f>W84/V84-1</f>
        <v>-0.109149216033707</v>
      </c>
      <c r="Y84" s="61">
        <f>SUM(Y3:Y74)</f>
        <v>683687.2</v>
      </c>
      <c r="Z84" s="61">
        <f>SUM(Z3:Z78)</f>
        <v>937105.26</v>
      </c>
      <c r="AA84" s="66">
        <f>Z84/Y84-1</f>
        <v>0.37066374798299601</v>
      </c>
      <c r="AB84" s="61">
        <f t="shared" ref="AB84:AF84" si="75">SUM(AB3:AB74)</f>
        <v>3019476.4</v>
      </c>
      <c r="AC84" s="61">
        <f t="shared" si="75"/>
        <v>3017944.9</v>
      </c>
      <c r="AD84" s="66">
        <f>AC84/AB84-1</f>
        <v>-5.0720714359620001E-4</v>
      </c>
      <c r="AE84" s="61">
        <f t="shared" si="75"/>
        <v>541949.88</v>
      </c>
      <c r="AF84" s="61">
        <f t="shared" si="75"/>
        <v>704690</v>
      </c>
      <c r="AG84" s="66">
        <f>AF84/AE84-1</f>
        <v>0.30028629215675801</v>
      </c>
      <c r="AH84" s="61">
        <f>SUM(AH3:AH74)</f>
        <v>3561426.28</v>
      </c>
      <c r="AI84" s="61">
        <f>SUM(AI3:AI74)</f>
        <v>3722634.9</v>
      </c>
      <c r="AJ84" s="66">
        <f>AI84/AH84-1</f>
        <v>4.5265185160592303E-2</v>
      </c>
      <c r="AK84" s="61">
        <f>SUM(AK3:AK74)</f>
        <v>565078.80000000005</v>
      </c>
      <c r="AL84" s="61">
        <f t="shared" ref="AL84:AN84" si="76">SUM(AL3:AL78)</f>
        <v>1078704.8799999999</v>
      </c>
      <c r="AM84" s="66">
        <f>AL84/AK84-1</f>
        <v>0.90894593815942104</v>
      </c>
      <c r="AN84" s="61">
        <f t="shared" si="76"/>
        <v>4126505.08</v>
      </c>
      <c r="AO84" s="61">
        <f t="shared" ref="AO84:AR84" si="77">SUM(AO3:AO83)</f>
        <v>4801339.78</v>
      </c>
      <c r="AP84" s="66">
        <f>AO84/AN84-1</f>
        <v>0.163536621648846</v>
      </c>
      <c r="AQ84" s="61">
        <f t="shared" si="77"/>
        <v>611348.06000000006</v>
      </c>
      <c r="AR84" s="61">
        <f t="shared" si="77"/>
        <v>1118070.6599999999</v>
      </c>
      <c r="AS84" s="66">
        <f t="shared" si="62"/>
        <v>0.82886105829795198</v>
      </c>
      <c r="AT84" s="61">
        <f t="shared" ref="AT84:AX84" si="78">SUM(AT3:AT83)</f>
        <v>4737853.1399999997</v>
      </c>
      <c r="AU84" s="61">
        <f t="shared" si="78"/>
        <v>5919410.4400000004</v>
      </c>
      <c r="AV84" s="66">
        <f t="shared" si="65"/>
        <v>0.24938664519263701</v>
      </c>
      <c r="AW84" s="61">
        <f t="shared" si="78"/>
        <v>565935</v>
      </c>
      <c r="AX84" s="61">
        <f t="shared" si="78"/>
        <v>529250</v>
      </c>
      <c r="AY84" s="66">
        <f t="shared" si="66"/>
        <v>-6.4821931847296899E-2</v>
      </c>
      <c r="AZ84" s="61">
        <f t="shared" ref="AZ84:BD84" si="79">SUM(AZ3:AZ83)</f>
        <v>5303788.1399999997</v>
      </c>
      <c r="BA84" s="61">
        <f t="shared" si="79"/>
        <v>6448660.4400000004</v>
      </c>
      <c r="BB84" s="66">
        <f t="shared" si="69"/>
        <v>0.215859357459176</v>
      </c>
      <c r="BC84" s="61">
        <f t="shared" si="79"/>
        <v>1201478.6399999999</v>
      </c>
      <c r="BD84" s="61">
        <f t="shared" si="79"/>
        <v>574943.16</v>
      </c>
      <c r="BE84" s="66">
        <f t="shared" si="70"/>
        <v>-0.52147034424182503</v>
      </c>
      <c r="BF84" s="61">
        <f>SUM(BF3:BF83)</f>
        <v>6505266.7800000003</v>
      </c>
      <c r="BG84" s="61">
        <f>SUM(BG3:BG83)</f>
        <v>7023603.5999999996</v>
      </c>
      <c r="BH84" s="66">
        <f t="shared" si="73"/>
        <v>7.9679563887155205E-2</v>
      </c>
      <c r="BI84" s="70">
        <v>2091707.07</v>
      </c>
      <c r="BJ84" s="70">
        <v>1301604.23</v>
      </c>
      <c r="BK84" s="70">
        <v>1864182.71</v>
      </c>
      <c r="BL84" s="70">
        <v>11762760.789999999</v>
      </c>
      <c r="BM84" s="71">
        <f t="shared" si="74"/>
        <v>0.50858824040550299</v>
      </c>
    </row>
  </sheetData>
  <autoFilter ref="A2:BM84" xr:uid="{00000000-0009-0000-0000-000007000000}"/>
  <mergeCells count="42">
    <mergeCell ref="S1:T1"/>
    <mergeCell ref="V1:W1"/>
    <mergeCell ref="U1:U2"/>
    <mergeCell ref="X1:X2"/>
    <mergeCell ref="AA1:AA2"/>
    <mergeCell ref="AD1:AD2"/>
    <mergeCell ref="AN1:AO1"/>
    <mergeCell ref="Y1:Z1"/>
    <mergeCell ref="AB1:AC1"/>
    <mergeCell ref="AE1:AF1"/>
    <mergeCell ref="AH1:AI1"/>
    <mergeCell ref="AK1:AL1"/>
    <mergeCell ref="AG1:AG2"/>
    <mergeCell ref="AJ1:AJ2"/>
    <mergeCell ref="H1:H2"/>
    <mergeCell ref="I1:I2"/>
    <mergeCell ref="L1:L2"/>
    <mergeCell ref="O1:O2"/>
    <mergeCell ref="R1:R2"/>
    <mergeCell ref="J1:K1"/>
    <mergeCell ref="M1:N1"/>
    <mergeCell ref="P1:Q1"/>
    <mergeCell ref="C1:C2"/>
    <mergeCell ref="D1:D2"/>
    <mergeCell ref="E1:E2"/>
    <mergeCell ref="F1:F2"/>
    <mergeCell ref="G1:G2"/>
    <mergeCell ref="BB1:BB2"/>
    <mergeCell ref="BE1:BE2"/>
    <mergeCell ref="BH1:BH2"/>
    <mergeCell ref="BM1:BM2"/>
    <mergeCell ref="AM1:AM2"/>
    <mergeCell ref="AP1:AP2"/>
    <mergeCell ref="AS1:AS2"/>
    <mergeCell ref="AV1:AV2"/>
    <mergeCell ref="AY1:AY2"/>
    <mergeCell ref="BC1:BD1"/>
    <mergeCell ref="BF1:BG1"/>
    <mergeCell ref="AQ1:AR1"/>
    <mergeCell ref="AT1:AU1"/>
    <mergeCell ref="AW1:AX1"/>
    <mergeCell ref="AZ1:BA1"/>
  </mergeCells>
  <phoneticPr fontId="32" type="noConversion"/>
  <pageMargins left="0.75" right="0.75" top="1" bottom="1" header="0.5" footer="0.5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rgb="FF00B050"/>
  </sheetPr>
  <dimension ref="A1:CG15"/>
  <sheetViews>
    <sheetView workbookViewId="0">
      <pane xSplit="1" ySplit="2" topLeftCell="B3" activePane="bottomRight" state="frozen"/>
      <selection pane="topRight"/>
      <selection pane="bottomLeft"/>
      <selection pane="bottomRight" activeCell="F2" sqref="A1:BD3"/>
    </sheetView>
  </sheetViews>
  <sheetFormatPr baseColWidth="10" defaultColWidth="9" defaultRowHeight="14"/>
  <cols>
    <col min="1" max="1" width="21.33203125" customWidth="1"/>
    <col min="2" max="4" width="9" customWidth="1"/>
    <col min="5" max="5" width="9" style="20" customWidth="1"/>
    <col min="6" max="8" width="9" customWidth="1"/>
    <col min="9" max="9" width="14.5" customWidth="1"/>
    <col min="10" max="20" width="9" customWidth="1"/>
    <col min="21" max="21" width="11.33203125" customWidth="1"/>
    <col min="22" max="32" width="9" customWidth="1"/>
    <col min="33" max="33" width="11.1640625" customWidth="1"/>
    <col min="34" max="52" width="9" customWidth="1"/>
    <col min="53" max="55" width="9" hidden="1" customWidth="1"/>
    <col min="56" max="56" width="15.1640625" hidden="1" customWidth="1"/>
  </cols>
  <sheetData>
    <row r="1" spans="1:85">
      <c r="A1" s="234" t="s">
        <v>46</v>
      </c>
      <c r="B1" s="234" t="s">
        <v>3</v>
      </c>
      <c r="C1" s="234"/>
      <c r="D1" s="234" t="s">
        <v>4</v>
      </c>
      <c r="E1" s="234" t="s">
        <v>5</v>
      </c>
      <c r="F1" s="234"/>
      <c r="G1" s="234" t="s">
        <v>4</v>
      </c>
      <c r="H1" s="234" t="s">
        <v>39</v>
      </c>
      <c r="I1" s="234"/>
      <c r="J1" s="234" t="s">
        <v>4</v>
      </c>
      <c r="K1" s="197" t="s">
        <v>6</v>
      </c>
      <c r="L1" s="197"/>
      <c r="M1" s="196" t="s">
        <v>4</v>
      </c>
      <c r="N1" s="197" t="s">
        <v>7</v>
      </c>
      <c r="O1" s="197"/>
      <c r="P1" s="196" t="s">
        <v>4</v>
      </c>
      <c r="Q1" s="197" t="s">
        <v>8</v>
      </c>
      <c r="R1" s="197"/>
      <c r="S1" s="196" t="s">
        <v>4</v>
      </c>
      <c r="T1" s="197" t="s">
        <v>9</v>
      </c>
      <c r="U1" s="197"/>
      <c r="V1" s="196" t="s">
        <v>4</v>
      </c>
      <c r="W1" s="197" t="s">
        <v>10</v>
      </c>
      <c r="X1" s="197"/>
      <c r="Y1" s="196" t="s">
        <v>4</v>
      </c>
      <c r="Z1" s="197" t="s">
        <v>11</v>
      </c>
      <c r="AA1" s="197"/>
      <c r="AB1" s="196" t="s">
        <v>4</v>
      </c>
      <c r="AC1" s="197" t="s">
        <v>12</v>
      </c>
      <c r="AD1" s="197"/>
      <c r="AE1" s="196" t="s">
        <v>4</v>
      </c>
      <c r="AF1" s="197" t="s">
        <v>13</v>
      </c>
      <c r="AG1" s="197"/>
      <c r="AH1" s="196" t="s">
        <v>4</v>
      </c>
      <c r="AI1" s="197" t="s">
        <v>14</v>
      </c>
      <c r="AJ1" s="197"/>
      <c r="AK1" s="196" t="s">
        <v>4</v>
      </c>
      <c r="AL1" s="197" t="s">
        <v>15</v>
      </c>
      <c r="AM1" s="197"/>
      <c r="AN1" s="196" t="s">
        <v>4</v>
      </c>
      <c r="AO1" s="197" t="s">
        <v>16</v>
      </c>
      <c r="AP1" s="197"/>
      <c r="AQ1" s="196" t="s">
        <v>4</v>
      </c>
      <c r="AR1" s="197" t="s">
        <v>17</v>
      </c>
      <c r="AS1" s="197"/>
      <c r="AT1" s="196" t="s">
        <v>4</v>
      </c>
      <c r="AU1" s="232" t="s">
        <v>18</v>
      </c>
      <c r="AV1" s="233"/>
      <c r="AW1" s="196" t="s">
        <v>4</v>
      </c>
      <c r="AX1" s="232" t="s">
        <v>19</v>
      </c>
      <c r="AY1" s="233"/>
      <c r="AZ1" s="196" t="s">
        <v>4</v>
      </c>
      <c r="BA1" s="45" t="s">
        <v>40</v>
      </c>
      <c r="BB1" s="45" t="s">
        <v>41</v>
      </c>
      <c r="BC1" s="45" t="s">
        <v>42</v>
      </c>
      <c r="BD1" s="21" t="s">
        <v>520</v>
      </c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</row>
    <row r="2" spans="1:85">
      <c r="A2" s="234"/>
      <c r="B2" s="22" t="s">
        <v>21</v>
      </c>
      <c r="C2" s="22" t="s">
        <v>22</v>
      </c>
      <c r="D2" s="234"/>
      <c r="E2" s="22" t="s">
        <v>21</v>
      </c>
      <c r="F2" s="22" t="s">
        <v>22</v>
      </c>
      <c r="G2" s="234"/>
      <c r="H2" s="22" t="s">
        <v>21</v>
      </c>
      <c r="I2" s="22" t="s">
        <v>22</v>
      </c>
      <c r="J2" s="234"/>
      <c r="K2" s="35" t="s">
        <v>21</v>
      </c>
      <c r="L2" s="35" t="s">
        <v>22</v>
      </c>
      <c r="M2" s="196"/>
      <c r="N2" s="35" t="s">
        <v>21</v>
      </c>
      <c r="O2" s="35" t="s">
        <v>22</v>
      </c>
      <c r="P2" s="196"/>
      <c r="Q2" s="35" t="s">
        <v>21</v>
      </c>
      <c r="R2" s="35" t="s">
        <v>22</v>
      </c>
      <c r="S2" s="196"/>
      <c r="T2" s="35" t="s">
        <v>21</v>
      </c>
      <c r="U2" s="35" t="s">
        <v>22</v>
      </c>
      <c r="V2" s="196"/>
      <c r="W2" s="35" t="s">
        <v>21</v>
      </c>
      <c r="X2" s="35" t="s">
        <v>22</v>
      </c>
      <c r="Y2" s="196"/>
      <c r="Z2" s="35" t="s">
        <v>21</v>
      </c>
      <c r="AA2" s="35" t="s">
        <v>22</v>
      </c>
      <c r="AB2" s="196"/>
      <c r="AC2" s="35" t="s">
        <v>21</v>
      </c>
      <c r="AD2" s="35" t="s">
        <v>22</v>
      </c>
      <c r="AE2" s="196"/>
      <c r="AF2" s="35" t="s">
        <v>21</v>
      </c>
      <c r="AG2" s="35" t="s">
        <v>22</v>
      </c>
      <c r="AH2" s="196"/>
      <c r="AI2" s="35" t="s">
        <v>21</v>
      </c>
      <c r="AJ2" s="35" t="s">
        <v>22</v>
      </c>
      <c r="AK2" s="196"/>
      <c r="AL2" s="35" t="s">
        <v>21</v>
      </c>
      <c r="AM2" s="35" t="s">
        <v>22</v>
      </c>
      <c r="AN2" s="196"/>
      <c r="AO2" s="35" t="s">
        <v>21</v>
      </c>
      <c r="AP2" s="35" t="s">
        <v>22</v>
      </c>
      <c r="AQ2" s="196"/>
      <c r="AR2" s="35" t="s">
        <v>21</v>
      </c>
      <c r="AS2" s="35" t="s">
        <v>22</v>
      </c>
      <c r="AT2" s="196"/>
      <c r="AU2" s="22" t="s">
        <v>21</v>
      </c>
      <c r="AV2" s="35" t="s">
        <v>22</v>
      </c>
      <c r="AW2" s="196"/>
      <c r="AX2" s="22" t="s">
        <v>21</v>
      </c>
      <c r="AY2" s="35" t="s">
        <v>22</v>
      </c>
      <c r="AZ2" s="196"/>
      <c r="BA2" s="22" t="s">
        <v>21</v>
      </c>
      <c r="BB2" s="22" t="s">
        <v>21</v>
      </c>
      <c r="BC2" s="22" t="s">
        <v>21</v>
      </c>
      <c r="BD2" s="22" t="s">
        <v>21</v>
      </c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  <c r="CB2" s="47"/>
      <c r="CC2" s="47"/>
      <c r="CD2" s="47"/>
      <c r="CE2" s="47"/>
      <c r="CF2" s="47"/>
      <c r="CG2" s="47"/>
    </row>
    <row r="3" spans="1:85">
      <c r="A3" s="23" t="s">
        <v>37</v>
      </c>
      <c r="B3" s="22">
        <v>159223.48000000001</v>
      </c>
      <c r="C3" s="22">
        <v>10985.2</v>
      </c>
      <c r="D3" s="24">
        <f>C3/B3-1</f>
        <v>-0.93100766294016402</v>
      </c>
      <c r="E3" s="22">
        <v>17619.22</v>
      </c>
      <c r="F3" s="22">
        <v>3564.8</v>
      </c>
      <c r="G3" s="24">
        <f>F3/E3-1</f>
        <v>-0.79767549301274399</v>
      </c>
      <c r="H3" s="22">
        <f>E3+B3</f>
        <v>176842.7</v>
      </c>
      <c r="I3" s="22">
        <f>F3+C3</f>
        <v>14550</v>
      </c>
      <c r="J3" s="24">
        <f>I3/H3-1</f>
        <v>-0.91772349098945005</v>
      </c>
      <c r="K3" s="36">
        <v>15307.5</v>
      </c>
      <c r="L3" s="36">
        <v>165.6</v>
      </c>
      <c r="M3" s="24">
        <f>L3/K3-1</f>
        <v>-0.98918177364037196</v>
      </c>
      <c r="N3" s="36">
        <f>H3+K3</f>
        <v>192150.2</v>
      </c>
      <c r="O3" s="36">
        <f>L3+I3</f>
        <v>14715.6</v>
      </c>
      <c r="P3" s="24">
        <f>O3/N3-1</f>
        <v>-0.92341616089913003</v>
      </c>
      <c r="Q3" s="36">
        <v>26789.68</v>
      </c>
      <c r="R3" s="36"/>
      <c r="S3" s="24">
        <f>R3/Q3-1</f>
        <v>-1</v>
      </c>
      <c r="T3" s="36">
        <f>Q3+N3</f>
        <v>218939.88</v>
      </c>
      <c r="U3" s="36">
        <f>R3+O3</f>
        <v>14715.6</v>
      </c>
      <c r="V3" s="24">
        <f>U3/T3-1</f>
        <v>-0.93278702811018299</v>
      </c>
      <c r="W3" s="37">
        <v>7356.6</v>
      </c>
      <c r="X3" s="37"/>
      <c r="Y3" s="37"/>
      <c r="Z3" s="37">
        <f t="shared" ref="Z3:Z7" si="0">W3+T3</f>
        <v>226296.48</v>
      </c>
      <c r="AA3" s="37">
        <f t="shared" ref="AA3:AA7" si="1">X3+U3</f>
        <v>14715.6</v>
      </c>
      <c r="AB3" s="24">
        <f t="shared" ref="AB3:AB8" si="2">AA3/Z3-1</f>
        <v>-0.93497203314872601</v>
      </c>
      <c r="AC3" s="40">
        <v>10109.200000000001</v>
      </c>
      <c r="AD3" s="40">
        <v>6590.6</v>
      </c>
      <c r="AE3" s="24">
        <f t="shared" ref="AE3:AE8" si="3">AD3/AC3-1</f>
        <v>-0.34805919360582399</v>
      </c>
      <c r="AF3" s="38">
        <f>AC3+Z3</f>
        <v>236405.68</v>
      </c>
      <c r="AG3" s="38">
        <f>AD3+AA3</f>
        <v>21306.2</v>
      </c>
      <c r="AH3" s="24">
        <f>AG3/AF3-1</f>
        <v>-0.90987441587697904</v>
      </c>
      <c r="AI3" s="37">
        <v>30218.12</v>
      </c>
      <c r="AJ3" s="37">
        <v>10907.2</v>
      </c>
      <c r="AK3" s="24">
        <f t="shared" ref="AK3:AK8" si="4">AJ3/AI3-1</f>
        <v>-0.63905100648220303</v>
      </c>
      <c r="AL3" s="37">
        <f>AI3+AF3</f>
        <v>266623.8</v>
      </c>
      <c r="AM3" s="37">
        <f>AJ3+AG3</f>
        <v>32213.4</v>
      </c>
      <c r="AN3" s="24">
        <f t="shared" ref="AN3:AN8" si="5">AM3/AL3-1</f>
        <v>-0.87918032823776404</v>
      </c>
      <c r="AO3" s="40">
        <v>18456</v>
      </c>
      <c r="AP3" s="40">
        <v>4860.8</v>
      </c>
      <c r="AQ3" s="24">
        <f t="shared" ref="AQ3:AQ8" si="6">AP3/AO3-1</f>
        <v>-0.73662765496315596</v>
      </c>
      <c r="AR3" s="42">
        <f t="shared" ref="AR3:AR7" si="7">AO3+AL3</f>
        <v>285079.8</v>
      </c>
      <c r="AS3" s="42">
        <f t="shared" ref="AS3:AS7" si="8">AP3+AM3</f>
        <v>37074.199999999997</v>
      </c>
      <c r="AT3" s="24">
        <f t="shared" ref="AT3:AT8" si="9">AS3/AR3-1</f>
        <v>-0.86995150129893495</v>
      </c>
      <c r="AU3" s="37">
        <v>32843.620000000003</v>
      </c>
      <c r="AV3" s="37">
        <v>6872.6</v>
      </c>
      <c r="AW3" s="24">
        <f t="shared" ref="AW3:AW8" si="10">AV3/AU3-1</f>
        <v>-0.79074779211305002</v>
      </c>
      <c r="AX3" s="37">
        <f t="shared" ref="AX3:AX7" si="11">AU3+AR3</f>
        <v>317923.42</v>
      </c>
      <c r="AY3" s="37">
        <f t="shared" ref="AY3:AY7" si="12">AV3+AS3</f>
        <v>43946.8</v>
      </c>
      <c r="AZ3" s="24">
        <f t="shared" ref="AZ3:AZ8" si="13">AY3/AX3-1</f>
        <v>-0.861769227318956</v>
      </c>
      <c r="BA3" s="37">
        <v>6011.6</v>
      </c>
      <c r="BB3" s="40">
        <v>3455.76</v>
      </c>
      <c r="BC3" s="36">
        <v>11124.36</v>
      </c>
      <c r="BD3" s="36">
        <v>329302.08</v>
      </c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  <c r="CG3" s="48"/>
    </row>
    <row r="4" spans="1:85" ht="15">
      <c r="A4" s="25"/>
      <c r="B4" s="25"/>
      <c r="C4" s="25"/>
      <c r="D4" s="25"/>
      <c r="E4" s="26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</row>
    <row r="5" spans="1:85" ht="15">
      <c r="A5" s="25"/>
      <c r="B5" s="25"/>
      <c r="C5" s="25"/>
      <c r="D5" s="25"/>
      <c r="E5" s="26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</row>
    <row r="6" spans="1:85" ht="15">
      <c r="A6" s="27" t="s">
        <v>521</v>
      </c>
      <c r="B6" s="28"/>
      <c r="C6" s="28">
        <v>646534</v>
      </c>
      <c r="D6" s="29" t="e">
        <f>C6/B6-1</f>
        <v>#DIV/0!</v>
      </c>
      <c r="E6" s="28"/>
      <c r="F6" s="28">
        <v>486138</v>
      </c>
      <c r="G6" s="29" t="e">
        <f>F6/E6-1</f>
        <v>#DIV/0!</v>
      </c>
      <c r="H6" s="28">
        <f>B6+E6</f>
        <v>0</v>
      </c>
      <c r="I6" s="28">
        <f>C6+F6</f>
        <v>1132672</v>
      </c>
      <c r="J6" s="29" t="e">
        <f>I6/H6-1</f>
        <v>#DIV/0!</v>
      </c>
      <c r="K6" s="22"/>
      <c r="L6" s="22">
        <v>376210</v>
      </c>
      <c r="M6" s="29" t="e">
        <f>L6/K6-1</f>
        <v>#DIV/0!</v>
      </c>
      <c r="N6" s="22"/>
      <c r="O6" s="22">
        <f>L6+I6</f>
        <v>1508882</v>
      </c>
      <c r="P6" s="29" t="e">
        <f>O6/N6-1</f>
        <v>#DIV/0!</v>
      </c>
      <c r="Q6" s="38">
        <v>127164</v>
      </c>
      <c r="R6" s="38">
        <v>332230</v>
      </c>
      <c r="S6" s="24">
        <f>R6/Q6-1</f>
        <v>1.6126104872448199</v>
      </c>
      <c r="T6" s="38">
        <f>Q6+N6</f>
        <v>127164</v>
      </c>
      <c r="U6" s="38">
        <f>R6+O6</f>
        <v>1841112</v>
      </c>
      <c r="V6" s="24">
        <f>U6/T6-1</f>
        <v>13.478248560913499</v>
      </c>
      <c r="W6" s="39">
        <v>237373</v>
      </c>
      <c r="X6" s="39">
        <v>255957</v>
      </c>
      <c r="Y6" s="24">
        <f t="shared" ref="Y6:Y8" si="14">X6/W6-1</f>
        <v>7.8290285752802502E-2</v>
      </c>
      <c r="Z6" s="37">
        <f t="shared" si="0"/>
        <v>364537</v>
      </c>
      <c r="AA6" s="37">
        <f t="shared" si="1"/>
        <v>2097069</v>
      </c>
      <c r="AB6" s="24">
        <f t="shared" si="2"/>
        <v>4.7526917706570204</v>
      </c>
      <c r="AC6" s="38">
        <v>205722</v>
      </c>
      <c r="AD6" s="38">
        <v>226469</v>
      </c>
      <c r="AE6" s="24">
        <f t="shared" si="3"/>
        <v>0.100849690358834</v>
      </c>
      <c r="AF6" s="38">
        <f>AC6+Z6</f>
        <v>570259</v>
      </c>
      <c r="AG6" s="38">
        <f>AD6+AA6</f>
        <v>2323538</v>
      </c>
      <c r="AH6" s="24">
        <f t="shared" ref="AH6:AH8" si="15">AG6/AF6-1</f>
        <v>3.0745310464192599</v>
      </c>
      <c r="AI6" s="38">
        <v>377153</v>
      </c>
      <c r="AJ6" s="38">
        <v>310892</v>
      </c>
      <c r="AK6" s="24">
        <f t="shared" si="4"/>
        <v>-0.17568732053039501</v>
      </c>
      <c r="AL6" s="37">
        <f>AI6+AF6</f>
        <v>947412</v>
      </c>
      <c r="AM6" s="37">
        <f>AJ6+AG6</f>
        <v>2634430</v>
      </c>
      <c r="AN6" s="24">
        <f t="shared" si="5"/>
        <v>1.78065931189388</v>
      </c>
      <c r="AO6" s="43">
        <v>425201</v>
      </c>
      <c r="AP6" s="41">
        <v>323634</v>
      </c>
      <c r="AQ6" s="24">
        <f t="shared" si="6"/>
        <v>-0.23886820586028701</v>
      </c>
      <c r="AR6" s="42">
        <f t="shared" si="7"/>
        <v>1372613</v>
      </c>
      <c r="AS6" s="42">
        <f t="shared" si="8"/>
        <v>2958064</v>
      </c>
      <c r="AT6" s="24">
        <f t="shared" si="9"/>
        <v>1.15506045768181</v>
      </c>
      <c r="AU6" s="43">
        <v>574651.12</v>
      </c>
      <c r="AV6" s="43">
        <v>496087</v>
      </c>
      <c r="AW6" s="24">
        <f t="shared" si="10"/>
        <v>-0.13671620443374399</v>
      </c>
      <c r="AX6" s="37">
        <f t="shared" si="11"/>
        <v>1947264.12</v>
      </c>
      <c r="AY6" s="37">
        <f t="shared" si="12"/>
        <v>3454151</v>
      </c>
      <c r="AZ6" s="24">
        <f t="shared" si="13"/>
        <v>0.77384822352706795</v>
      </c>
      <c r="BA6" s="46">
        <v>522761</v>
      </c>
      <c r="BB6" s="46">
        <v>840306</v>
      </c>
      <c r="BC6" s="46">
        <v>897576</v>
      </c>
      <c r="BD6" s="46">
        <v>4207907.12</v>
      </c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</row>
    <row r="7" spans="1:85" ht="15">
      <c r="A7" s="30" t="s">
        <v>522</v>
      </c>
      <c r="B7" s="31"/>
      <c r="C7" s="31"/>
      <c r="D7" s="31"/>
      <c r="E7" s="31"/>
      <c r="F7" s="31"/>
      <c r="G7" s="31"/>
      <c r="H7" s="31"/>
      <c r="I7" s="31"/>
      <c r="J7" s="31"/>
      <c r="K7" s="36"/>
      <c r="L7" s="36"/>
      <c r="M7" s="36"/>
      <c r="N7" s="36"/>
      <c r="O7" s="36"/>
      <c r="P7" s="36"/>
      <c r="Q7" s="31"/>
      <c r="R7" s="31"/>
      <c r="S7" s="31"/>
      <c r="T7" s="31"/>
      <c r="U7" s="31"/>
      <c r="V7" s="31"/>
      <c r="W7" s="31"/>
      <c r="X7" s="31">
        <f>16675+575</f>
        <v>17250</v>
      </c>
      <c r="Y7" s="24" t="e">
        <f t="shared" si="14"/>
        <v>#DIV/0!</v>
      </c>
      <c r="Z7" s="37">
        <f t="shared" si="0"/>
        <v>0</v>
      </c>
      <c r="AA7" s="37">
        <f t="shared" si="1"/>
        <v>17250</v>
      </c>
      <c r="AB7" s="24" t="e">
        <f t="shared" si="2"/>
        <v>#DIV/0!</v>
      </c>
      <c r="AC7" s="31"/>
      <c r="AD7" s="31">
        <v>125345</v>
      </c>
      <c r="AE7" s="24" t="e">
        <f t="shared" si="3"/>
        <v>#DIV/0!</v>
      </c>
      <c r="AF7" s="38">
        <f>AC7+Z7</f>
        <v>0</v>
      </c>
      <c r="AG7" s="38">
        <f>AD7+AA7</f>
        <v>142595</v>
      </c>
      <c r="AH7" s="24" t="e">
        <f t="shared" si="15"/>
        <v>#DIV/0!</v>
      </c>
      <c r="AI7" s="31"/>
      <c r="AJ7" s="31"/>
      <c r="AK7" s="31"/>
      <c r="AL7" s="31"/>
      <c r="AM7" s="37">
        <f>AJ7+AG7</f>
        <v>142595</v>
      </c>
      <c r="AN7" s="31"/>
      <c r="AO7" s="25"/>
      <c r="AP7" s="41">
        <v>27770</v>
      </c>
      <c r="AQ7" s="31"/>
      <c r="AR7" s="42">
        <f t="shared" si="7"/>
        <v>0</v>
      </c>
      <c r="AS7" s="42">
        <f t="shared" si="8"/>
        <v>170365</v>
      </c>
      <c r="AT7" s="24" t="e">
        <f t="shared" si="9"/>
        <v>#DIV/0!</v>
      </c>
      <c r="AU7" s="25"/>
      <c r="AV7" s="44">
        <v>37958</v>
      </c>
      <c r="AW7" s="24" t="e">
        <f t="shared" si="10"/>
        <v>#DIV/0!</v>
      </c>
      <c r="AX7" s="37">
        <f t="shared" si="11"/>
        <v>0</v>
      </c>
      <c r="AY7" s="37">
        <f t="shared" si="12"/>
        <v>208323</v>
      </c>
      <c r="AZ7" s="24" t="e">
        <f t="shared" si="13"/>
        <v>#DIV/0!</v>
      </c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</row>
    <row r="8" spans="1:85" s="19" customFormat="1">
      <c r="A8" s="32"/>
      <c r="B8" s="33"/>
      <c r="C8" s="33">
        <f>SUM(C6:C7)</f>
        <v>646534</v>
      </c>
      <c r="D8" s="33"/>
      <c r="E8" s="33"/>
      <c r="F8" s="33">
        <f>SUM(F6:F7)</f>
        <v>486138</v>
      </c>
      <c r="G8" s="33"/>
      <c r="H8" s="33"/>
      <c r="I8" s="33">
        <f>SUM(I6:I7)</f>
        <v>1132672</v>
      </c>
      <c r="J8" s="33"/>
      <c r="K8" s="33"/>
      <c r="L8" s="33">
        <f>SUM(L6:L7)</f>
        <v>376210</v>
      </c>
      <c r="M8" s="33"/>
      <c r="N8" s="33"/>
      <c r="O8" s="33">
        <f>SUM(O6:O7)</f>
        <v>1508882</v>
      </c>
      <c r="P8" s="33"/>
      <c r="Q8" s="33"/>
      <c r="R8" s="33">
        <f>SUM(R6:R7)</f>
        <v>332230</v>
      </c>
      <c r="S8" s="33"/>
      <c r="T8" s="33"/>
      <c r="U8" s="33">
        <f>SUM(U6:U7)</f>
        <v>1841112</v>
      </c>
      <c r="V8" s="33"/>
      <c r="W8" s="33">
        <f t="shared" ref="W8:AA8" si="16">SUM(W6:W7)</f>
        <v>237373</v>
      </c>
      <c r="X8" s="33">
        <f t="shared" si="16"/>
        <v>273207</v>
      </c>
      <c r="Y8" s="24">
        <f t="shared" si="14"/>
        <v>0.15096072426097301</v>
      </c>
      <c r="Z8" s="33">
        <f t="shared" si="16"/>
        <v>364537</v>
      </c>
      <c r="AA8" s="33">
        <f t="shared" si="16"/>
        <v>2114319</v>
      </c>
      <c r="AB8" s="24">
        <f t="shared" si="2"/>
        <v>4.8000120701053701</v>
      </c>
      <c r="AC8" s="33">
        <f t="shared" ref="AC8:AG8" si="17">SUM(AC6:AC7)</f>
        <v>205722</v>
      </c>
      <c r="AD8" s="33">
        <f t="shared" si="17"/>
        <v>351814</v>
      </c>
      <c r="AE8" s="24">
        <f t="shared" si="3"/>
        <v>0.710142814088916</v>
      </c>
      <c r="AF8" s="33">
        <f t="shared" si="17"/>
        <v>570259</v>
      </c>
      <c r="AG8" s="33">
        <f t="shared" si="17"/>
        <v>2466133</v>
      </c>
      <c r="AH8" s="24">
        <f t="shared" si="15"/>
        <v>3.3245840924913099</v>
      </c>
      <c r="AI8" s="33">
        <f t="shared" ref="AI8:AM8" si="18">SUM(AI6:AI7)</f>
        <v>377153</v>
      </c>
      <c r="AJ8" s="33">
        <f t="shared" si="18"/>
        <v>310892</v>
      </c>
      <c r="AK8" s="24">
        <f t="shared" si="4"/>
        <v>-0.17568732053039501</v>
      </c>
      <c r="AL8" s="33">
        <f t="shared" si="18"/>
        <v>947412</v>
      </c>
      <c r="AM8" s="33">
        <f t="shared" si="18"/>
        <v>2777025</v>
      </c>
      <c r="AN8" s="24">
        <f t="shared" si="5"/>
        <v>1.93116933287735</v>
      </c>
      <c r="AO8" s="33">
        <f t="shared" ref="AO8:AS8" si="19">SUM(AO6:AO7)</f>
        <v>425201</v>
      </c>
      <c r="AP8" s="33">
        <f t="shared" si="19"/>
        <v>351404</v>
      </c>
      <c r="AQ8" s="24">
        <f t="shared" si="6"/>
        <v>-0.17355791731440001</v>
      </c>
      <c r="AR8" s="33">
        <f t="shared" si="19"/>
        <v>1372613</v>
      </c>
      <c r="AS8" s="33">
        <f t="shared" si="19"/>
        <v>3128429</v>
      </c>
      <c r="AT8" s="24">
        <f t="shared" si="9"/>
        <v>1.2791777434717599</v>
      </c>
      <c r="AU8" s="33">
        <f t="shared" ref="AU8:AY8" si="20">SUM(AU6:AU7)</f>
        <v>574651.12</v>
      </c>
      <c r="AV8" s="33">
        <f t="shared" si="20"/>
        <v>534045</v>
      </c>
      <c r="AW8" s="24">
        <f t="shared" si="10"/>
        <v>-7.0662213274725702E-2</v>
      </c>
      <c r="AX8" s="33">
        <f t="shared" si="20"/>
        <v>1947264.12</v>
      </c>
      <c r="AY8" s="33">
        <f t="shared" si="20"/>
        <v>3662474</v>
      </c>
      <c r="AZ8" s="24">
        <f t="shared" si="13"/>
        <v>0.88083062918039101</v>
      </c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</row>
    <row r="9" spans="1:85" ht="15">
      <c r="A9" s="25"/>
      <c r="B9" s="25"/>
      <c r="C9" s="25"/>
      <c r="D9" s="25"/>
      <c r="E9" s="26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</row>
    <row r="10" spans="1:85" ht="15">
      <c r="A10" s="34"/>
      <c r="B10" s="25"/>
      <c r="C10" s="25"/>
      <c r="D10" s="25"/>
      <c r="E10" s="26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</row>
    <row r="13" spans="1:85">
      <c r="AD13" s="41"/>
    </row>
    <row r="14" spans="1:85">
      <c r="AD14" s="41"/>
      <c r="AO14" s="41"/>
    </row>
    <row r="15" spans="1:85">
      <c r="AO15" s="41"/>
    </row>
  </sheetData>
  <mergeCells count="35">
    <mergeCell ref="N1:O1"/>
    <mergeCell ref="AO1:AP1"/>
    <mergeCell ref="AR1:AS1"/>
    <mergeCell ref="AQ1:AQ2"/>
    <mergeCell ref="Q1:R1"/>
    <mergeCell ref="T1:U1"/>
    <mergeCell ref="W1:X1"/>
    <mergeCell ref="Z1:AA1"/>
    <mergeCell ref="AC1:AD1"/>
    <mergeCell ref="AE1:AE2"/>
    <mergeCell ref="AH1:AH2"/>
    <mergeCell ref="AK1:AK2"/>
    <mergeCell ref="AN1:AN2"/>
    <mergeCell ref="AF1:AG1"/>
    <mergeCell ref="AI1:AJ1"/>
    <mergeCell ref="AL1:AM1"/>
    <mergeCell ref="P1:P2"/>
    <mergeCell ref="S1:S2"/>
    <mergeCell ref="V1:V2"/>
    <mergeCell ref="Y1:Y2"/>
    <mergeCell ref="AB1:AB2"/>
    <mergeCell ref="A1:A2"/>
    <mergeCell ref="D1:D2"/>
    <mergeCell ref="G1:G2"/>
    <mergeCell ref="J1:J2"/>
    <mergeCell ref="M1:M2"/>
    <mergeCell ref="B1:C1"/>
    <mergeCell ref="E1:F1"/>
    <mergeCell ref="H1:I1"/>
    <mergeCell ref="K1:L1"/>
    <mergeCell ref="AT1:AT2"/>
    <mergeCell ref="AW1:AW2"/>
    <mergeCell ref="AZ1:AZ2"/>
    <mergeCell ref="AU1:AV1"/>
    <mergeCell ref="AX1:AY1"/>
  </mergeCells>
  <phoneticPr fontId="32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汇总1</vt:lpstr>
      <vt:lpstr>杭州</vt:lpstr>
      <vt:lpstr>湖州</vt:lpstr>
      <vt:lpstr>金衢</vt:lpstr>
      <vt:lpstr>嘉兴</vt:lpstr>
      <vt:lpstr>台州</vt:lpstr>
      <vt:lpstr>绍兴</vt:lpstr>
      <vt:lpstr>温丽 </vt:lpstr>
      <vt:lpstr>电商 以旧换新</vt:lpstr>
      <vt:lpstr>区域数据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凯森 詹</cp:lastModifiedBy>
  <dcterms:created xsi:type="dcterms:W3CDTF">2006-09-13T11:21:00Z</dcterms:created>
  <dcterms:modified xsi:type="dcterms:W3CDTF">2025-10-17T01:51:34Z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FC757BE5EE1847B39B348F5275C95D29_13</vt:lpwstr>
  </property>
  <property fmtid="{D5CDD505-2E9C-101B-9397-08002B2CF9AE}" pid="3" name="KSOProductBuildVer">
    <vt:lpwstr>2052-12.1.0.22529</vt:lpwstr>
  </property>
  <property fmtid="{D5CDD505-2E9C-101B-9397-08002B2CF9AE}" pid="4" name="KSOReadingLayout">
    <vt:bool>true</vt:bool>
  </property>
</Properties>
</file>