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9200" windowHeight="6880" tabRatio="561" activeTab="1"/>
  </bookViews>
  <sheets>
    <sheet name="汇总1" sheetId="15" r:id="rId1"/>
    <sheet name="杭州" sheetId="1" r:id="rId2"/>
    <sheet name="湖州" sheetId="2" r:id="rId3"/>
    <sheet name="嘉兴" sheetId="3" r:id="rId4"/>
    <sheet name="金衢" sheetId="4" r:id="rId5"/>
    <sheet name="绍兴" sheetId="7" r:id="rId6"/>
    <sheet name="台州" sheetId="5" r:id="rId7"/>
    <sheet name="温丽 " sheetId="58" r:id="rId8"/>
    <sheet name="电商 以旧换新" sheetId="9" r:id="rId9"/>
    <sheet name="区域数据" sheetId="65" r:id="rId10"/>
    <sheet name="客户汇总1" sheetId="63" state="hidden" r:id="rId11"/>
  </sheets>
  <definedNames>
    <definedName name="_xlnm._FilterDatabase" localSheetId="1" hidden="1">杭州!$A$2:$BK$48</definedName>
    <definedName name="_xlnm._FilterDatabase" localSheetId="7" hidden="1">'温丽 '!$A$2:$BH$84</definedName>
    <definedName name="_xlnm._FilterDatabase" localSheetId="5" hidden="1">绍兴!$A$2:$BW$55</definedName>
    <definedName name="_xlnm._FilterDatabase" localSheetId="6" hidden="1">台州!$A$2:$BJ$34</definedName>
    <definedName name="_xlnm._FilterDatabase" localSheetId="10" hidden="1">客户汇总1!$A$1:$T$334</definedName>
    <definedName name="_xlnm._FilterDatabase" localSheetId="3" hidden="1">嘉兴!$A$2:$BK$74</definedName>
    <definedName name="_xlnm._FilterDatabase" localSheetId="2" hidden="1">湖州!$A$2:$BI$22</definedName>
    <definedName name="_xlnm._FilterDatabase" localSheetId="4" hidden="1">金衢!$A$2:$BJ$30</definedName>
    <definedName name="_xlnm._FilterDatabase" localSheetId="8" hidden="1">'电商 以旧换新'!#REF!</definedName>
    <definedName name="_xlnm._FilterDatabase" localSheetId="9" hidden="1">区域数据!$A$3:$O$77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Z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萧山旗舰30000元 汇德隆市心店42800元</t>
        </r>
      </text>
    </comment>
    <comment ref="AE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场地费
</t>
        </r>
      </text>
    </comment>
    <comment ref="AE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61019工补贴</t>
        </r>
      </text>
    </comment>
    <comment ref="C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原杭州新容机电有限公司</t>
        </r>
      </text>
    </comment>
    <comment ref="A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106933元工厂补贴</t>
        </r>
      </text>
    </comment>
    <comment ref="AE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50253元工厂补贴</t>
        </r>
      </text>
    </comment>
    <comment ref="C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淳安县爱满屋家电商行</t>
        </r>
      </text>
    </comment>
    <comment ref="Z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41000元五星元茂店</t>
        </r>
      </text>
    </comment>
    <comment ref="AE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场地费</t>
        </r>
      </text>
    </comment>
    <comment ref="BE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44000元为场地费</t>
        </r>
      </text>
    </comment>
    <comment ref="BJ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杭州五星秋涛店37300 杭州五星佳源店10700元
五星元茂41000</t>
        </r>
      </text>
    </comment>
    <comment ref="BK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此笔费用为绍兴场地费，货款扣掉，绍兴打入我司4月6万5月1.7万</t>
        </r>
      </text>
    </comment>
    <comment ref="C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杭州萧山华祥家电有限公司</t>
        </r>
      </text>
    </comment>
    <comment ref="Z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46612二轻专卖店以旧换新</t>
        </r>
      </text>
    </comment>
    <comment ref="AF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二轻以旧换新</t>
        </r>
      </text>
    </comment>
    <comment ref="AL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141304二轻以旧换新</t>
        </r>
      </text>
    </comment>
    <comment ref="AR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二轻25131</t>
        </r>
      </text>
    </comment>
    <comment ref="C3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杭州殊晟机电设备有限公司</t>
        </r>
      </text>
    </comment>
    <comment ref="AX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（新）滨江第六空间专卖店 5061
二轻17758</t>
        </r>
      </text>
    </comment>
    <comment ref="BJ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杭州古墩路天猫优品旗舰店 1月 暂时没计算</t>
        </r>
      </text>
    </comment>
    <comment ref="AX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二轻11274元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湖州瑷嘉冷暖设备有限公司</t>
        </r>
      </text>
    </comment>
    <comment ref="T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场地费170000</t>
        </r>
      </text>
    </comment>
    <comment ref="AE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170000万是场地费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德清智跃电子科技有限公司
浙江郡德环境科技有限公司</t>
        </r>
      </text>
    </comment>
    <comment ref="AL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长兴专卖店7600元为翁昕回款转零售
</t>
        </r>
      </text>
    </comment>
    <comment ref="AL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长兴专卖店7600元为翁昕回款转零售</t>
        </r>
      </text>
    </comment>
    <comment ref="C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湖州浙北五交化有限公司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作者</author>
  </authors>
  <commentList>
    <comment ref="AF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39300元场地费</t>
        </r>
      </text>
    </comment>
    <comment ref="A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场地费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海宁程信电器有限公司</t>
        </r>
      </text>
    </comment>
    <comment ref="BH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60304场地费</t>
        </r>
      </text>
    </comment>
    <comment ref="AF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22700元场地费</t>
        </r>
      </text>
    </comment>
    <comment ref="D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原单位是海宁市五金交电化工有限公司</t>
        </r>
      </text>
    </comment>
    <comment ref="BK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海宁五交化海昌路店20000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嘉兴汇越商贸有限公司</t>
        </r>
      </text>
    </comment>
    <comment ref="D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嘉兴嘉善体育路专卖店直营店</t>
        </r>
      </text>
    </comment>
    <comment ref="AL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3798.1 合斯满</t>
        </r>
      </text>
    </comment>
    <comment ref="AX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杭州金蝶零售1.5万 众凌</t>
        </r>
      </text>
    </comment>
    <comment ref="L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20000嘉兴浙北江南永乐大厦店
</t>
        </r>
      </text>
    </comment>
    <comment ref="BK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嘉兴浙北江南永乐大厦店</t>
        </r>
      </text>
    </comment>
    <comment ref="H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吴月芳
</t>
        </r>
      </text>
    </comment>
    <comment ref="H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吴月芳
</t>
        </r>
      </text>
    </comment>
    <comment ref="E6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零售云</t>
        </r>
      </text>
    </comment>
    <comment ref="E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零售云
</t>
        </r>
      </text>
    </comment>
    <comment ref="G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通元镇</t>
        </r>
      </text>
    </comment>
    <comment ref="H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通元镇</t>
        </r>
      </text>
    </comment>
    <comment ref="E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零售云
</t>
        </r>
      </text>
    </comment>
    <comment ref="E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零售云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义乌颖亿贸易有限公司</t>
        </r>
      </text>
    </comment>
    <comment ref="T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15078元计入龙腾</t>
        </r>
      </text>
    </comment>
    <comment ref="AE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63600 工厂补贴</t>
        </r>
      </text>
    </comment>
    <comment ref="AF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40500场地费
</t>
        </r>
      </text>
    </comment>
    <comment ref="BJ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衢州普农三衢路店 20500 +衢州普农龙游店 20000元</t>
        </r>
      </text>
    </comment>
    <comment ref="AE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场地费46300</t>
        </r>
      </text>
    </comment>
    <comment ref="AF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16000场地费
</t>
        </r>
      </text>
    </comment>
    <comment ref="BJ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金华五星人民广场店 10000+金华五星八一南街店6000</t>
        </r>
      </text>
    </comment>
    <comment ref="A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37953元工厂补贴</t>
        </r>
      </text>
    </comment>
    <comment ref="C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23.5有兰溪专卖店 直营转加盟</t>
        </r>
      </text>
    </comment>
    <comment ref="AE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29947工厂补贴</t>
        </r>
      </text>
    </comment>
    <comment ref="K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26880元属于汇鑫划走</t>
        </r>
      </text>
    </comment>
    <comment ref="T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15078元在义乌荣昌 转成龙腾</t>
        </r>
      </text>
    </comment>
    <comment ref="C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兰溪市盈顺贸易商行</t>
        </r>
      </text>
    </comment>
    <comment ref="C15" authorId="0">
      <text>
        <r>
          <rPr>
            <sz val="9"/>
            <rFont val="宋体"/>
            <charset val="134"/>
          </rPr>
          <t>义乌丹溪路专卖店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诸暨雄风电器有限公司</t>
        </r>
      </text>
    </comment>
    <comment ref="D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绍兴大通购物中心有限公司</t>
        </r>
      </text>
    </comment>
    <comment ref="D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南京合斯满网络科技有限公司</t>
        </r>
      </text>
    </comment>
    <comment ref="BF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10938 合斯满</t>
        </r>
      </text>
    </comment>
    <comment ref="AR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139715 场地费</t>
        </r>
      </text>
    </comment>
    <comment ref="AX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1598杭州金蝶  278320 借款 先不算  1113280工程</t>
        </r>
      </text>
    </comment>
    <comment ref="BF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剔除工程1065000元</t>
        </r>
      </text>
    </comment>
    <comment ref="AR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46222场地费</t>
        </r>
      </text>
    </comment>
    <comment ref="D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绍兴市上虞区东关供销合作社购物中心</t>
        </r>
      </text>
    </comment>
    <comment ref="AR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27642 场地费</t>
        </r>
      </text>
    </comment>
    <comment ref="AR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9051 场地费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AL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开业联合促销---SS167347台州临海耀达靖江中路店---家用电</t>
        </r>
      </text>
    </comment>
    <comment ref="BJ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台州临海耀达靖江中路店
7台州临海耀达靖江中路店---家用电 2万</t>
        </r>
      </text>
    </comment>
    <comment ref="C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黄岩百货有限公司</t>
        </r>
      </text>
    </comment>
    <comment ref="AL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	开业联合促销---S115005椒江国商广场---家用电</t>
        </r>
      </text>
    </comment>
    <comment ref="AR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13421东海国补</t>
        </r>
      </text>
    </comment>
    <comment ref="AF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34862房补人补</t>
        </r>
      </text>
    </comment>
    <comment ref="T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13980.32合斯满 代结算</t>
        </r>
      </text>
    </comment>
    <comment ref="C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仙居品悦电器有限公司</t>
        </r>
      </text>
    </comment>
    <comment ref="AE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仙居大周 45659</t>
        </r>
      </text>
    </comment>
    <comment ref="AF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33866房补人补</t>
        </r>
      </text>
    </comment>
    <comment ref="AF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10000场地费</t>
        </r>
      </text>
    </comment>
    <comment ref="BE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1万场地费</t>
        </r>
      </text>
    </comment>
    <comment ref="AE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48949元天台汇泉</t>
        </r>
      </text>
    </comment>
    <comment ref="C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台州市圆丰暖通设备有限公司</t>
        </r>
      </text>
    </comment>
    <comment ref="AE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锦屏场地费34635</t>
        </r>
      </text>
    </comment>
    <comment ref="AF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26151房补</t>
        </r>
      </text>
    </comment>
    <comment ref="AR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以旧换新</t>
        </r>
      </text>
    </comment>
    <comment ref="BI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锦屏场地费</t>
        </r>
      </text>
    </comment>
    <comment ref="AE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路桥月星场地费11238</t>
        </r>
      </text>
    </comment>
    <comment ref="AF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33725房补人补</t>
        </r>
      </text>
    </comment>
    <comment ref="T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87500元工程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I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王娜</t>
        </r>
      </text>
    </comment>
    <comment ref="I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徐丽映</t>
        </r>
      </text>
    </comment>
    <comment ref="C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温州龙港站港路专卖店</t>
        </r>
      </text>
    </comment>
    <comment ref="I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罗玉丽</t>
        </r>
      </text>
    </comment>
    <comment ref="C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 24.11月转成加盟商</t>
        </r>
      </text>
    </comment>
    <comment ref="I7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王苗苗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福州中科创电器有限公司10505.1</t>
        </r>
      </text>
    </comment>
  </commentList>
</comments>
</file>

<file path=xl/comments9.xml><?xml version="1.0" encoding="utf-8"?>
<comments xmlns="http://schemas.openxmlformats.org/spreadsheetml/2006/main">
  <authors>
    <author>Administrator</author>
    <author>作者</author>
  </authors>
  <commentList>
    <comment ref="C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海宁程信电器有限公司</t>
        </r>
      </text>
    </comment>
    <comment ref="C7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原单位是海宁市五金交电化工有限公司</t>
        </r>
      </text>
    </comment>
    <comment ref="C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嘉兴汇越商贸有限公司</t>
        </r>
      </text>
    </comment>
    <comment ref="C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嘉兴嘉善体育路专卖店直营店</t>
        </r>
      </text>
    </comment>
    <comment ref="D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零售云</t>
        </r>
      </text>
    </comment>
    <comment ref="D1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零售云
</t>
        </r>
      </text>
    </comment>
    <comment ref="F13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通元镇</t>
        </r>
      </text>
    </comment>
    <comment ref="D1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零售云
</t>
        </r>
      </text>
    </comment>
    <comment ref="D1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零售云</t>
        </r>
      </text>
    </comment>
  </commentList>
</comments>
</file>

<file path=xl/sharedStrings.xml><?xml version="1.0" encoding="utf-8"?>
<sst xmlns="http://schemas.openxmlformats.org/spreadsheetml/2006/main" count="5835" uniqueCount="548">
  <si>
    <t>公司</t>
  </si>
  <si>
    <t>地区</t>
  </si>
  <si>
    <t>25年任务</t>
  </si>
  <si>
    <t>1月</t>
  </si>
  <si>
    <t>同比</t>
  </si>
  <si>
    <t>2月</t>
  </si>
  <si>
    <t>3月</t>
  </si>
  <si>
    <t>1-3月</t>
  </si>
  <si>
    <t>4月</t>
  </si>
  <si>
    <t>1-4月</t>
  </si>
  <si>
    <t>5月</t>
  </si>
  <si>
    <t>1-5月</t>
  </si>
  <si>
    <t>6月</t>
  </si>
  <si>
    <t>1-6月</t>
  </si>
  <si>
    <t>7月</t>
  </si>
  <si>
    <t>1-7月</t>
  </si>
  <si>
    <t>8月</t>
  </si>
  <si>
    <t>1-8月</t>
  </si>
  <si>
    <t>完成率</t>
  </si>
  <si>
    <t>2024年</t>
  </si>
  <si>
    <t>2025年</t>
  </si>
  <si>
    <t>中冠</t>
  </si>
  <si>
    <t>杭州</t>
  </si>
  <si>
    <t>自营以旧换新</t>
  </si>
  <si>
    <t>金衢</t>
  </si>
  <si>
    <t>湖州</t>
  </si>
  <si>
    <t>小计2</t>
  </si>
  <si>
    <t>嘉兴</t>
  </si>
  <si>
    <t>台州</t>
  </si>
  <si>
    <t>合计</t>
  </si>
  <si>
    <t>晨涛</t>
  </si>
  <si>
    <t>绍兴</t>
  </si>
  <si>
    <t>吉远</t>
  </si>
  <si>
    <t>温丽</t>
  </si>
  <si>
    <t>汇总</t>
  </si>
  <si>
    <t>电商</t>
  </si>
  <si>
    <t>合同任务</t>
  </si>
  <si>
    <t>1-2月</t>
  </si>
  <si>
    <t>9月</t>
  </si>
  <si>
    <t>10月</t>
  </si>
  <si>
    <t>11月</t>
  </si>
  <si>
    <t>12月</t>
  </si>
  <si>
    <t>全年</t>
  </si>
  <si>
    <t>大地区</t>
  </si>
  <si>
    <t>序号</t>
  </si>
  <si>
    <t>门店</t>
  </si>
  <si>
    <t>渠道</t>
  </si>
  <si>
    <t>渠道细分</t>
  </si>
  <si>
    <t>大区</t>
  </si>
  <si>
    <t>市/区/县</t>
  </si>
  <si>
    <t>业务员</t>
  </si>
  <si>
    <t>24年场地费</t>
  </si>
  <si>
    <t>25年场地费</t>
  </si>
  <si>
    <t>25年特殊</t>
  </si>
  <si>
    <t>汇德隆</t>
  </si>
  <si>
    <t>TOP渠道</t>
  </si>
  <si>
    <t>萧山区</t>
  </si>
  <si>
    <t>董培培</t>
  </si>
  <si>
    <t>萧山汇德隆净水</t>
  </si>
  <si>
    <t>杭州兴达京昀电器有限公司</t>
  </si>
  <si>
    <t>经销</t>
  </si>
  <si>
    <t>临平区</t>
  </si>
  <si>
    <t>吴海林</t>
  </si>
  <si>
    <t>杭州临安一栋电器有限公司</t>
  </si>
  <si>
    <t>加盟</t>
  </si>
  <si>
    <t>临安区</t>
  </si>
  <si>
    <t>杭州宏信机电有限公司</t>
  </si>
  <si>
    <t>富阳区</t>
  </si>
  <si>
    <t>桐庐佳尼特水处理设备有限公司</t>
  </si>
  <si>
    <t>桐庐县</t>
  </si>
  <si>
    <t>杭州佳威信息科技有限公司</t>
  </si>
  <si>
    <t>建德市</t>
  </si>
  <si>
    <t>杭州京品满屋家电有限公司</t>
  </si>
  <si>
    <t>淳安县</t>
  </si>
  <si>
    <t>杭州司亿博环境设备有限公司</t>
  </si>
  <si>
    <t>杭州市区</t>
  </si>
  <si>
    <t>钱塘区</t>
  </si>
  <si>
    <t>杭州五星</t>
  </si>
  <si>
    <t>五星</t>
  </si>
  <si>
    <t>市区</t>
  </si>
  <si>
    <t>李燕霞</t>
  </si>
  <si>
    <t>6+1.7</t>
  </si>
  <si>
    <t>杭州临平江南家居专卖店</t>
  </si>
  <si>
    <t>直营</t>
  </si>
  <si>
    <t>专卖店</t>
  </si>
  <si>
    <t>杭州华泓电器有限公司</t>
  </si>
  <si>
    <t>杭州金蝶零售</t>
  </si>
  <si>
    <t>零售</t>
  </si>
  <si>
    <t>杭州零售</t>
  </si>
  <si>
    <t>杭州金蝶零售（李燕霞）</t>
  </si>
  <si>
    <t>萧山世纪龙建材专卖店</t>
  </si>
  <si>
    <t>（新）古墩新时代专卖店</t>
  </si>
  <si>
    <t>西湖风景名胜区</t>
  </si>
  <si>
    <t>（新）宏丰专卖店</t>
  </si>
  <si>
    <t>杭州月星家居超级旗舰店</t>
  </si>
  <si>
    <t>拱墅区</t>
  </si>
  <si>
    <t>杭州恒大建材超级旗舰店</t>
  </si>
  <si>
    <t>二轻爱威专卖店</t>
  </si>
  <si>
    <t>（新）滨江第六空间专卖店</t>
  </si>
  <si>
    <t>滨江区</t>
  </si>
  <si>
    <t>杭州日新人工环境工程有限公司</t>
  </si>
  <si>
    <t>暖通</t>
  </si>
  <si>
    <t>陈雪君</t>
  </si>
  <si>
    <t>杭州汇意商贸有限公司</t>
  </si>
  <si>
    <t>浙江初韵供应链管理有限公司</t>
  </si>
  <si>
    <t>上城区</t>
  </si>
  <si>
    <t>杭州红星美凯龙一号店</t>
  </si>
  <si>
    <t>杭州德业电器有限公司</t>
  </si>
  <si>
    <t>杭州市余杭区临平街道泽晨材料商行</t>
  </si>
  <si>
    <t>浙江顶戴环境设备有限公司</t>
  </si>
  <si>
    <t>浙江元天电子商务有限公司</t>
  </si>
  <si>
    <t>黄颖</t>
  </si>
  <si>
    <t>杭州澎湃电器有限公司</t>
  </si>
  <si>
    <t>家装</t>
  </si>
  <si>
    <t>杭州中博智能电器有限公司</t>
  </si>
  <si>
    <t>浙江都都装饰有限公司</t>
  </si>
  <si>
    <t>桐庐县城南街道正亿家电经营部</t>
  </si>
  <si>
    <t>杭州中瑞工程技术有限公司</t>
  </si>
  <si>
    <t>苏宁易购集团股份有限公司苏宁采购中心</t>
  </si>
  <si>
    <t>杭州华东家电市场铁人电器商行</t>
  </si>
  <si>
    <t>滨江六空8090店</t>
  </si>
  <si>
    <t>萧山第六空间专卖店</t>
  </si>
  <si>
    <t>政采云</t>
  </si>
  <si>
    <t>杭州装家百科电器有限公司</t>
  </si>
  <si>
    <t>西湖区</t>
  </si>
  <si>
    <t>贝壳美家供应链管理（浙江）有限责任公司</t>
  </si>
  <si>
    <t>杭州平野实业有限公司</t>
  </si>
  <si>
    <t>杭州速简优装饰工程有限公司</t>
  </si>
  <si>
    <t>杭州恒大建材超级旗舰店（浙江云顶贸易有限公司）</t>
  </si>
  <si>
    <t>杭州允选科技有限公司</t>
  </si>
  <si>
    <t>北京天坛装饰工程有限责任公司杭州分公司</t>
  </si>
  <si>
    <t>系统门店</t>
  </si>
  <si>
    <t>1-12月</t>
  </si>
  <si>
    <t>长兴百诚天龙电器有限公司</t>
  </si>
  <si>
    <t>长兴县</t>
  </si>
  <si>
    <t>张正芳</t>
  </si>
  <si>
    <t>南浔力恒电器商行</t>
  </si>
  <si>
    <t>南浔区</t>
  </si>
  <si>
    <t>陈中元</t>
  </si>
  <si>
    <t>湖州浙北大厦家电有限公司</t>
  </si>
  <si>
    <t>湖州市区</t>
  </si>
  <si>
    <t>翁昕</t>
  </si>
  <si>
    <t>德清县武康镇佳通制冷设备商行</t>
  </si>
  <si>
    <t>德清县</t>
  </si>
  <si>
    <t>湖州长兴之窗专卖店</t>
  </si>
  <si>
    <t>湖州金蝶零售</t>
  </si>
  <si>
    <t>吴兴新丰豪厨卫热水器商店</t>
  </si>
  <si>
    <t>吴兴区</t>
  </si>
  <si>
    <t>湖州晓宇冷暖设备工程有限公司</t>
  </si>
  <si>
    <t>长兴银海电器有限公司</t>
  </si>
  <si>
    <t>长兴小浙北家电（长兴县浙北家用电器有限公司）</t>
  </si>
  <si>
    <t>湖州东邦商贸有限公司</t>
  </si>
  <si>
    <t>安吉方润家电有限公司</t>
  </si>
  <si>
    <t>安吉县</t>
  </si>
  <si>
    <t>湖州魁联电器有限公司</t>
  </si>
  <si>
    <t>湖州菱通冷暖设备有限公司</t>
  </si>
  <si>
    <t>长兴纵跃机电有限公司</t>
  </si>
  <si>
    <t>湖州浙北网格家电有限公司</t>
  </si>
  <si>
    <t>湖州乐曜贸易有限公司</t>
  </si>
  <si>
    <t>湖州浔海电器销售有限公司</t>
  </si>
  <si>
    <t>区域</t>
  </si>
  <si>
    <t>合同完成率</t>
  </si>
  <si>
    <t>海宁市华联大厦有限公司</t>
  </si>
  <si>
    <t>海宁市</t>
  </si>
  <si>
    <t>王军杰</t>
  </si>
  <si>
    <t>海宁市硖石程信节能电器商店</t>
  </si>
  <si>
    <t>嘉兴市戴梦得购物中心有限公司</t>
  </si>
  <si>
    <t>嘉兴市区</t>
  </si>
  <si>
    <t>南湖区</t>
  </si>
  <si>
    <t>吴月芳</t>
  </si>
  <si>
    <t>海宁市零壹家电有限公司</t>
  </si>
  <si>
    <t>平湖市汇达电器商行</t>
  </si>
  <si>
    <t>平湖市</t>
  </si>
  <si>
    <t>胡昊天</t>
  </si>
  <si>
    <t>嘉兴纺工路专卖店</t>
  </si>
  <si>
    <t>桐乡红星美凯龙直营店</t>
  </si>
  <si>
    <t>桐乡市</t>
  </si>
  <si>
    <t>嘉兴建陶市场直营专卖店</t>
  </si>
  <si>
    <t>桐乡凤鸣专卖店</t>
  </si>
  <si>
    <t>嘉善华东建材专卖店</t>
  </si>
  <si>
    <t>嘉善县</t>
  </si>
  <si>
    <t>嘉兴百亿电器有限公司</t>
  </si>
  <si>
    <t>海盐县</t>
  </si>
  <si>
    <t>桐乡市博诚电器有限公司</t>
  </si>
  <si>
    <t>嘉兴市秀洲区王店金桥家电商店</t>
  </si>
  <si>
    <t>秀洲区</t>
  </si>
  <si>
    <t>嘉兴市秀洲区新塍东庆家用电器商店</t>
  </si>
  <si>
    <t>嘉兴金蝶零售</t>
  </si>
  <si>
    <t>嘉善县西塘镇物美家电商行</t>
  </si>
  <si>
    <t>桐乡市三合电器有限公司</t>
  </si>
  <si>
    <t>嘉兴市龙辰暖通工程有限公司</t>
  </si>
  <si>
    <t>嘉兴市良盖电器有限公司</t>
  </si>
  <si>
    <t>海盐县峰达建材店</t>
  </si>
  <si>
    <t>海宁市马桥日兴电器商行</t>
  </si>
  <si>
    <t>桐乡市龙翔大晴天家电经营部</t>
  </si>
  <si>
    <t>湖州浙北大厦家电有限公司（嘉兴）</t>
  </si>
  <si>
    <t>桐乡市崇福路驰电器商行</t>
  </si>
  <si>
    <t>海宁巨工暖通设备有限公司</t>
  </si>
  <si>
    <t>海宁市许村镇小吴家电经营部</t>
  </si>
  <si>
    <t>平湖市汇升暖通建材商行</t>
  </si>
  <si>
    <t>上海大暖机电工程有限公司嘉兴分公司</t>
  </si>
  <si>
    <t>嘉兴爱建暖通工程有限公司</t>
  </si>
  <si>
    <t>浙江铭品装饰工程有限公司嘉兴分公司</t>
  </si>
  <si>
    <t>嘉兴赛威机电设备有限公司</t>
  </si>
  <si>
    <t>嘉兴市汇银电器有限公司</t>
  </si>
  <si>
    <t>圣都家居装饰有限公司海宁分公司</t>
  </si>
  <si>
    <t>梧桐鼎立家用电器商行</t>
  </si>
  <si>
    <t>嘉兴市凯昇暖通工程有限公司</t>
  </si>
  <si>
    <t>桐乡市百宏家电有限公司</t>
  </si>
  <si>
    <t>嘉兴市勇信暖通设备有限公司</t>
  </si>
  <si>
    <t>上海集美楼宇设备有限公司嘉兴分公司</t>
  </si>
  <si>
    <t>嘉兴嘉越电器有限公司</t>
  </si>
  <si>
    <t>嘉兴市尚源商贸有限公司</t>
  </si>
  <si>
    <t>经济技术开发区</t>
  </si>
  <si>
    <t>杭州中博智能电器有限公司（嘉兴）</t>
  </si>
  <si>
    <t>浙江久慧智能工程有限公司</t>
  </si>
  <si>
    <t>海宁市百信家电有限公司</t>
  </si>
  <si>
    <t>嘉兴市秀洲区新塍张建新五金管道经营部</t>
  </si>
  <si>
    <t>桐乡姜山机电工程有限公司</t>
  </si>
  <si>
    <t>海盐县通元军峰建材店</t>
  </si>
  <si>
    <t>海宁市许村镇正鑫电器商行</t>
  </si>
  <si>
    <t>海宁勤锋家电有限公司</t>
  </si>
  <si>
    <t>嘉兴市明锐整装有限公司</t>
  </si>
  <si>
    <t>嘉兴信良装饰有限公司</t>
  </si>
  <si>
    <t>海宁市长安镇联联通讯商店</t>
  </si>
  <si>
    <t>海宁市铭亮贸易有限公司</t>
  </si>
  <si>
    <t>嘉兴爱多暖通科技有限公司</t>
  </si>
  <si>
    <t>海盐县百步镇羽恬电器店</t>
  </si>
  <si>
    <t>海盐县洪波商贸有限公司</t>
  </si>
  <si>
    <t>海宁市长安镇双川电器商行</t>
  </si>
  <si>
    <t>旭阳家电（桐乡）有限公司</t>
  </si>
  <si>
    <t>嘉善永华电器有限公司</t>
  </si>
  <si>
    <t>嘉兴市和家电器有限公司</t>
  </si>
  <si>
    <t>嘉兴市吉耀工程管理有限公司</t>
  </si>
  <si>
    <t>嘉兴市乍浦镇美诚家电有限公司</t>
  </si>
  <si>
    <t>桐乡强鑫电器有限公司</t>
  </si>
  <si>
    <t>嘉兴浙里通电子科技有限公司</t>
  </si>
  <si>
    <t>下沉渠道</t>
  </si>
  <si>
    <t>嘉兴市六通电器有限公司</t>
  </si>
  <si>
    <t>嘉兴市易家商贸有限公司</t>
  </si>
  <si>
    <t>嘉兴金亚装饰工程有限公司</t>
  </si>
  <si>
    <t>桐乡市旭晨家用电器有限公司是</t>
  </si>
  <si>
    <t>嘉兴五星</t>
  </si>
  <si>
    <t>嘉兴星米商贸有限公司</t>
  </si>
  <si>
    <t>下沉渠道-天猫</t>
  </si>
  <si>
    <t>桐乡市建富电器有限公司</t>
  </si>
  <si>
    <t>桐乡市湘溪科技有限公司</t>
  </si>
  <si>
    <t>海盐百商家电城有限公司</t>
  </si>
  <si>
    <t>嘉兴匠品名媛智能家居有限公司</t>
  </si>
  <si>
    <t>系统名称</t>
  </si>
  <si>
    <t>场地费24年</t>
  </si>
  <si>
    <t>场地费25年</t>
  </si>
  <si>
    <t>金华</t>
  </si>
  <si>
    <t>义乌市荣昌家电维修部</t>
  </si>
  <si>
    <t>义乌市</t>
  </si>
  <si>
    <t>林青云</t>
  </si>
  <si>
    <t>衢州</t>
  </si>
  <si>
    <t>浙江普农家电有限公司</t>
  </si>
  <si>
    <t>衢州市区</t>
  </si>
  <si>
    <t>衢州市</t>
  </si>
  <si>
    <t>江雯</t>
  </si>
  <si>
    <t>金华五星</t>
  </si>
  <si>
    <t>金华市区</t>
  </si>
  <si>
    <t>潘杏</t>
  </si>
  <si>
    <t>（新）金华八一南街专卖店</t>
  </si>
  <si>
    <t>婺城区</t>
  </si>
  <si>
    <t>姜卫</t>
  </si>
  <si>
    <t>衢州市柯城汇鑫家用电器商行</t>
  </si>
  <si>
    <t>柯城区</t>
  </si>
  <si>
    <t>东阳市国美电器有限公司</t>
  </si>
  <si>
    <t>东阳市</t>
  </si>
  <si>
    <t>兰溪市福祥家电经营部</t>
  </si>
  <si>
    <t>兰溪市</t>
  </si>
  <si>
    <t>金华龙腾建材市场专卖店</t>
  </si>
  <si>
    <t>兰溪市小严家电经营部</t>
  </si>
  <si>
    <t>金华金蝶零售</t>
  </si>
  <si>
    <t>磐安县洪昌家电商场</t>
  </si>
  <si>
    <t>磐安县</t>
  </si>
  <si>
    <t>江山硕邦家电有限公司</t>
  </si>
  <si>
    <t>江山市</t>
  </si>
  <si>
    <t>义乌艾欧机电设备有限公司</t>
  </si>
  <si>
    <t>东阳市大中商贸有限公司</t>
  </si>
  <si>
    <t>金华市万普电器销售有限公司</t>
  </si>
  <si>
    <t>金东区</t>
  </si>
  <si>
    <t>龙游博美电器有限公司</t>
  </si>
  <si>
    <t>龙游县</t>
  </si>
  <si>
    <t>衢州众冠电器有限公司</t>
  </si>
  <si>
    <t>常山县</t>
  </si>
  <si>
    <t>金华市婺美电器有限公司</t>
  </si>
  <si>
    <t>兰溪市升美电器商行</t>
  </si>
  <si>
    <t>衢州万恒电器有限公司</t>
  </si>
  <si>
    <t>金华市汇诚电器有限公司</t>
  </si>
  <si>
    <t>兰溪市泽胜电器有限公司</t>
  </si>
  <si>
    <t>义乌国创空调设备有限公司</t>
  </si>
  <si>
    <t>永康立格暖通设备有限公司</t>
  </si>
  <si>
    <t>金华一启家电有限公司</t>
  </si>
  <si>
    <t>永康市荣浪家用电器有限公司</t>
  </si>
  <si>
    <t>诸暨鹏程电器有限公司</t>
  </si>
  <si>
    <t>诸暨市</t>
  </si>
  <si>
    <t>朱海燕</t>
  </si>
  <si>
    <t>诸暨万风家电有限公司</t>
  </si>
  <si>
    <t>浙江上百贸易有限公司</t>
  </si>
  <si>
    <t>上虞区</t>
  </si>
  <si>
    <t>徐枫</t>
  </si>
  <si>
    <t>诸暨市雄城数码家电有限公司</t>
  </si>
  <si>
    <t>绍兴大通购物中心有限公司</t>
  </si>
  <si>
    <t>新昌县世纪百诚新苗家电有限公司</t>
  </si>
  <si>
    <t>新昌县</t>
  </si>
  <si>
    <t>绍兴市上虞迪氏电子商务有限公司</t>
  </si>
  <si>
    <t>绍兴五星</t>
  </si>
  <si>
    <t>绍兴市区</t>
  </si>
  <si>
    <t>竹国龙</t>
  </si>
  <si>
    <t>绍兴汇政电器销售有限公司</t>
  </si>
  <si>
    <t>绍兴大通商城股份有限公司</t>
  </si>
  <si>
    <t>绍兴正大建材城专卖店</t>
  </si>
  <si>
    <t>越城区</t>
  </si>
  <si>
    <t>绍兴市柯桥区钱清永达电器商店</t>
  </si>
  <si>
    <t>柯桥区</t>
  </si>
  <si>
    <t>诸暨市艾欧电器有限公司</t>
  </si>
  <si>
    <t>绍兴金蝶零售</t>
  </si>
  <si>
    <t>柯桥红星美凯龙专卖店</t>
  </si>
  <si>
    <t>绍兴徽舜贸易有限公司</t>
  </si>
  <si>
    <t>绍兴市柯桥区安昌琪美电器商店</t>
  </si>
  <si>
    <t>绍兴市柯桥区柯桥优良家电有限公司</t>
  </si>
  <si>
    <t>绍兴市柯桥区杨汛桥振兴家电商店</t>
  </si>
  <si>
    <t>绍兴市柯桥区众利家电有限公司</t>
  </si>
  <si>
    <t>绍兴市袍江华祥家电商店</t>
  </si>
  <si>
    <t>嵊州市</t>
  </si>
  <si>
    <t>绍兴市山水电器有限公司</t>
  </si>
  <si>
    <t>绍兴市上虞区东关街道贺记电器经营部</t>
  </si>
  <si>
    <t>绍兴市上虞区军富家电经营部</t>
  </si>
  <si>
    <t>绍兴市上虞润泽贸易有限公司</t>
  </si>
  <si>
    <t>绍兴海速贸易有限公司</t>
  </si>
  <si>
    <t>绍兴上虞元宸电器有限公司</t>
  </si>
  <si>
    <t>绍兴上虞易诚商贸有限公司</t>
  </si>
  <si>
    <t>绍兴市上虞区百官秀氏家电维修中心</t>
  </si>
  <si>
    <t>绍兴源源家电有限公司</t>
  </si>
  <si>
    <t>新昌县心镁家电有限公司</t>
  </si>
  <si>
    <t>绍兴市柯桥区齐贤韩吉电器商行</t>
  </si>
  <si>
    <t>嵊州市怡口家电商行</t>
  </si>
  <si>
    <t>绍兴市柯桥区兰亭建伟电器商行</t>
  </si>
  <si>
    <t>浙江晋安家电有限公司（嵊州今日）</t>
  </si>
  <si>
    <t>绍兴嵊州军伟家电有限公司</t>
  </si>
  <si>
    <t>嵊州市浙东空调电器工程有限公司</t>
  </si>
  <si>
    <t>嵊州市美都家电有限公司</t>
  </si>
  <si>
    <t>浙江绍兴市蓝斯智慧家居科技有限公司</t>
  </si>
  <si>
    <t>嵊州市章军家用电器经营部</t>
  </si>
  <si>
    <t>绍兴市上虞区章镇虞南家电商行</t>
  </si>
  <si>
    <t>绍兴市舒康电器有限公司</t>
  </si>
  <si>
    <t>浙江宏轩暖通工程有限公司</t>
  </si>
  <si>
    <t>绍兴市越城区晨飞电器商行</t>
  </si>
  <si>
    <t>绍兴市柯桥区老胡电器有限公司</t>
  </si>
  <si>
    <t>绍兴易诚达商贸有限公司</t>
  </si>
  <si>
    <t>绍兴市柯桥区杨汛桥波哥电器商店</t>
  </si>
  <si>
    <t>绍兴市天弘电器有限公司</t>
  </si>
  <si>
    <t>绍兴市柯桥区阿炜电器有限公司</t>
  </si>
  <si>
    <t>绍兴市滨海新城阿莲家电商行</t>
  </si>
  <si>
    <t>绍兴澜鑫家电有限公司</t>
  </si>
  <si>
    <t>嵊州市卓然家电有限公司</t>
  </si>
  <si>
    <t>绍兴艾欧中嘉环境设备有限公司</t>
  </si>
  <si>
    <t>绍兴鼎旺电器有限公司</t>
  </si>
  <si>
    <t>绍兴鼎优品电器有限公司</t>
  </si>
  <si>
    <t>绍兴柯桥聪芮家电有限公司</t>
  </si>
  <si>
    <t>绍兴卓旭电器有限公司</t>
  </si>
  <si>
    <t>诸暨市嘉德电器有限公司</t>
  </si>
  <si>
    <t>台州市路桥华林家电有限公司</t>
  </si>
  <si>
    <t>台州市区</t>
  </si>
  <si>
    <t>路桥区</t>
  </si>
  <si>
    <t>潘琼瑶</t>
  </si>
  <si>
    <t>台州市富城电器有限公司</t>
  </si>
  <si>
    <t>耀达集团有限公司</t>
  </si>
  <si>
    <t>临海市</t>
  </si>
  <si>
    <t>何田</t>
  </si>
  <si>
    <t>台州市阳光购物广场有限公司</t>
  </si>
  <si>
    <t>仙居县三峰五交化有限公司</t>
  </si>
  <si>
    <t>仙居县</t>
  </si>
  <si>
    <t>台州黄岩百青电器有限公司</t>
  </si>
  <si>
    <t>黄岩区</t>
  </si>
  <si>
    <t>张斌</t>
  </si>
  <si>
    <t>临海市先锋贸易有限公司</t>
  </si>
  <si>
    <t>浙江国商实业股份有限公司</t>
  </si>
  <si>
    <t>椒江区</t>
  </si>
  <si>
    <t>东海大道专卖店</t>
  </si>
  <si>
    <t>台州洪家红星美凯龙专卖店</t>
  </si>
  <si>
    <t>天台及时雨贸易有限公司</t>
  </si>
  <si>
    <t>天台县</t>
  </si>
  <si>
    <t>台州朗全装饰工程有限公司</t>
  </si>
  <si>
    <t>台州金蝶零售</t>
  </si>
  <si>
    <t>仙居县小锌建材商行</t>
  </si>
  <si>
    <t>浙江丰阁暖通设备工程有限公司</t>
  </si>
  <si>
    <t>台州市展宏空调设备安装有限公司</t>
  </si>
  <si>
    <t>台州惠捷环境设备有限公司</t>
  </si>
  <si>
    <t>台州五星</t>
  </si>
  <si>
    <t>天台县轩懿暖通设备有限公司</t>
  </si>
  <si>
    <t>温岭市新启电器有限公司</t>
  </si>
  <si>
    <t>温岭市</t>
  </si>
  <si>
    <t>临海锦里机电设备工程有限公司</t>
  </si>
  <si>
    <t>临海市勇利电器有限公司</t>
  </si>
  <si>
    <t>台州市路桥景丰家电有限公司</t>
  </si>
  <si>
    <t>玉环家合家电商行</t>
  </si>
  <si>
    <t>玉环市</t>
  </si>
  <si>
    <t>玉环欣美电器销售有限公司</t>
  </si>
  <si>
    <t>台州品诺电器设备有限公司</t>
  </si>
  <si>
    <t>台州市林斌电器有限公司</t>
  </si>
  <si>
    <t>杭州亿桥工程勘察设计有限公司</t>
  </si>
  <si>
    <t>台州可慕环境有限公司</t>
  </si>
  <si>
    <t>三门县</t>
  </si>
  <si>
    <t>台州正方燃气物资有限公司</t>
  </si>
  <si>
    <t>杭州中博智能电器有限公司宁波分公司(</t>
  </si>
  <si>
    <t>温州</t>
  </si>
  <si>
    <t>瑞安市李祥电器有限公司</t>
  </si>
  <si>
    <t>瑞安市</t>
  </si>
  <si>
    <t>李宾</t>
  </si>
  <si>
    <t>温州电星商贸有限公司</t>
  </si>
  <si>
    <t>乐清市声达家电有限公司</t>
  </si>
  <si>
    <t>乐清市</t>
  </si>
  <si>
    <t>滕炜昌</t>
  </si>
  <si>
    <t>浙江汇丰家电有限公司</t>
  </si>
  <si>
    <t>乐清市安力家电超市有限公司</t>
  </si>
  <si>
    <t>乐清市翁垟华特家电商行</t>
  </si>
  <si>
    <t>乐清柳市瑞华家电超市</t>
  </si>
  <si>
    <t>浙江文星经贸有限公司</t>
  </si>
  <si>
    <t>温州五星</t>
  </si>
  <si>
    <t>温州市区</t>
  </si>
  <si>
    <t>浙江宏美经贸有限公司</t>
  </si>
  <si>
    <t>永嘉县信立电器销售有限公司</t>
  </si>
  <si>
    <t>永嘉县</t>
  </si>
  <si>
    <t>温州新族商贸有限公司</t>
  </si>
  <si>
    <t>平阳浩和家电经营部</t>
  </si>
  <si>
    <t>平阳县</t>
  </si>
  <si>
    <t>章华泉</t>
  </si>
  <si>
    <t>温州永中京顺路专卖店</t>
  </si>
  <si>
    <t>龙湾区</t>
  </si>
  <si>
    <t>乐清旭阳路专卖店</t>
  </si>
  <si>
    <t>永嘉县桥头银河家电有限公司</t>
  </si>
  <si>
    <t>乐清市乐健家电销售中心</t>
  </si>
  <si>
    <t>温州瑞安陈虬路专卖店</t>
  </si>
  <si>
    <t>苍南县龙港镇德快家用电器经营部</t>
  </si>
  <si>
    <t>龙港市</t>
  </si>
  <si>
    <t>温州市瓯海郭溪尚如小家电店</t>
  </si>
  <si>
    <t>瓯海区</t>
  </si>
  <si>
    <t>温州乐清红星美凯龙专卖店</t>
  </si>
  <si>
    <t>温州市速修电子商务有限公司</t>
  </si>
  <si>
    <t>鹿城区</t>
  </si>
  <si>
    <t>温州红星国际家居专卖店</t>
  </si>
  <si>
    <t>温州金蝶零售</t>
  </si>
  <si>
    <t>邱耀辉</t>
  </si>
  <si>
    <t>温州龙港喜盈门加盟店</t>
  </si>
  <si>
    <t>丽水</t>
  </si>
  <si>
    <t>丽水市联诚家电有限公司</t>
  </si>
  <si>
    <t>丽水市区</t>
  </si>
  <si>
    <t>莲都区</t>
  </si>
  <si>
    <t>游健</t>
  </si>
  <si>
    <t>松华控股有限公司丽水分公司</t>
  </si>
  <si>
    <t>乐清零散客户</t>
  </si>
  <si>
    <t>丽水零散客户</t>
  </si>
  <si>
    <t>柳市专卖店</t>
  </si>
  <si>
    <t>龙港零散客户</t>
  </si>
  <si>
    <t>温州苍南灵溪居然之家专卖店</t>
  </si>
  <si>
    <t>苍南县</t>
  </si>
  <si>
    <t>温州金拱门电器有限公司</t>
  </si>
  <si>
    <t>温州瑞安零散客户</t>
  </si>
  <si>
    <t>温州市鹿城区文静家电商行</t>
  </si>
  <si>
    <t>永嘉瓯北双塔路店</t>
  </si>
  <si>
    <t>灵溪零散客户</t>
  </si>
  <si>
    <t>泰顺县齐日景水暖商行</t>
  </si>
  <si>
    <t>泰顺县</t>
  </si>
  <si>
    <t>浙江金蜜锋暖通工程设备有限公司</t>
  </si>
  <si>
    <t>青田县红静家电总汇有限公司</t>
  </si>
  <si>
    <t>青田县</t>
  </si>
  <si>
    <t>温州虎特家电销售有限公司</t>
  </si>
  <si>
    <t>苍南县龙港扬航家用电器经营部</t>
  </si>
  <si>
    <t>遂昌灵匠暖通商行</t>
  </si>
  <si>
    <t>遂昌县</t>
  </si>
  <si>
    <t>乐清市七里港新达家电销售中心</t>
  </si>
  <si>
    <t>龙泉市建全家电有限公司</t>
  </si>
  <si>
    <t>龙泉市</t>
  </si>
  <si>
    <t>乐清白象店</t>
  </si>
  <si>
    <t>浙江润昌节能科技有限公司</t>
  </si>
  <si>
    <t>沪川集团乐清家电有限公司</t>
  </si>
  <si>
    <t>温州市瓯海娄桥军发家电经营部</t>
  </si>
  <si>
    <t>景宁新鑫家电商行</t>
  </si>
  <si>
    <t>景宁畲族自治县</t>
  </si>
  <si>
    <t>丽水市莲都区意友电器经营部</t>
  </si>
  <si>
    <t>龙泉市凯哥机电设备经营部</t>
  </si>
  <si>
    <t>瑞安市烽烟家电商行</t>
  </si>
  <si>
    <t>松阳县双龙家用电器经营部</t>
  </si>
  <si>
    <t>松阳县</t>
  </si>
  <si>
    <t>温州腾享贸易有限公司</t>
  </si>
  <si>
    <t>温州周林楼宇设备有限公司</t>
  </si>
  <si>
    <t>丽水市松泰电器有限公司</t>
  </si>
  <si>
    <t>温州智信经贸有限公司</t>
  </si>
  <si>
    <t>温州百弘暖通工程设备有限公司</t>
  </si>
  <si>
    <t>永嘉县明财家电有限公司</t>
  </si>
  <si>
    <t>永嘉县音像家电公司</t>
  </si>
  <si>
    <t>苍南鑫睿电子商务商行</t>
  </si>
  <si>
    <t>乐清白象方太专卖店</t>
  </si>
  <si>
    <t>平阳居然之家专卖店</t>
  </si>
  <si>
    <t>乐清金茂广场店</t>
  </si>
  <si>
    <t>乐清市城东余进家电商行</t>
  </si>
  <si>
    <t>温州瑞安罗阳大道专卖店</t>
  </si>
  <si>
    <t>瑞安市瑞荣家电服务部</t>
  </si>
  <si>
    <t>龙泉市金嘟家电有限责任公司</t>
  </si>
  <si>
    <t>龙泉松秦家电有限公司</t>
  </si>
  <si>
    <t>瑞安市百好电器有限公司</t>
  </si>
  <si>
    <t>温州启城电器有限公司</t>
  </si>
  <si>
    <t>青田油竹庆丰家电店</t>
  </si>
  <si>
    <t>平阳鳌江居然之家专卖店</t>
  </si>
  <si>
    <t>温州余海家电贸易有限公司</t>
  </si>
  <si>
    <t>云和县金景电器有限公司</t>
  </si>
  <si>
    <t>云和县</t>
  </si>
  <si>
    <t>丽水市有谊电器销售有限公司</t>
  </si>
  <si>
    <t>遂昌中振商贸有限公司</t>
  </si>
  <si>
    <t>松阳县玮莱暖通有限公司</t>
  </si>
  <si>
    <t>温州瑞辉暖通设备工程有限公司</t>
  </si>
  <si>
    <t>去年</t>
  </si>
  <si>
    <t>自营以旧换新特别账户</t>
  </si>
  <si>
    <t xml:space="preserve"> 二轻专卖店以旧换新（中瑞）</t>
  </si>
  <si>
    <t>1-8月地区到区域回款及同比</t>
  </si>
  <si>
    <t>24年人口数</t>
  </si>
  <si>
    <t>25年</t>
  </si>
  <si>
    <t>环比</t>
  </si>
  <si>
    <t>Q1</t>
  </si>
  <si>
    <t>Q2</t>
  </si>
  <si>
    <t>24年</t>
  </si>
  <si>
    <t>余杭区</t>
  </si>
  <si>
    <t>浦江县</t>
  </si>
  <si>
    <t>武义县</t>
  </si>
  <si>
    <t>永康市</t>
  </si>
  <si>
    <t>开化县</t>
  </si>
  <si>
    <t>文成县</t>
  </si>
  <si>
    <t>缙云县</t>
  </si>
  <si>
    <t>景宁县</t>
  </si>
  <si>
    <t>庆元县</t>
  </si>
  <si>
    <t>总计</t>
  </si>
  <si>
    <t>2024年Q1</t>
  </si>
  <si>
    <t>2025年Q1</t>
  </si>
  <si>
    <t>2024年Q2</t>
  </si>
  <si>
    <t>2025年Q2</t>
  </si>
  <si>
    <t>2024年1-6月</t>
  </si>
  <si>
    <t>2025年1-6月</t>
  </si>
  <si>
    <t>杭州殊晟机电设备有限公司</t>
  </si>
  <si>
    <t>长兴小浙北家电</t>
  </si>
  <si>
    <t>长兴县浙北家用电器有限公司</t>
  </si>
  <si>
    <t>夏碟彪</t>
  </si>
  <si>
    <t>闭店</t>
  </si>
  <si>
    <t>青田油竹庆丰家电</t>
  </si>
  <si>
    <t>以旧换新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</si>
</sst>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%"/>
    <numFmt numFmtId="179" formatCode="0.00_ "/>
    <numFmt numFmtId="180" formatCode="0.00_);[Red]\(0.00\)"/>
  </numFmts>
  <fonts count="5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indexed="8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10"/>
      <name val="宋体"/>
      <charset val="134"/>
      <scheme val="minor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1"/>
      <color indexed="8"/>
      <name val="宋体"/>
      <charset val="134"/>
      <scheme val="minor"/>
    </font>
    <font>
      <sz val="9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Helv"/>
      <charset val="134"/>
    </font>
    <font>
      <sz val="11"/>
      <color indexed="8"/>
      <name val="宋体"/>
      <charset val="134"/>
    </font>
    <font>
      <sz val="1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8" borderId="18" applyNumberFormat="0" applyAlignment="0" applyProtection="0">
      <alignment vertical="center"/>
    </xf>
    <xf numFmtId="0" fontId="37" fillId="9" borderId="19" applyNumberFormat="0" applyAlignment="0" applyProtection="0">
      <alignment vertical="center"/>
    </xf>
    <xf numFmtId="0" fontId="38" fillId="9" borderId="18" applyNumberFormat="0" applyAlignment="0" applyProtection="0">
      <alignment vertical="center"/>
    </xf>
    <xf numFmtId="0" fontId="39" fillId="10" borderId="20" applyNumberFormat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7" fillId="0" borderId="0"/>
    <xf numFmtId="0" fontId="0" fillId="0" borderId="0"/>
    <xf numFmtId="9" fontId="8" fillId="0" borderId="0" applyFont="0" applyFill="0" applyBorder="0" applyAlignment="0" applyProtection="0"/>
    <xf numFmtId="0" fontId="47" fillId="0" borderId="0"/>
    <xf numFmtId="0" fontId="2" fillId="0" borderId="0">
      <alignment vertical="top"/>
      <protection locked="0"/>
    </xf>
    <xf numFmtId="0" fontId="8" fillId="0" borderId="0"/>
    <xf numFmtId="0" fontId="48" fillId="0" borderId="0">
      <alignment vertical="center"/>
    </xf>
    <xf numFmtId="0" fontId="8" fillId="0" borderId="0"/>
    <xf numFmtId="0" fontId="49" fillId="0" borderId="0"/>
    <xf numFmtId="0" fontId="8" fillId="0" borderId="0"/>
    <xf numFmtId="0" fontId="8" fillId="0" borderId="0"/>
    <xf numFmtId="0" fontId="2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5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65" applyFont="1" applyFill="1" applyBorder="1" applyAlignment="1">
      <alignment horizontal="center" vertical="center"/>
    </xf>
    <xf numFmtId="0" fontId="2" fillId="0" borderId="1" xfId="66" applyFont="1" applyFill="1" applyBorder="1" applyAlignment="1">
      <alignment horizontal="center"/>
    </xf>
    <xf numFmtId="177" fontId="2" fillId="0" borderId="1" xfId="66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6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8" fontId="4" fillId="0" borderId="1" xfId="3" applyNumberFormat="1" applyFont="1" applyBorder="1" applyAlignment="1">
      <alignment horizontal="center" vertical="center"/>
    </xf>
    <xf numFmtId="176" fontId="4" fillId="0" borderId="1" xfId="3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3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4" fillId="4" borderId="1" xfId="3" applyNumberFormat="1" applyFont="1" applyFill="1" applyBorder="1" applyAlignment="1">
      <alignment horizontal="center" vertical="center"/>
    </xf>
    <xf numFmtId="178" fontId="5" fillId="4" borderId="1" xfId="3" applyNumberFormat="1" applyFont="1" applyFill="1" applyBorder="1" applyAlignment="1">
      <alignment horizontal="center" vertical="center"/>
    </xf>
    <xf numFmtId="178" fontId="4" fillId="0" borderId="1" xfId="3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79" fontId="7" fillId="0" borderId="1" xfId="58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9" fontId="6" fillId="0" borderId="1" xfId="66" applyNumberFormat="1" applyFont="1" applyBorder="1" applyAlignment="1">
      <alignment horizontal="center" vertical="center"/>
    </xf>
    <xf numFmtId="178" fontId="6" fillId="0" borderId="1" xfId="3" applyNumberFormat="1" applyFont="1" applyBorder="1" applyAlignment="1">
      <alignment horizontal="center" vertical="center"/>
    </xf>
    <xf numFmtId="0" fontId="8" fillId="0" borderId="0" xfId="66"/>
    <xf numFmtId="0" fontId="8" fillId="0" borderId="0" xfId="66" applyAlignment="1">
      <alignment horizontal="center"/>
    </xf>
    <xf numFmtId="0" fontId="9" fillId="0" borderId="2" xfId="66" applyFont="1" applyBorder="1"/>
    <xf numFmtId="180" fontId="7" fillId="0" borderId="1" xfId="51" applyNumberFormat="1" applyFont="1" applyBorder="1" applyAlignment="1">
      <alignment horizontal="center" vertical="center"/>
    </xf>
    <xf numFmtId="178" fontId="7" fillId="0" borderId="1" xfId="3" applyNumberFormat="1" applyFont="1" applyBorder="1" applyAlignment="1">
      <alignment horizontal="center" vertical="center"/>
    </xf>
    <xf numFmtId="0" fontId="2" fillId="0" borderId="0" xfId="66" applyFont="1"/>
    <xf numFmtId="0" fontId="8" fillId="0" borderId="1" xfId="66" applyBorder="1" applyAlignment="1">
      <alignment horizontal="center"/>
    </xf>
    <xf numFmtId="0" fontId="7" fillId="0" borderId="0" xfId="66" applyFont="1"/>
    <xf numFmtId="0" fontId="7" fillId="0" borderId="1" xfId="66" applyFont="1" applyBorder="1" applyAlignment="1">
      <alignment horizontal="center"/>
    </xf>
    <xf numFmtId="179" fontId="2" fillId="0" borderId="0" xfId="58" applyNumberFormat="1" applyFont="1" applyAlignment="1">
      <alignment vertical="center"/>
    </xf>
    <xf numFmtId="0" fontId="7" fillId="0" borderId="1" xfId="66" applyNumberFormat="1" applyFont="1" applyBorder="1" applyAlignment="1">
      <alignment horizontal="center"/>
    </xf>
    <xf numFmtId="0" fontId="7" fillId="0" borderId="1" xfId="66" applyNumberFormat="1" applyFont="1" applyBorder="1" applyAlignment="1">
      <alignment horizontal="center" wrapText="1"/>
    </xf>
    <xf numFmtId="0" fontId="7" fillId="0" borderId="1" xfId="65" applyFont="1" applyBorder="1" applyAlignment="1">
      <alignment horizontal="center" vertical="center" shrinkToFit="1"/>
    </xf>
    <xf numFmtId="179" fontId="1" fillId="0" borderId="1" xfId="66" applyNumberFormat="1" applyFont="1" applyBorder="1" applyAlignment="1">
      <alignment horizontal="center" vertical="center"/>
    </xf>
    <xf numFmtId="180" fontId="1" fillId="0" borderId="1" xfId="51" applyNumberFormat="1" applyFont="1" applyBorder="1" applyAlignment="1">
      <alignment horizontal="center" vertical="center"/>
    </xf>
    <xf numFmtId="179" fontId="7" fillId="0" borderId="1" xfId="51" applyNumberFormat="1" applyFont="1" applyFill="1" applyBorder="1" applyAlignment="1">
      <alignment horizontal="center" vertical="center"/>
    </xf>
    <xf numFmtId="179" fontId="7" fillId="0" borderId="1" xfId="51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8" fillId="0" borderId="0" xfId="66" applyFill="1"/>
    <xf numFmtId="0" fontId="8" fillId="0" borderId="1" xfId="66" applyFill="1" applyBorder="1" applyAlignment="1">
      <alignment horizontal="center"/>
    </xf>
    <xf numFmtId="0" fontId="10" fillId="0" borderId="0" xfId="0" applyFont="1" applyFill="1" applyAlignment="1">
      <alignment vertical="center"/>
    </xf>
    <xf numFmtId="179" fontId="7" fillId="0" borderId="1" xfId="58" applyNumberFormat="1" applyFont="1" applyBorder="1" applyAlignment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179" fontId="7" fillId="0" borderId="3" xfId="51" applyNumberFormat="1" applyFont="1" applyFill="1" applyBorder="1" applyAlignment="1">
      <alignment horizontal="center"/>
    </xf>
    <xf numFmtId="180" fontId="7" fillId="0" borderId="1" xfId="51" applyNumberFormat="1" applyFont="1" applyBorder="1" applyAlignment="1">
      <alignment horizontal="center"/>
    </xf>
    <xf numFmtId="179" fontId="2" fillId="0" borderId="0" xfId="66" applyNumberFormat="1" applyFont="1" applyAlignment="1">
      <alignment horizontal="center"/>
    </xf>
    <xf numFmtId="179" fontId="1" fillId="0" borderId="0" xfId="66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66" applyFont="1" applyBorder="1" applyAlignment="1">
      <alignment horizontal="center"/>
    </xf>
    <xf numFmtId="0" fontId="2" fillId="0" borderId="1" xfId="66" applyFont="1" applyBorder="1" applyAlignment="1">
      <alignment horizontal="left"/>
    </xf>
    <xf numFmtId="0" fontId="11" fillId="0" borderId="1" xfId="66" applyFont="1" applyBorder="1" applyAlignment="1">
      <alignment horizontal="left"/>
    </xf>
    <xf numFmtId="0" fontId="12" fillId="5" borderId="1" xfId="56" applyFont="1" applyFill="1" applyBorder="1" applyAlignment="1">
      <alignment horizontal="left" vertical="center" wrapText="1"/>
    </xf>
    <xf numFmtId="0" fontId="12" fillId="0" borderId="1" xfId="54" applyFont="1" applyBorder="1" applyAlignment="1">
      <alignment horizontal="left" vertical="center" wrapText="1"/>
    </xf>
    <xf numFmtId="0" fontId="2" fillId="0" borderId="1" xfId="66" applyFont="1" applyBorder="1" applyAlignment="1">
      <alignment horizontal="left" vertical="center"/>
    </xf>
    <xf numFmtId="0" fontId="12" fillId="0" borderId="1" xfId="54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7" xfId="66" applyFont="1" applyBorder="1" applyAlignment="1">
      <alignment horizontal="center"/>
    </xf>
    <xf numFmtId="0" fontId="2" fillId="0" borderId="8" xfId="66" applyFont="1" applyFill="1" applyBorder="1" applyAlignment="1">
      <alignment horizontal="center" vertical="center"/>
    </xf>
    <xf numFmtId="0" fontId="2" fillId="0" borderId="3" xfId="66" applyFont="1" applyFill="1" applyBorder="1" applyAlignment="1">
      <alignment horizontal="center" vertical="center"/>
    </xf>
    <xf numFmtId="0" fontId="2" fillId="0" borderId="4" xfId="66" applyFont="1" applyFill="1" applyBorder="1" applyAlignment="1">
      <alignment horizontal="center" vertical="center"/>
    </xf>
    <xf numFmtId="0" fontId="2" fillId="0" borderId="1" xfId="66" applyNumberFormat="1" applyFont="1" applyBorder="1" applyAlignment="1">
      <alignment horizontal="center"/>
    </xf>
    <xf numFmtId="0" fontId="2" fillId="0" borderId="1" xfId="66" applyNumberFormat="1" applyFont="1" applyBorder="1" applyAlignment="1">
      <alignment horizontal="center" wrapText="1"/>
    </xf>
    <xf numFmtId="0" fontId="2" fillId="0" borderId="9" xfId="66" applyFont="1" applyBorder="1" applyAlignment="1">
      <alignment horizontal="center"/>
    </xf>
    <xf numFmtId="0" fontId="2" fillId="0" borderId="1" xfId="66" applyFont="1" applyFill="1" applyBorder="1" applyAlignment="1">
      <alignment horizontal="center" vertical="center"/>
    </xf>
    <xf numFmtId="0" fontId="2" fillId="0" borderId="6" xfId="66" applyFont="1" applyFill="1" applyBorder="1" applyAlignment="1">
      <alignment horizontal="center" vertical="center"/>
    </xf>
    <xf numFmtId="0" fontId="2" fillId="0" borderId="1" xfId="65" applyFont="1" applyBorder="1" applyAlignment="1">
      <alignment horizontal="center" vertical="center" shrinkToFit="1"/>
    </xf>
    <xf numFmtId="178" fontId="2" fillId="0" borderId="3" xfId="3" applyNumberFormat="1" applyFont="1" applyBorder="1" applyAlignment="1">
      <alignment horizontal="center" vertical="center"/>
    </xf>
    <xf numFmtId="179" fontId="2" fillId="0" borderId="1" xfId="51" applyNumberFormat="1" applyFont="1" applyBorder="1" applyAlignment="1">
      <alignment horizontal="center" vertical="center"/>
    </xf>
    <xf numFmtId="179" fontId="2" fillId="0" borderId="1" xfId="51" applyNumberFormat="1" applyFont="1" applyFill="1" applyBorder="1" applyAlignment="1">
      <alignment horizontal="center" vertical="center"/>
    </xf>
    <xf numFmtId="0" fontId="7" fillId="0" borderId="2" xfId="66" applyNumberFormat="1" applyFont="1" applyBorder="1" applyAlignment="1">
      <alignment horizontal="center" wrapText="1"/>
    </xf>
    <xf numFmtId="0" fontId="2" fillId="0" borderId="1" xfId="66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2" fillId="0" borderId="4" xfId="66" applyFont="1" applyBorder="1" applyAlignment="1">
      <alignment horizontal="center" vertical="center"/>
    </xf>
    <xf numFmtId="0" fontId="2" fillId="0" borderId="5" xfId="66" applyFont="1" applyBorder="1" applyAlignment="1">
      <alignment horizontal="center" vertical="center"/>
    </xf>
    <xf numFmtId="178" fontId="1" fillId="0" borderId="1" xfId="3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7" fillId="0" borderId="3" xfId="66" applyFont="1" applyBorder="1" applyAlignment="1">
      <alignment horizontal="center" vertical="center"/>
    </xf>
    <xf numFmtId="0" fontId="7" fillId="0" borderId="1" xfId="66" applyFont="1" applyFill="1" applyBorder="1" applyAlignment="1">
      <alignment horizontal="left" vertical="center"/>
    </xf>
    <xf numFmtId="0" fontId="7" fillId="0" borderId="1" xfId="66" applyFont="1" applyFill="1" applyBorder="1" applyAlignment="1">
      <alignment horizontal="center" vertical="center"/>
    </xf>
    <xf numFmtId="0" fontId="7" fillId="0" borderId="4" xfId="66" applyFont="1" applyFill="1" applyBorder="1" applyAlignment="1">
      <alignment horizontal="center" vertical="center"/>
    </xf>
    <xf numFmtId="0" fontId="7" fillId="0" borderId="1" xfId="66" applyFont="1" applyFill="1" applyBorder="1" applyAlignment="1">
      <alignment horizontal="center" wrapText="1"/>
    </xf>
    <xf numFmtId="0" fontId="7" fillId="0" borderId="4" xfId="66" applyFont="1" applyFill="1" applyBorder="1" applyAlignment="1">
      <alignment horizontal="center" wrapText="1"/>
    </xf>
    <xf numFmtId="0" fontId="7" fillId="0" borderId="6" xfId="66" applyFont="1" applyFill="1" applyBorder="1" applyAlignment="1">
      <alignment horizontal="center" vertical="center"/>
    </xf>
    <xf numFmtId="0" fontId="7" fillId="0" borderId="6" xfId="66" applyFont="1" applyFill="1" applyBorder="1" applyAlignment="1">
      <alignment horizontal="center" wrapText="1"/>
    </xf>
    <xf numFmtId="0" fontId="7" fillId="6" borderId="1" xfId="66" applyFont="1" applyFill="1" applyBorder="1" applyAlignment="1">
      <alignment horizontal="left" vertical="center"/>
    </xf>
    <xf numFmtId="0" fontId="7" fillId="0" borderId="1" xfId="66" applyFont="1" applyFill="1" applyBorder="1" applyAlignment="1">
      <alignment horizontal="left"/>
    </xf>
    <xf numFmtId="0" fontId="13" fillId="0" borderId="1" xfId="54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7" fillId="0" borderId="1" xfId="66" applyFont="1" applyFill="1" applyBorder="1" applyAlignment="1">
      <alignment horizontal="center"/>
    </xf>
    <xf numFmtId="0" fontId="7" fillId="0" borderId="7" xfId="66" applyFont="1" applyFill="1" applyBorder="1" applyAlignment="1">
      <alignment horizontal="center" wrapText="1"/>
    </xf>
    <xf numFmtId="0" fontId="7" fillId="0" borderId="10" xfId="66" applyFont="1" applyFill="1" applyBorder="1" applyAlignment="1">
      <alignment horizontal="center" wrapText="1"/>
    </xf>
    <xf numFmtId="178" fontId="7" fillId="0" borderId="3" xfId="3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80" fontId="2" fillId="0" borderId="1" xfId="5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1" xfId="66" applyFont="1" applyBorder="1" applyAlignment="1">
      <alignment horizontal="center" vertical="center"/>
    </xf>
    <xf numFmtId="180" fontId="7" fillId="0" borderId="1" xfId="66" applyNumberFormat="1" applyFont="1" applyBorder="1" applyAlignment="1">
      <alignment horizontal="center"/>
    </xf>
    <xf numFmtId="180" fontId="7" fillId="0" borderId="1" xfId="66" applyNumberFormat="1" applyFont="1" applyBorder="1" applyAlignment="1">
      <alignment horizontal="center" vertical="center"/>
    </xf>
    <xf numFmtId="0" fontId="6" fillId="0" borderId="0" xfId="0" applyFont="1" applyFill="1">
      <alignment vertical="center"/>
    </xf>
    <xf numFmtId="0" fontId="7" fillId="0" borderId="1" xfId="65" applyFont="1" applyFill="1" applyBorder="1" applyAlignment="1">
      <alignment horizontal="center" vertical="center"/>
    </xf>
    <xf numFmtId="0" fontId="7" fillId="0" borderId="1" xfId="66" applyFont="1" applyFill="1" applyBorder="1" applyAlignment="1">
      <alignment horizontal="left" wrapText="1"/>
    </xf>
    <xf numFmtId="0" fontId="7" fillId="6" borderId="1" xfId="66" applyFont="1" applyFill="1" applyBorder="1" applyAlignment="1">
      <alignment horizontal="left"/>
    </xf>
    <xf numFmtId="0" fontId="14" fillId="0" borderId="1" xfId="65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66" applyFont="1" applyFill="1" applyBorder="1" applyAlignment="1">
      <alignment horizontal="center"/>
    </xf>
    <xf numFmtId="0" fontId="6" fillId="0" borderId="1" xfId="0" applyFont="1" applyFill="1" applyBorder="1">
      <alignment vertical="center"/>
    </xf>
    <xf numFmtId="0" fontId="7" fillId="0" borderId="0" xfId="66" applyFont="1" applyFill="1"/>
    <xf numFmtId="0" fontId="7" fillId="0" borderId="0" xfId="66" applyFont="1" applyFill="1" applyAlignment="1">
      <alignment horizontal="left"/>
    </xf>
    <xf numFmtId="0" fontId="7" fillId="0" borderId="1" xfId="66" applyFont="1" applyFill="1" applyBorder="1" applyAlignment="1">
      <alignment horizontal="center" vertical="center" wrapText="1"/>
    </xf>
    <xf numFmtId="0" fontId="7" fillId="0" borderId="7" xfId="66" applyFont="1" applyFill="1" applyBorder="1" applyAlignment="1">
      <alignment horizontal="center" vertical="center" wrapText="1"/>
    </xf>
    <xf numFmtId="0" fontId="7" fillId="0" borderId="9" xfId="66" applyFont="1" applyFill="1" applyBorder="1" applyAlignment="1">
      <alignment horizontal="center" vertical="center" wrapText="1"/>
    </xf>
    <xf numFmtId="2" fontId="7" fillId="0" borderId="1" xfId="65" applyNumberFormat="1" applyFont="1" applyFill="1" applyBorder="1" applyAlignment="1">
      <alignment horizontal="center" vertical="center"/>
    </xf>
    <xf numFmtId="0" fontId="7" fillId="0" borderId="0" xfId="66" applyFont="1" applyFill="1" applyAlignment="1">
      <alignment horizontal="center"/>
    </xf>
    <xf numFmtId="2" fontId="7" fillId="0" borderId="1" xfId="66" applyNumberFormat="1" applyFont="1" applyFill="1" applyBorder="1" applyAlignment="1">
      <alignment horizontal="center"/>
    </xf>
    <xf numFmtId="178" fontId="6" fillId="0" borderId="1" xfId="3" applyNumberFormat="1" applyFont="1" applyFill="1" applyBorder="1" applyAlignment="1">
      <alignment horizontal="center" vertical="center"/>
    </xf>
    <xf numFmtId="0" fontId="17" fillId="0" borderId="1" xfId="66" applyFont="1" applyBorder="1" applyAlignment="1">
      <alignment horizontal="center" vertical="center"/>
    </xf>
    <xf numFmtId="0" fontId="18" fillId="0" borderId="0" xfId="66" applyFont="1" applyAlignment="1">
      <alignment horizontal="center" vertical="center"/>
    </xf>
    <xf numFmtId="0" fontId="18" fillId="0" borderId="0" xfId="66" applyFont="1" applyAlignment="1">
      <alignment horizontal="center" vertical="center" wrapText="1"/>
    </xf>
    <xf numFmtId="0" fontId="7" fillId="0" borderId="0" xfId="66" applyFont="1" applyFill="1" applyAlignment="1">
      <alignment horizontal="center" vertical="center"/>
    </xf>
    <xf numFmtId="0" fontId="7" fillId="0" borderId="0" xfId="66" applyFont="1" applyAlignment="1">
      <alignment horizontal="center"/>
    </xf>
    <xf numFmtId="0" fontId="7" fillId="0" borderId="11" xfId="66" applyFont="1" applyBorder="1" applyAlignment="1">
      <alignment horizontal="center" vertical="center"/>
    </xf>
    <xf numFmtId="0" fontId="18" fillId="0" borderId="1" xfId="66" applyFont="1" applyBorder="1" applyAlignment="1">
      <alignment horizontal="center" vertical="center"/>
    </xf>
    <xf numFmtId="0" fontId="18" fillId="0" borderId="0" xfId="66" applyFont="1" applyBorder="1" applyAlignment="1">
      <alignment horizontal="center" vertical="center"/>
    </xf>
    <xf numFmtId="0" fontId="7" fillId="0" borderId="0" xfId="66" applyFont="1" applyBorder="1"/>
    <xf numFmtId="0" fontId="7" fillId="0" borderId="0" xfId="66" applyFont="1" applyAlignment="1">
      <alignment horizontal="center" vertical="center"/>
    </xf>
    <xf numFmtId="0" fontId="7" fillId="0" borderId="3" xfId="66" applyFont="1" applyBorder="1" applyAlignment="1">
      <alignment horizontal="center"/>
    </xf>
    <xf numFmtId="0" fontId="7" fillId="5" borderId="1" xfId="66" applyFont="1" applyFill="1" applyBorder="1" applyAlignment="1">
      <alignment horizontal="center"/>
    </xf>
    <xf numFmtId="0" fontId="19" fillId="0" borderId="1" xfId="62" applyFont="1" applyFill="1" applyBorder="1" applyAlignment="1">
      <alignment horizontal="center" vertical="center"/>
    </xf>
    <xf numFmtId="0" fontId="7" fillId="0" borderId="3" xfId="66" applyFont="1" applyFill="1" applyBorder="1" applyAlignment="1">
      <alignment horizontal="center"/>
    </xf>
    <xf numFmtId="0" fontId="2" fillId="0" borderId="2" xfId="66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7" fillId="0" borderId="1" xfId="51" applyNumberFormat="1" applyFont="1" applyBorder="1" applyAlignment="1">
      <alignment horizontal="center" vertical="center"/>
    </xf>
    <xf numFmtId="0" fontId="8" fillId="0" borderId="0" xfId="66" applyFill="1" applyAlignment="1">
      <alignment horizontal="center"/>
    </xf>
    <xf numFmtId="0" fontId="7" fillId="0" borderId="12" xfId="66" applyFont="1" applyBorder="1" applyAlignment="1">
      <alignment vertical="center"/>
    </xf>
    <xf numFmtId="179" fontId="7" fillId="0" borderId="1" xfId="66" applyNumberFormat="1" applyFont="1" applyBorder="1" applyAlignment="1">
      <alignment horizontal="center"/>
    </xf>
    <xf numFmtId="0" fontId="7" fillId="0" borderId="1" xfId="66" applyFont="1" applyBorder="1" applyAlignment="1">
      <alignment vertical="center"/>
    </xf>
    <xf numFmtId="179" fontId="6" fillId="0" borderId="0" xfId="0" applyNumberFormat="1" applyFont="1" applyFill="1" applyAlignment="1">
      <alignment horizontal="center" vertical="center"/>
    </xf>
    <xf numFmtId="0" fontId="17" fillId="0" borderId="4" xfId="65" applyFont="1" applyFill="1" applyBorder="1" applyAlignment="1">
      <alignment horizontal="center" vertical="center" shrinkToFit="1"/>
    </xf>
    <xf numFmtId="0" fontId="17" fillId="0" borderId="1" xfId="65" applyFont="1" applyFill="1" applyBorder="1" applyAlignment="1">
      <alignment horizontal="center" vertical="center" shrinkToFit="1"/>
    </xf>
    <xf numFmtId="0" fontId="17" fillId="0" borderId="1" xfId="65" applyFont="1" applyFill="1" applyBorder="1" applyAlignment="1">
      <alignment horizontal="left" vertical="center" shrinkToFit="1"/>
    </xf>
    <xf numFmtId="0" fontId="17" fillId="0" borderId="6" xfId="65" applyFont="1" applyFill="1" applyBorder="1" applyAlignment="1">
      <alignment horizontal="center" vertical="center" shrinkToFit="1"/>
    </xf>
    <xf numFmtId="0" fontId="7" fillId="0" borderId="2" xfId="65" applyFont="1" applyFill="1" applyBorder="1" applyAlignment="1">
      <alignment horizontal="center" vertical="center"/>
    </xf>
    <xf numFmtId="0" fontId="10" fillId="0" borderId="1" xfId="6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77" fontId="7" fillId="0" borderId="1" xfId="66" applyNumberFormat="1" applyFont="1" applyFill="1" applyBorder="1" applyAlignment="1">
      <alignment horizontal="center"/>
    </xf>
    <xf numFmtId="180" fontId="7" fillId="0" borderId="1" xfId="51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17" fillId="0" borderId="1" xfId="65" applyFont="1" applyBorder="1" applyAlignment="1">
      <alignment horizontal="center" vertical="center" shrinkToFit="1"/>
    </xf>
    <xf numFmtId="0" fontId="7" fillId="0" borderId="1" xfId="65" applyFont="1" applyBorder="1" applyAlignment="1">
      <alignment horizontal="center" vertical="center"/>
    </xf>
    <xf numFmtId="179" fontId="2" fillId="0" borderId="1" xfId="66" applyNumberFormat="1" applyFont="1" applyBorder="1" applyAlignment="1">
      <alignment horizontal="center" vertical="center"/>
    </xf>
    <xf numFmtId="179" fontId="2" fillId="0" borderId="1" xfId="66" applyNumberFormat="1" applyFont="1" applyFill="1" applyBorder="1" applyAlignment="1">
      <alignment horizontal="center" vertical="center"/>
    </xf>
    <xf numFmtId="179" fontId="2" fillId="0" borderId="1" xfId="66" applyNumberFormat="1" applyFont="1" applyFill="1" applyBorder="1" applyAlignment="1">
      <alignment horizontal="left" vertical="center"/>
    </xf>
    <xf numFmtId="179" fontId="2" fillId="0" borderId="1" xfId="66" applyNumberFormat="1" applyFont="1" applyFill="1" applyBorder="1" applyAlignment="1">
      <alignment horizontal="left" vertical="center" wrapText="1"/>
    </xf>
    <xf numFmtId="0" fontId="7" fillId="0" borderId="1" xfId="66" applyFont="1" applyBorder="1" applyAlignment="1">
      <alignment horizontal="left"/>
    </xf>
    <xf numFmtId="0" fontId="7" fillId="0" borderId="7" xfId="66" applyFont="1" applyBorder="1" applyAlignment="1">
      <alignment horizontal="center"/>
    </xf>
    <xf numFmtId="0" fontId="7" fillId="0" borderId="9" xfId="66" applyFont="1" applyBorder="1" applyAlignment="1">
      <alignment horizontal="center"/>
    </xf>
    <xf numFmtId="178" fontId="7" fillId="0" borderId="3" xfId="3" applyNumberFormat="1" applyFont="1" applyFill="1" applyBorder="1" applyAlignment="1">
      <alignment horizontal="center" vertical="center"/>
    </xf>
    <xf numFmtId="0" fontId="2" fillId="0" borderId="1" xfId="66" applyFont="1" applyBorder="1" applyAlignment="1">
      <alignment vertical="center"/>
    </xf>
    <xf numFmtId="179" fontId="7" fillId="0" borderId="1" xfId="51" applyNumberFormat="1" applyFont="1" applyBorder="1" applyAlignment="1">
      <alignment vertical="center"/>
    </xf>
    <xf numFmtId="179" fontId="7" fillId="0" borderId="1" xfId="51" applyNumberFormat="1" applyFont="1" applyFill="1" applyBorder="1" applyAlignment="1">
      <alignment vertical="center"/>
    </xf>
    <xf numFmtId="179" fontId="7" fillId="0" borderId="1" xfId="64" applyNumberFormat="1" applyFont="1" applyBorder="1" applyAlignment="1">
      <alignment vertical="center"/>
    </xf>
    <xf numFmtId="179" fontId="7" fillId="0" borderId="1" xfId="64" applyNumberFormat="1" applyFont="1" applyBorder="1" applyAlignment="1">
      <alignment horizontal="center" vertical="center"/>
    </xf>
    <xf numFmtId="179" fontId="2" fillId="0" borderId="1" xfId="64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1" xfId="66" applyNumberFormat="1" applyFont="1" applyBorder="1" applyAlignment="1">
      <alignment horizontal="left"/>
    </xf>
    <xf numFmtId="0" fontId="7" fillId="0" borderId="1" xfId="66" applyNumberFormat="1" applyFont="1" applyFill="1" applyBorder="1" applyAlignment="1">
      <alignment horizontal="center"/>
    </xf>
    <xf numFmtId="0" fontId="7" fillId="0" borderId="1" xfId="66" applyNumberFormat="1" applyFont="1" applyFill="1" applyBorder="1" applyAlignment="1">
      <alignment horizontal="center" vertical="center"/>
    </xf>
    <xf numFmtId="0" fontId="7" fillId="0" borderId="1" xfId="65" applyFont="1" applyFill="1" applyBorder="1" applyAlignment="1">
      <alignment horizontal="center" vertical="center" shrinkToFit="1"/>
    </xf>
    <xf numFmtId="0" fontId="7" fillId="0" borderId="1" xfId="65" applyFont="1" applyBorder="1" applyAlignment="1">
      <alignment horizontal="left" vertical="center"/>
    </xf>
    <xf numFmtId="0" fontId="7" fillId="5" borderId="1" xfId="65" applyFont="1" applyFill="1" applyBorder="1" applyAlignment="1">
      <alignment horizontal="left" vertical="center"/>
    </xf>
    <xf numFmtId="0" fontId="20" fillId="0" borderId="1" xfId="66" applyFont="1" applyBorder="1" applyAlignment="1">
      <alignment horizontal="left"/>
    </xf>
    <xf numFmtId="0" fontId="6" fillId="5" borderId="1" xfId="65" applyFont="1" applyFill="1" applyBorder="1" applyAlignment="1">
      <alignment horizontal="left" vertical="center"/>
    </xf>
    <xf numFmtId="0" fontId="7" fillId="0" borderId="1" xfId="66" applyFont="1" applyBorder="1" applyAlignment="1">
      <alignment horizontal="left" vertical="center"/>
    </xf>
    <xf numFmtId="0" fontId="7" fillId="0" borderId="1" xfId="58" applyFont="1" applyFill="1" applyBorder="1" applyAlignment="1">
      <alignment horizontal="left" vertical="center"/>
    </xf>
    <xf numFmtId="0" fontId="7" fillId="0" borderId="1" xfId="58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179" fontId="7" fillId="0" borderId="1" xfId="66" applyNumberFormat="1" applyFont="1" applyBorder="1" applyAlignment="1">
      <alignment horizontal="left" vertical="center"/>
    </xf>
    <xf numFmtId="0" fontId="13" fillId="0" borderId="1" xfId="66" applyFont="1" applyBorder="1" applyAlignment="1">
      <alignment horizontal="left" vertical="center"/>
    </xf>
    <xf numFmtId="0" fontId="13" fillId="0" borderId="1" xfId="66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7" fillId="0" borderId="5" xfId="66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4" xfId="66" applyNumberFormat="1" applyFont="1" applyFill="1" applyBorder="1" applyAlignment="1">
      <alignment horizontal="center" vertical="center"/>
    </xf>
    <xf numFmtId="0" fontId="7" fillId="0" borderId="5" xfId="66" applyNumberFormat="1" applyFont="1" applyFill="1" applyBorder="1" applyAlignment="1">
      <alignment horizontal="center" vertical="center"/>
    </xf>
    <xf numFmtId="179" fontId="7" fillId="0" borderId="3" xfId="51" applyNumberFormat="1" applyFont="1" applyBorder="1" applyAlignment="1">
      <alignment horizontal="center" vertical="center"/>
    </xf>
    <xf numFmtId="180" fontId="7" fillId="0" borderId="3" xfId="51" applyNumberFormat="1" applyFont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180" fontId="7" fillId="0" borderId="3" xfId="51" applyNumberFormat="1" applyFont="1" applyFill="1" applyBorder="1" applyAlignment="1">
      <alignment horizontal="center" vertical="center"/>
    </xf>
    <xf numFmtId="178" fontId="7" fillId="0" borderId="1" xfId="3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9" fontId="7" fillId="0" borderId="3" xfId="51" applyNumberFormat="1" applyFont="1" applyFill="1" applyBorder="1" applyAlignment="1">
      <alignment horizontal="center" vertical="center"/>
    </xf>
    <xf numFmtId="0" fontId="7" fillId="0" borderId="3" xfId="66" applyNumberFormat="1" applyFont="1" applyFill="1" applyBorder="1" applyAlignment="1">
      <alignment horizontal="center" vertical="center"/>
    </xf>
    <xf numFmtId="179" fontId="7" fillId="0" borderId="1" xfId="51" applyNumberFormat="1" applyFont="1" applyFill="1" applyBorder="1" applyAlignment="1">
      <alignment horizontal="center"/>
    </xf>
    <xf numFmtId="180" fontId="7" fillId="0" borderId="1" xfId="51" applyNumberFormat="1" applyFont="1" applyFill="1" applyBorder="1" applyAlignment="1">
      <alignment horizontal="center"/>
    </xf>
    <xf numFmtId="0" fontId="7" fillId="0" borderId="0" xfId="66" applyNumberFormat="1" applyFont="1" applyAlignment="1">
      <alignment horizontal="center" vertical="center"/>
    </xf>
    <xf numFmtId="0" fontId="7" fillId="0" borderId="13" xfId="66" applyNumberFormat="1" applyFont="1" applyFill="1" applyBorder="1" applyAlignment="1">
      <alignment horizontal="center" vertical="center"/>
    </xf>
    <xf numFmtId="0" fontId="7" fillId="0" borderId="14" xfId="66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9" fontId="23" fillId="0" borderId="1" xfId="59" applyNumberFormat="1" applyFont="1" applyFill="1" applyBorder="1" applyAlignment="1">
      <alignment horizontal="center" vertical="center"/>
    </xf>
    <xf numFmtId="179" fontId="23" fillId="0" borderId="1" xfId="59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/>
    </xf>
    <xf numFmtId="179" fontId="25" fillId="0" borderId="1" xfId="3" applyNumberFormat="1" applyFont="1" applyFill="1" applyBorder="1" applyAlignment="1">
      <alignment horizontal="center" vertical="center"/>
    </xf>
    <xf numFmtId="178" fontId="25" fillId="0" borderId="1" xfId="3" applyNumberFormat="1" applyFont="1" applyFill="1" applyBorder="1" applyAlignment="1">
      <alignment horizontal="center" vertical="center"/>
    </xf>
    <xf numFmtId="179" fontId="23" fillId="5" borderId="1" xfId="59" applyNumberFormat="1" applyFont="1" applyFill="1" applyBorder="1" applyAlignment="1">
      <alignment horizontal="center" vertical="center"/>
    </xf>
    <xf numFmtId="177" fontId="26" fillId="5" borderId="1" xfId="59" applyNumberFormat="1" applyFont="1" applyFill="1" applyBorder="1" applyAlignment="1">
      <alignment vertical="center"/>
    </xf>
    <xf numFmtId="177" fontId="23" fillId="5" borderId="1" xfId="59" applyNumberFormat="1" applyFont="1" applyFill="1" applyBorder="1" applyAlignment="1">
      <alignment horizontal="center" vertical="center"/>
    </xf>
    <xf numFmtId="178" fontId="25" fillId="5" borderId="1" xfId="3" applyNumberFormat="1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horizontal="center" vertical="center"/>
    </xf>
    <xf numFmtId="0" fontId="27" fillId="0" borderId="0" xfId="60" applyFont="1" applyFill="1" applyAlignment="1">
      <alignment horizontal="center" vertical="center"/>
    </xf>
    <xf numFmtId="179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>
      <alignment vertical="center"/>
    </xf>
    <xf numFmtId="179" fontId="24" fillId="0" borderId="1" xfId="0" applyNumberFormat="1" applyFont="1" applyFill="1" applyBorder="1" applyAlignment="1">
      <alignment horizontal="center" vertical="center"/>
    </xf>
    <xf numFmtId="178" fontId="24" fillId="0" borderId="1" xfId="3" applyNumberFormat="1" applyFont="1" applyFill="1" applyBorder="1" applyAlignment="1">
      <alignment horizontal="center" vertical="center"/>
    </xf>
    <xf numFmtId="179" fontId="24" fillId="0" borderId="1" xfId="3" applyNumberFormat="1" applyFont="1" applyFill="1" applyBorder="1" applyAlignment="1">
      <alignment horizontal="center" vertical="center"/>
    </xf>
    <xf numFmtId="0" fontId="7" fillId="0" borderId="1" xfId="66" applyFont="1" applyBorder="1" applyAlignment="1" quotePrefix="1">
      <alignment horizontal="left"/>
    </xf>
    <xf numFmtId="0" fontId="7" fillId="0" borderId="1" xfId="66" applyFont="1" applyFill="1" applyBorder="1" applyAlignment="1" quotePrefix="1">
      <alignment horizontal="left"/>
    </xf>
    <xf numFmtId="179" fontId="2" fillId="0" borderId="1" xfId="66" applyNumberFormat="1" applyFont="1" applyBorder="1" applyAlignment="1" quotePrefix="1">
      <alignment horizontal="center" vertical="center"/>
    </xf>
    <xf numFmtId="0" fontId="7" fillId="0" borderId="1" xfId="66" applyFont="1" applyBorder="1" applyAlignment="1" quotePrefix="1">
      <alignment horizontal="center"/>
    </xf>
    <xf numFmtId="179" fontId="2" fillId="0" borderId="1" xfId="66" applyNumberFormat="1" applyFont="1" applyFill="1" applyBorder="1" applyAlignment="1" quotePrefix="1">
      <alignment horizontal="center" vertical="center"/>
    </xf>
    <xf numFmtId="0" fontId="7" fillId="0" borderId="1" xfId="66" applyFont="1" applyFill="1" applyBorder="1" applyAlignment="1" quotePrefix="1">
      <alignment horizont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quotePrefix="1">
      <alignment vertical="center"/>
    </xf>
    <xf numFmtId="0" fontId="7" fillId="6" borderId="1" xfId="66" applyFont="1" applyFill="1" applyBorder="1" applyAlignment="1" quotePrefix="1">
      <alignment horizontal="left"/>
    </xf>
    <xf numFmtId="0" fontId="7" fillId="0" borderId="1" xfId="66" applyFont="1" applyFill="1" applyBorder="1" applyAlignment="1" quotePrefix="1">
      <alignment horizontal="left" vertical="center"/>
    </xf>
    <xf numFmtId="0" fontId="3" fillId="0" borderId="1" xfId="0" applyFont="1" applyFill="1" applyBorder="1" applyAlignment="1" quotePrefix="1">
      <alignment horizontal="center" vertical="center"/>
    </xf>
    <xf numFmtId="0" fontId="2" fillId="0" borderId="1" xfId="66" applyFont="1" applyBorder="1" applyAlignment="1" quotePrefix="1">
      <alignment horizontal="center"/>
    </xf>
    <xf numFmtId="0" fontId="2" fillId="0" borderId="1" xfId="66" applyFont="1" applyFill="1" applyBorder="1" applyAlignment="1" quotePrefix="1">
      <alignment horizontal="center"/>
    </xf>
    <xf numFmtId="0" fontId="1" fillId="0" borderId="1" xfId="0" applyFont="1" applyBorder="1" applyAlignment="1" quotePrefix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 4 3" xfId="49"/>
    <cellStyle name="常规 2 5 3 2" xfId="50"/>
    <cellStyle name="百分比 2" xfId="51"/>
    <cellStyle name="_ET_STYLE_NoName_00_" xfId="52"/>
    <cellStyle name="Normal" xfId="53"/>
    <cellStyle name="常规 3" xfId="54"/>
    <cellStyle name="常规_Sheet1" xfId="55"/>
    <cellStyle name="常规 3 29" xfId="56"/>
    <cellStyle name="常规 12" xfId="57"/>
    <cellStyle name="常规 10" xfId="58"/>
    <cellStyle name="常规 10 10 2 2 2 2" xfId="59"/>
    <cellStyle name="常规 16" xfId="60"/>
    <cellStyle name="常规 2 11" xfId="61"/>
    <cellStyle name="常规 60 2" xfId="62"/>
    <cellStyle name="常规 60 3" xfId="63"/>
    <cellStyle name="常规 15" xfId="64"/>
    <cellStyle name="常规 2" xfId="65"/>
    <cellStyle name="常规 66" xfId="66"/>
    <cellStyle name="常规 5" xfId="67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T19"/>
  <sheetViews>
    <sheetView zoomScale="90" zoomScaleNormal="90" workbookViewId="0">
      <selection activeCell="AR11" sqref="AR3 AR5:AR6 AR8:AR9 AR11:AR12"/>
    </sheetView>
  </sheetViews>
  <sheetFormatPr defaultColWidth="9" defaultRowHeight="16.5"/>
  <cols>
    <col min="1" max="1" width="9" style="250"/>
    <col min="2" max="2" width="13.3272727272727" style="250" customWidth="1"/>
    <col min="3" max="3" width="11.8090909090909" style="250" customWidth="1"/>
    <col min="4" max="4" width="11.1272727272727" style="250" hidden="1" customWidth="1"/>
    <col min="5" max="5" width="12.1272727272727" style="250" hidden="1" customWidth="1"/>
    <col min="6" max="6" width="9" style="250" hidden="1" customWidth="1"/>
    <col min="7" max="7" width="11.1272727272727" style="250" hidden="1" customWidth="1"/>
    <col min="8" max="8" width="12.1272727272727" style="250" hidden="1" customWidth="1"/>
    <col min="9" max="9" width="9" style="250" hidden="1" customWidth="1"/>
    <col min="10" max="10" width="11.1272727272727" style="250" hidden="1" customWidth="1"/>
    <col min="11" max="11" width="12.1272727272727" style="250" hidden="1" customWidth="1"/>
    <col min="12" max="12" width="9" style="250" hidden="1" customWidth="1"/>
    <col min="13" max="13" width="10.8363636363636" style="248" hidden="1" customWidth="1"/>
    <col min="14" max="14" width="11.1272727272727" style="248" hidden="1" customWidth="1"/>
    <col min="15" max="15" width="9" style="248" hidden="1" customWidth="1"/>
    <col min="16" max="16" width="11.1272727272727" style="250" hidden="1" customWidth="1"/>
    <col min="17" max="17" width="12.1272727272727" style="250" hidden="1" customWidth="1"/>
    <col min="18" max="18" width="9" style="250" hidden="1" customWidth="1"/>
    <col min="19" max="19" width="10.8363636363636" style="248" hidden="1" customWidth="1"/>
    <col min="20" max="20" width="11.1272727272727" style="248" hidden="1" customWidth="1"/>
    <col min="21" max="21" width="9" style="248" hidden="1" customWidth="1"/>
    <col min="22" max="22" width="11.1272727272727" style="250" hidden="1" customWidth="1"/>
    <col min="23" max="23" width="12.1272727272727" style="250" hidden="1" customWidth="1"/>
    <col min="24" max="24" width="9" style="250" hidden="1" customWidth="1"/>
    <col min="25" max="25" width="10.8363636363636" style="248" hidden="1" customWidth="1"/>
    <col min="26" max="26" width="11.1272727272727" style="248" hidden="1" customWidth="1"/>
    <col min="27" max="27" width="9" style="248" hidden="1" customWidth="1"/>
    <col min="28" max="28" width="11.1272727272727" style="250" hidden="1" customWidth="1"/>
    <col min="29" max="29" width="12.1272727272727" style="250" hidden="1" customWidth="1"/>
    <col min="30" max="30" width="9" style="250" hidden="1" customWidth="1"/>
    <col min="31" max="31" width="10.8363636363636" style="248" hidden="1" customWidth="1"/>
    <col min="32" max="32" width="11.1272727272727" style="248" hidden="1" customWidth="1"/>
    <col min="33" max="33" width="9" style="248" hidden="1" customWidth="1"/>
    <col min="34" max="34" width="11.1272727272727" style="250" hidden="1" customWidth="1"/>
    <col min="35" max="35" width="12.1272727272727" style="250" hidden="1" customWidth="1"/>
    <col min="36" max="36" width="9" style="250" hidden="1" customWidth="1"/>
    <col min="37" max="37" width="10.8363636363636" style="248" hidden="1" customWidth="1"/>
    <col min="38" max="38" width="11.1272727272727" style="248" hidden="1" customWidth="1"/>
    <col min="39" max="39" width="9" style="248" hidden="1" customWidth="1"/>
    <col min="40" max="40" width="11.1272727272727" style="250" customWidth="1"/>
    <col min="41" max="41" width="12.1272727272727" style="250" customWidth="1"/>
    <col min="42" max="42" width="9" style="250" customWidth="1"/>
    <col min="43" max="43" width="10.8363636363636" style="248" customWidth="1"/>
    <col min="44" max="44" width="11.1272727272727" style="248" customWidth="1"/>
    <col min="45" max="45" width="9" style="248"/>
    <col min="46" max="46" width="10.5545454545455" style="248" customWidth="1"/>
    <col min="47" max="16384" width="9" style="248"/>
  </cols>
  <sheetData>
    <row r="1" s="248" customFormat="1" spans="1:46">
      <c r="A1" s="251" t="s">
        <v>0</v>
      </c>
      <c r="B1" s="252" t="s">
        <v>1</v>
      </c>
      <c r="C1" s="251" t="s">
        <v>2</v>
      </c>
      <c r="D1" s="253" t="s">
        <v>3</v>
      </c>
      <c r="E1" s="253"/>
      <c r="F1" s="253" t="s">
        <v>4</v>
      </c>
      <c r="G1" s="253" t="s">
        <v>5</v>
      </c>
      <c r="H1" s="253"/>
      <c r="I1" s="253" t="s">
        <v>4</v>
      </c>
      <c r="J1" s="253" t="s">
        <v>6</v>
      </c>
      <c r="K1" s="253"/>
      <c r="L1" s="253" t="s">
        <v>4</v>
      </c>
      <c r="M1" s="253" t="s">
        <v>7</v>
      </c>
      <c r="N1" s="253"/>
      <c r="O1" s="253" t="s">
        <v>4</v>
      </c>
      <c r="P1" s="253" t="s">
        <v>8</v>
      </c>
      <c r="Q1" s="253"/>
      <c r="R1" s="253" t="s">
        <v>4</v>
      </c>
      <c r="S1" s="253" t="s">
        <v>9</v>
      </c>
      <c r="T1" s="253"/>
      <c r="U1" s="253" t="s">
        <v>4</v>
      </c>
      <c r="V1" s="253" t="s">
        <v>10</v>
      </c>
      <c r="W1" s="253"/>
      <c r="X1" s="253" t="s">
        <v>4</v>
      </c>
      <c r="Y1" s="253" t="s">
        <v>11</v>
      </c>
      <c r="Z1" s="253"/>
      <c r="AA1" s="253" t="s">
        <v>4</v>
      </c>
      <c r="AB1" s="253" t="s">
        <v>12</v>
      </c>
      <c r="AC1" s="253"/>
      <c r="AD1" s="253" t="s">
        <v>4</v>
      </c>
      <c r="AE1" s="253" t="s">
        <v>13</v>
      </c>
      <c r="AF1" s="253"/>
      <c r="AG1" s="253" t="s">
        <v>4</v>
      </c>
      <c r="AH1" s="253" t="s">
        <v>14</v>
      </c>
      <c r="AI1" s="253"/>
      <c r="AJ1" s="253" t="s">
        <v>4</v>
      </c>
      <c r="AK1" s="253" t="s">
        <v>15</v>
      </c>
      <c r="AL1" s="253"/>
      <c r="AM1" s="253" t="s">
        <v>4</v>
      </c>
      <c r="AN1" s="253" t="s">
        <v>16</v>
      </c>
      <c r="AO1" s="253"/>
      <c r="AP1" s="253" t="s">
        <v>4</v>
      </c>
      <c r="AQ1" s="253" t="s">
        <v>17</v>
      </c>
      <c r="AR1" s="253"/>
      <c r="AS1" s="253" t="s">
        <v>4</v>
      </c>
      <c r="AT1" s="251" t="s">
        <v>18</v>
      </c>
    </row>
    <row r="2" s="248" customFormat="1" spans="1:46">
      <c r="A2" s="251"/>
      <c r="B2" s="252"/>
      <c r="C2" s="251"/>
      <c r="D2" s="253" t="s">
        <v>19</v>
      </c>
      <c r="E2" s="253" t="s">
        <v>20</v>
      </c>
      <c r="F2" s="253"/>
      <c r="G2" s="253" t="s">
        <v>19</v>
      </c>
      <c r="H2" s="253" t="s">
        <v>20</v>
      </c>
      <c r="I2" s="253"/>
      <c r="J2" s="253" t="s">
        <v>19</v>
      </c>
      <c r="K2" s="253" t="s">
        <v>20</v>
      </c>
      <c r="L2" s="253"/>
      <c r="M2" s="253" t="s">
        <v>19</v>
      </c>
      <c r="N2" s="253" t="s">
        <v>20</v>
      </c>
      <c r="O2" s="253"/>
      <c r="P2" s="253" t="s">
        <v>19</v>
      </c>
      <c r="Q2" s="253" t="s">
        <v>20</v>
      </c>
      <c r="R2" s="253"/>
      <c r="S2" s="253" t="s">
        <v>19</v>
      </c>
      <c r="T2" s="253" t="s">
        <v>20</v>
      </c>
      <c r="U2" s="253"/>
      <c r="V2" s="253" t="s">
        <v>19</v>
      </c>
      <c r="W2" s="253" t="s">
        <v>20</v>
      </c>
      <c r="X2" s="253"/>
      <c r="Y2" s="253" t="s">
        <v>19</v>
      </c>
      <c r="Z2" s="253" t="s">
        <v>20</v>
      </c>
      <c r="AA2" s="253"/>
      <c r="AB2" s="253" t="s">
        <v>19</v>
      </c>
      <c r="AC2" s="253" t="s">
        <v>20</v>
      </c>
      <c r="AD2" s="253"/>
      <c r="AE2" s="253" t="s">
        <v>19</v>
      </c>
      <c r="AF2" s="253" t="s">
        <v>20</v>
      </c>
      <c r="AG2" s="253"/>
      <c r="AH2" s="253" t="s">
        <v>19</v>
      </c>
      <c r="AI2" s="253" t="s">
        <v>20</v>
      </c>
      <c r="AJ2" s="253"/>
      <c r="AK2" s="253" t="s">
        <v>19</v>
      </c>
      <c r="AL2" s="253" t="s">
        <v>20</v>
      </c>
      <c r="AM2" s="253"/>
      <c r="AN2" s="253" t="s">
        <v>19</v>
      </c>
      <c r="AO2" s="253" t="s">
        <v>20</v>
      </c>
      <c r="AP2" s="253"/>
      <c r="AQ2" s="253" t="s">
        <v>19</v>
      </c>
      <c r="AR2" s="253" t="s">
        <v>20</v>
      </c>
      <c r="AS2" s="253"/>
      <c r="AT2" s="251"/>
    </row>
    <row r="3" s="248" customFormat="1" ht="15" customHeight="1" spans="1:46">
      <c r="A3" s="251" t="s">
        <v>21</v>
      </c>
      <c r="B3" s="252" t="s">
        <v>22</v>
      </c>
      <c r="C3" s="254">
        <v>43500000</v>
      </c>
      <c r="D3" s="255">
        <v>1820726.47</v>
      </c>
      <c r="E3" s="255">
        <v>2134133.92</v>
      </c>
      <c r="F3" s="256">
        <f>E3/D3-1</f>
        <v>0.172133187034953</v>
      </c>
      <c r="G3" s="255">
        <v>665632</v>
      </c>
      <c r="H3" s="255">
        <v>2030936.03</v>
      </c>
      <c r="I3" s="256">
        <f>H3/G3-1</f>
        <v>2.05113941336955</v>
      </c>
      <c r="J3" s="255">
        <v>2335229.55</v>
      </c>
      <c r="K3" s="255">
        <v>3216768.37</v>
      </c>
      <c r="L3" s="256">
        <f t="shared" ref="L3:L13" si="0">K3/J3-1</f>
        <v>0.377495574257357</v>
      </c>
      <c r="M3" s="255">
        <v>4821588.02</v>
      </c>
      <c r="N3" s="255">
        <v>7381838.32</v>
      </c>
      <c r="O3" s="256">
        <f t="shared" ref="O3:O13" si="1">N3/M3-1</f>
        <v>0.530997316523115</v>
      </c>
      <c r="P3" s="255">
        <v>2932936.84</v>
      </c>
      <c r="Q3" s="255">
        <v>3545274.19</v>
      </c>
      <c r="R3" s="256">
        <f t="shared" ref="R3:R13" si="2">Q3/P3-1</f>
        <v>0.208779589675719</v>
      </c>
      <c r="S3" s="255">
        <v>7754524.86</v>
      </c>
      <c r="T3" s="255">
        <v>10927112.51</v>
      </c>
      <c r="U3" s="256">
        <f t="shared" ref="U3:U13" si="3">T3/S3-1</f>
        <v>0.409127278237909</v>
      </c>
      <c r="V3" s="255">
        <v>2754128.27</v>
      </c>
      <c r="W3" s="255">
        <v>2967729.72</v>
      </c>
      <c r="X3" s="256">
        <f t="shared" ref="X3:X13" si="4">W3/V3-1</f>
        <v>0.0775568270827125</v>
      </c>
      <c r="Y3" s="255">
        <v>10508653.13</v>
      </c>
      <c r="Z3" s="255">
        <v>13954842.23</v>
      </c>
      <c r="AA3" s="256">
        <f t="shared" ref="AA3:AA13" si="5">Z3/Y3-1</f>
        <v>0.327938229320925</v>
      </c>
      <c r="AB3" s="255">
        <v>3834503.49</v>
      </c>
      <c r="AC3" s="255">
        <v>3744100.99</v>
      </c>
      <c r="AD3" s="256">
        <f t="shared" ref="AD3:AD13" si="6">AC3/AB3-1</f>
        <v>-0.0235760640812456</v>
      </c>
      <c r="AE3" s="255">
        <v>14343156.62</v>
      </c>
      <c r="AF3" s="255">
        <v>17698368.22</v>
      </c>
      <c r="AG3" s="256">
        <f t="shared" ref="AG3:AG13" si="7">AF3/AE3-1</f>
        <v>0.233924211307957</v>
      </c>
      <c r="AH3" s="255">
        <v>2104345.24</v>
      </c>
      <c r="AI3" s="255">
        <v>2351069.78</v>
      </c>
      <c r="AJ3" s="256">
        <f t="shared" ref="AJ3:AJ13" si="8">AI3/AH3-1</f>
        <v>0.117245276730352</v>
      </c>
      <c r="AK3" s="255">
        <v>16447501.86</v>
      </c>
      <c r="AL3" s="255">
        <v>20049438</v>
      </c>
      <c r="AM3" s="256">
        <f t="shared" ref="AM3:AM13" si="9">AL3/AK3-1</f>
        <v>0.218995940578663</v>
      </c>
      <c r="AN3" s="255">
        <v>1930214.36</v>
      </c>
      <c r="AO3" s="255">
        <v>1841887.65</v>
      </c>
      <c r="AP3" s="256">
        <f t="shared" ref="AP3:AP13" si="10">AO3/AN3-1</f>
        <v>-0.045760052266941</v>
      </c>
      <c r="AQ3" s="255">
        <v>18377716.22</v>
      </c>
      <c r="AR3" s="255">
        <v>21891325.65</v>
      </c>
      <c r="AS3" s="256">
        <f t="shared" ref="AS3:AS13" si="11">AR3/AQ3-1</f>
        <v>0.191188577946167</v>
      </c>
      <c r="AT3" s="37">
        <f>AR3/C3</f>
        <v>0.503248865517241</v>
      </c>
    </row>
    <row r="4" s="248" customFormat="1" ht="15" customHeight="1" spans="1:46">
      <c r="A4" s="251"/>
      <c r="B4" s="252" t="s">
        <v>23</v>
      </c>
      <c r="C4" s="254"/>
      <c r="D4" s="255"/>
      <c r="E4" s="255">
        <v>646534</v>
      </c>
      <c r="F4" s="256" t="e">
        <f>E4/D4-1</f>
        <v>#DIV/0!</v>
      </c>
      <c r="G4" s="255"/>
      <c r="H4" s="255">
        <v>486138</v>
      </c>
      <c r="I4" s="256" t="e">
        <f>H4/G4-1</f>
        <v>#DIV/0!</v>
      </c>
      <c r="J4" s="255"/>
      <c r="K4" s="255">
        <v>376210</v>
      </c>
      <c r="L4" s="256" t="e">
        <f t="shared" si="0"/>
        <v>#DIV/0!</v>
      </c>
      <c r="M4" s="255"/>
      <c r="N4" s="255">
        <v>1508882</v>
      </c>
      <c r="O4" s="256" t="e">
        <f t="shared" si="1"/>
        <v>#DIV/0!</v>
      </c>
      <c r="P4" s="255">
        <v>127164</v>
      </c>
      <c r="Q4" s="255">
        <v>332230</v>
      </c>
      <c r="R4" s="256">
        <f t="shared" si="2"/>
        <v>1.61261048724482</v>
      </c>
      <c r="S4" s="255">
        <v>127164</v>
      </c>
      <c r="T4" s="255">
        <v>1841112</v>
      </c>
      <c r="U4" s="256">
        <f t="shared" si="3"/>
        <v>13.4782485609135</v>
      </c>
      <c r="V4" s="255">
        <v>237373</v>
      </c>
      <c r="W4" s="255">
        <v>272632</v>
      </c>
      <c r="X4" s="256">
        <f t="shared" si="4"/>
        <v>0.148538376310701</v>
      </c>
      <c r="Y4" s="255">
        <v>364537</v>
      </c>
      <c r="Z4" s="255">
        <v>2113744</v>
      </c>
      <c r="AA4" s="256">
        <f t="shared" si="5"/>
        <v>4.79843472679042</v>
      </c>
      <c r="AB4" s="255">
        <v>205722</v>
      </c>
      <c r="AC4" s="255">
        <v>351814</v>
      </c>
      <c r="AD4" s="256">
        <f t="shared" si="6"/>
        <v>0.710142814088916</v>
      </c>
      <c r="AE4" s="255">
        <v>570259</v>
      </c>
      <c r="AF4" s="255">
        <v>2466133</v>
      </c>
      <c r="AG4" s="256">
        <f t="shared" si="7"/>
        <v>3.32458409249131</v>
      </c>
      <c r="AH4" s="255">
        <v>377153</v>
      </c>
      <c r="AI4" s="255">
        <v>310892</v>
      </c>
      <c r="AJ4" s="256">
        <f t="shared" si="8"/>
        <v>-0.175687320530395</v>
      </c>
      <c r="AK4" s="255">
        <v>947412</v>
      </c>
      <c r="AL4" s="255">
        <v>2634430</v>
      </c>
      <c r="AM4" s="256">
        <f t="shared" si="9"/>
        <v>1.78065931189388</v>
      </c>
      <c r="AN4" s="255">
        <v>425201</v>
      </c>
      <c r="AO4" s="255">
        <v>351404</v>
      </c>
      <c r="AP4" s="256">
        <f t="shared" si="10"/>
        <v>-0.1735579173144</v>
      </c>
      <c r="AQ4" s="255">
        <v>1372613</v>
      </c>
      <c r="AR4" s="255">
        <v>2985834</v>
      </c>
      <c r="AS4" s="256">
        <f t="shared" si="11"/>
        <v>1.17529194317699</v>
      </c>
      <c r="AT4" s="37" t="e">
        <f t="shared" ref="AT4:AT13" si="12">AR4/C4</f>
        <v>#DIV/0!</v>
      </c>
    </row>
    <row r="5" s="248" customFormat="1" ht="15" customHeight="1" spans="1:46">
      <c r="A5" s="251"/>
      <c r="B5" s="252" t="s">
        <v>24</v>
      </c>
      <c r="C5" s="254">
        <v>12000000</v>
      </c>
      <c r="D5" s="255">
        <v>1110866.71</v>
      </c>
      <c r="E5" s="255">
        <v>802311.19</v>
      </c>
      <c r="F5" s="256">
        <f t="shared" ref="F5:F13" si="13">E5/D5-1</f>
        <v>-0.277761064601531</v>
      </c>
      <c r="G5" s="255">
        <v>225264</v>
      </c>
      <c r="H5" s="255">
        <v>353390.48</v>
      </c>
      <c r="I5" s="256">
        <f t="shared" ref="I5:I13" si="14">H5/G5-1</f>
        <v>0.568783649406918</v>
      </c>
      <c r="J5" s="255">
        <v>365888</v>
      </c>
      <c r="K5" s="255">
        <v>969353.65</v>
      </c>
      <c r="L5" s="256">
        <f t="shared" si="0"/>
        <v>1.64931796068742</v>
      </c>
      <c r="M5" s="255">
        <v>1702018.71</v>
      </c>
      <c r="N5" s="255">
        <v>2125055.32</v>
      </c>
      <c r="O5" s="256">
        <f t="shared" si="1"/>
        <v>0.248549917527052</v>
      </c>
      <c r="P5" s="255">
        <v>648379.45</v>
      </c>
      <c r="Q5" s="255">
        <v>857787.1</v>
      </c>
      <c r="R5" s="256">
        <f t="shared" si="2"/>
        <v>0.322970831355004</v>
      </c>
      <c r="S5" s="255">
        <v>2350398.16</v>
      </c>
      <c r="T5" s="255">
        <v>2982842.42</v>
      </c>
      <c r="U5" s="256">
        <f t="shared" si="3"/>
        <v>0.269079626917339</v>
      </c>
      <c r="V5" s="255">
        <v>639095.81</v>
      </c>
      <c r="W5" s="255">
        <v>661714.03</v>
      </c>
      <c r="X5" s="256">
        <f t="shared" si="4"/>
        <v>0.0353909690004071</v>
      </c>
      <c r="Y5" s="255">
        <v>2989493.97</v>
      </c>
      <c r="Z5" s="255">
        <v>3644556.45</v>
      </c>
      <c r="AA5" s="256">
        <f t="shared" si="5"/>
        <v>0.219121525774477</v>
      </c>
      <c r="AB5" s="255">
        <v>677171.21</v>
      </c>
      <c r="AC5" s="255">
        <v>970845.98</v>
      </c>
      <c r="AD5" s="256">
        <f t="shared" si="6"/>
        <v>0.43367875902462</v>
      </c>
      <c r="AE5" s="255">
        <v>3666665.18</v>
      </c>
      <c r="AF5" s="255">
        <v>4615402.43</v>
      </c>
      <c r="AG5" s="256">
        <f t="shared" si="7"/>
        <v>0.258746627637269</v>
      </c>
      <c r="AH5" s="255">
        <v>658308.08</v>
      </c>
      <c r="AI5" s="255">
        <v>383538.42</v>
      </c>
      <c r="AJ5" s="256">
        <f t="shared" si="8"/>
        <v>-0.417387646221811</v>
      </c>
      <c r="AK5" s="255">
        <v>4324973.26</v>
      </c>
      <c r="AL5" s="255">
        <v>4998940.85</v>
      </c>
      <c r="AM5" s="256">
        <f t="shared" si="9"/>
        <v>0.155831620101161</v>
      </c>
      <c r="AN5" s="255">
        <v>452837.18</v>
      </c>
      <c r="AO5" s="255">
        <v>243092</v>
      </c>
      <c r="AP5" s="256">
        <f t="shared" si="10"/>
        <v>-0.463180121384909</v>
      </c>
      <c r="AQ5" s="255">
        <v>4777810.44</v>
      </c>
      <c r="AR5" s="255">
        <v>5242032.85</v>
      </c>
      <c r="AS5" s="256">
        <f t="shared" si="11"/>
        <v>0.0971621657723196</v>
      </c>
      <c r="AT5" s="37">
        <f t="shared" si="12"/>
        <v>0.436836070833333</v>
      </c>
    </row>
    <row r="6" s="248" customFormat="1" ht="15" customHeight="1" spans="1:46">
      <c r="A6" s="251"/>
      <c r="B6" s="252" t="s">
        <v>25</v>
      </c>
      <c r="C6" s="254">
        <v>10000000</v>
      </c>
      <c r="D6" s="255">
        <v>578458.28</v>
      </c>
      <c r="E6" s="255">
        <v>474052</v>
      </c>
      <c r="F6" s="256">
        <f t="shared" si="13"/>
        <v>-0.180490596486924</v>
      </c>
      <c r="G6" s="255">
        <v>382921</v>
      </c>
      <c r="H6" s="255">
        <v>390891.04</v>
      </c>
      <c r="I6" s="256">
        <f t="shared" si="14"/>
        <v>0.0208137971017519</v>
      </c>
      <c r="J6" s="255">
        <v>427042.28</v>
      </c>
      <c r="K6" s="255">
        <v>414836.06</v>
      </c>
      <c r="L6" s="256">
        <f t="shared" si="0"/>
        <v>-0.0285831651142365</v>
      </c>
      <c r="M6" s="255">
        <v>1388421.56</v>
      </c>
      <c r="N6" s="255">
        <v>1279779.1</v>
      </c>
      <c r="O6" s="256">
        <f t="shared" si="1"/>
        <v>-0.0782489001395225</v>
      </c>
      <c r="P6" s="255">
        <v>399949</v>
      </c>
      <c r="Q6" s="255">
        <v>411808.08</v>
      </c>
      <c r="R6" s="256">
        <f t="shared" si="2"/>
        <v>0.029651480563772</v>
      </c>
      <c r="S6" s="255">
        <v>1788370.56</v>
      </c>
      <c r="T6" s="255">
        <v>1691587.18</v>
      </c>
      <c r="U6" s="256">
        <f t="shared" si="3"/>
        <v>-0.0541181912545016</v>
      </c>
      <c r="V6" s="255">
        <v>597544</v>
      </c>
      <c r="W6" s="255">
        <v>404990</v>
      </c>
      <c r="X6" s="256">
        <f t="shared" si="4"/>
        <v>-0.322242378803904</v>
      </c>
      <c r="Y6" s="255">
        <v>2385914.56</v>
      </c>
      <c r="Z6" s="255">
        <v>2096577.18</v>
      </c>
      <c r="AA6" s="256">
        <f t="shared" si="5"/>
        <v>-0.121268961114852</v>
      </c>
      <c r="AB6" s="255">
        <v>442447</v>
      </c>
      <c r="AC6" s="255">
        <v>273945</v>
      </c>
      <c r="AD6" s="256">
        <f t="shared" si="6"/>
        <v>-0.380841095091615</v>
      </c>
      <c r="AE6" s="255">
        <v>2828361.56</v>
      </c>
      <c r="AF6" s="255">
        <v>2370522.18</v>
      </c>
      <c r="AG6" s="256">
        <f t="shared" si="7"/>
        <v>-0.161874417498447</v>
      </c>
      <c r="AH6" s="255">
        <v>267076.26</v>
      </c>
      <c r="AI6" s="255">
        <v>314396</v>
      </c>
      <c r="AJ6" s="256">
        <f t="shared" si="8"/>
        <v>0.177176885732936</v>
      </c>
      <c r="AK6" s="255">
        <v>3095437.82</v>
      </c>
      <c r="AL6" s="255">
        <v>2684918.18</v>
      </c>
      <c r="AM6" s="256">
        <f t="shared" si="9"/>
        <v>-0.132620864598727</v>
      </c>
      <c r="AN6" s="255">
        <v>297074.56</v>
      </c>
      <c r="AO6" s="255">
        <v>301382.6</v>
      </c>
      <c r="AP6" s="256">
        <f t="shared" si="10"/>
        <v>0.014501544662727</v>
      </c>
      <c r="AQ6" s="255">
        <v>3392512.38</v>
      </c>
      <c r="AR6" s="255">
        <v>2986300.78</v>
      </c>
      <c r="AS6" s="256">
        <f t="shared" si="11"/>
        <v>-0.119737691274099</v>
      </c>
      <c r="AT6" s="37">
        <f t="shared" si="12"/>
        <v>0.298630078</v>
      </c>
    </row>
    <row r="7" s="249" customFormat="1" ht="15" customHeight="1" spans="1:46">
      <c r="A7" s="251"/>
      <c r="B7" s="257" t="s">
        <v>26</v>
      </c>
      <c r="C7" s="258">
        <f>SUM(C3:C6)</f>
        <v>65500000</v>
      </c>
      <c r="D7" s="259">
        <f>SUM(D3:D6)</f>
        <v>3510051.46</v>
      </c>
      <c r="E7" s="259">
        <f t="shared" ref="E7:K7" si="15">SUM(E3:E6)</f>
        <v>4057031.11</v>
      </c>
      <c r="F7" s="260">
        <f t="shared" si="13"/>
        <v>0.155832373466114</v>
      </c>
      <c r="G7" s="259">
        <f t="shared" si="15"/>
        <v>1273817</v>
      </c>
      <c r="H7" s="259">
        <f t="shared" si="15"/>
        <v>3261355.55</v>
      </c>
      <c r="I7" s="260">
        <f t="shared" si="14"/>
        <v>1.56030147972589</v>
      </c>
      <c r="J7" s="259">
        <f t="shared" ref="J7:N7" si="16">SUM(J3:J6)</f>
        <v>3128159.83</v>
      </c>
      <c r="K7" s="259">
        <f t="shared" si="16"/>
        <v>4977168.08</v>
      </c>
      <c r="L7" s="260">
        <f t="shared" si="0"/>
        <v>0.591084967036355</v>
      </c>
      <c r="M7" s="259">
        <f t="shared" si="16"/>
        <v>7912028.29</v>
      </c>
      <c r="N7" s="259">
        <f t="shared" si="16"/>
        <v>12295554.74</v>
      </c>
      <c r="O7" s="260">
        <f t="shared" si="1"/>
        <v>0.554033212386302</v>
      </c>
      <c r="P7" s="259">
        <f t="shared" ref="P7:T7" si="17">SUM(P3:P6)</f>
        <v>4108429.29</v>
      </c>
      <c r="Q7" s="259">
        <f t="shared" si="17"/>
        <v>5147099.37</v>
      </c>
      <c r="R7" s="260">
        <f t="shared" si="2"/>
        <v>0.252814398565443</v>
      </c>
      <c r="S7" s="259">
        <f t="shared" si="17"/>
        <v>12020457.58</v>
      </c>
      <c r="T7" s="259">
        <f t="shared" si="17"/>
        <v>17442654.11</v>
      </c>
      <c r="U7" s="260">
        <f t="shared" si="3"/>
        <v>0.451080709192104</v>
      </c>
      <c r="V7" s="259">
        <f t="shared" ref="V7:Z7" si="18">SUM(V3:V6)</f>
        <v>4228141.08</v>
      </c>
      <c r="W7" s="259">
        <f t="shared" si="18"/>
        <v>4307065.75</v>
      </c>
      <c r="X7" s="260">
        <f t="shared" si="4"/>
        <v>0.0186665176271743</v>
      </c>
      <c r="Y7" s="259">
        <f t="shared" si="18"/>
        <v>16248598.66</v>
      </c>
      <c r="Z7" s="259">
        <f t="shared" si="18"/>
        <v>21809719.86</v>
      </c>
      <c r="AA7" s="260">
        <f t="shared" si="5"/>
        <v>0.342252357656546</v>
      </c>
      <c r="AB7" s="259">
        <f t="shared" ref="AB7:AF7" si="19">SUM(AB3:AB6)</f>
        <v>5159843.7</v>
      </c>
      <c r="AC7" s="259">
        <f t="shared" si="19"/>
        <v>5340705.97</v>
      </c>
      <c r="AD7" s="260">
        <f t="shared" si="6"/>
        <v>0.0350518892655607</v>
      </c>
      <c r="AE7" s="259">
        <f t="shared" si="19"/>
        <v>21408442.36</v>
      </c>
      <c r="AF7" s="259">
        <f t="shared" si="19"/>
        <v>27150425.83</v>
      </c>
      <c r="AG7" s="260">
        <f t="shared" si="7"/>
        <v>0.268211174519097</v>
      </c>
      <c r="AH7" s="259">
        <f t="shared" ref="AH7:AL7" si="20">SUM(AH3:AH6)</f>
        <v>3406882.58</v>
      </c>
      <c r="AI7" s="259">
        <f t="shared" si="20"/>
        <v>3359896.2</v>
      </c>
      <c r="AJ7" s="260">
        <f t="shared" si="8"/>
        <v>-0.0137916053449663</v>
      </c>
      <c r="AK7" s="259">
        <f t="shared" si="20"/>
        <v>24815324.94</v>
      </c>
      <c r="AL7" s="259">
        <f t="shared" si="20"/>
        <v>30367727.03</v>
      </c>
      <c r="AM7" s="260">
        <f t="shared" si="9"/>
        <v>0.223748917389756</v>
      </c>
      <c r="AN7" s="259">
        <f t="shared" ref="AN7:AR7" si="21">SUM(AN3:AN6)</f>
        <v>3105327.1</v>
      </c>
      <c r="AO7" s="259">
        <f t="shared" si="21"/>
        <v>2737766.25</v>
      </c>
      <c r="AP7" s="260">
        <f t="shared" si="10"/>
        <v>-0.118364616081829</v>
      </c>
      <c r="AQ7" s="259">
        <f t="shared" si="21"/>
        <v>27920652.04</v>
      </c>
      <c r="AR7" s="259">
        <f t="shared" si="21"/>
        <v>33105493.28</v>
      </c>
      <c r="AS7" s="260">
        <f t="shared" si="11"/>
        <v>0.185699146014643</v>
      </c>
      <c r="AT7" s="37">
        <f t="shared" si="12"/>
        <v>0.505427378320611</v>
      </c>
    </row>
    <row r="8" s="248" customFormat="1" ht="15" customHeight="1" spans="1:46">
      <c r="A8" s="251"/>
      <c r="B8" s="252" t="s">
        <v>27</v>
      </c>
      <c r="C8" s="254">
        <v>18000000</v>
      </c>
      <c r="D8" s="255">
        <v>757967.7</v>
      </c>
      <c r="E8" s="255">
        <v>1042811.5</v>
      </c>
      <c r="F8" s="256">
        <f t="shared" si="13"/>
        <v>0.375799390923914</v>
      </c>
      <c r="G8" s="255">
        <v>650701</v>
      </c>
      <c r="H8" s="255">
        <v>654682.86</v>
      </c>
      <c r="I8" s="256">
        <f t="shared" si="14"/>
        <v>0.00611933898979711</v>
      </c>
      <c r="J8" s="255">
        <v>834107.08</v>
      </c>
      <c r="K8" s="255">
        <v>1262815.5</v>
      </c>
      <c r="L8" s="256">
        <f t="shared" si="0"/>
        <v>0.513972882234737</v>
      </c>
      <c r="M8" s="255">
        <v>2242775.78</v>
      </c>
      <c r="N8" s="255">
        <v>2979548.1</v>
      </c>
      <c r="O8" s="256">
        <f t="shared" si="1"/>
        <v>0.328509129878333</v>
      </c>
      <c r="P8" s="255">
        <v>1174295.4</v>
      </c>
      <c r="Q8" s="255">
        <v>591900.56</v>
      </c>
      <c r="R8" s="256">
        <f t="shared" si="2"/>
        <v>-0.495952585695218</v>
      </c>
      <c r="S8" s="255">
        <v>3417071.18</v>
      </c>
      <c r="T8" s="255">
        <v>3571448.66</v>
      </c>
      <c r="U8" s="256">
        <f t="shared" si="3"/>
        <v>0.045178303836211</v>
      </c>
      <c r="V8" s="255">
        <v>841508.5</v>
      </c>
      <c r="W8" s="255">
        <v>1004931.65</v>
      </c>
      <c r="X8" s="256">
        <f t="shared" si="4"/>
        <v>0.194202613520838</v>
      </c>
      <c r="Y8" s="255">
        <v>4258579.68</v>
      </c>
      <c r="Z8" s="255">
        <v>4576380.31</v>
      </c>
      <c r="AA8" s="256">
        <f t="shared" si="5"/>
        <v>0.0746259677827608</v>
      </c>
      <c r="AB8" s="255">
        <v>1079235.6</v>
      </c>
      <c r="AC8" s="255">
        <v>1526485.73</v>
      </c>
      <c r="AD8" s="256">
        <f t="shared" si="6"/>
        <v>0.414413803621748</v>
      </c>
      <c r="AE8" s="255">
        <v>5337815.28</v>
      </c>
      <c r="AF8" s="255">
        <v>6102866.04</v>
      </c>
      <c r="AG8" s="256">
        <f t="shared" si="7"/>
        <v>0.143326570866274</v>
      </c>
      <c r="AH8" s="255">
        <v>767814</v>
      </c>
      <c r="AI8" s="255">
        <v>1057782.99</v>
      </c>
      <c r="AJ8" s="256">
        <f t="shared" si="8"/>
        <v>0.377655252443951</v>
      </c>
      <c r="AK8" s="255">
        <v>6105629.28</v>
      </c>
      <c r="AL8" s="255">
        <v>7161333.93</v>
      </c>
      <c r="AM8" s="256">
        <f t="shared" si="9"/>
        <v>0.172906772027272</v>
      </c>
      <c r="AN8" s="255">
        <v>611076.9</v>
      </c>
      <c r="AO8" s="255">
        <v>976642.51</v>
      </c>
      <c r="AP8" s="256">
        <f t="shared" si="10"/>
        <v>0.598231761010766</v>
      </c>
      <c r="AQ8" s="255">
        <v>6716706.18</v>
      </c>
      <c r="AR8" s="255">
        <v>8137976.44</v>
      </c>
      <c r="AS8" s="256">
        <f t="shared" si="11"/>
        <v>0.211602267824674</v>
      </c>
      <c r="AT8" s="37">
        <f t="shared" si="12"/>
        <v>0.452109802222222</v>
      </c>
    </row>
    <row r="9" s="248" customFormat="1" ht="15" customHeight="1" spans="1:46">
      <c r="A9" s="251"/>
      <c r="B9" s="252" t="s">
        <v>28</v>
      </c>
      <c r="C9" s="254">
        <v>13000000</v>
      </c>
      <c r="D9" s="255">
        <v>987273</v>
      </c>
      <c r="E9" s="255">
        <v>979673.76</v>
      </c>
      <c r="F9" s="256">
        <f t="shared" si="13"/>
        <v>-0.0076972022935905</v>
      </c>
      <c r="G9" s="255">
        <v>496989.73</v>
      </c>
      <c r="H9" s="255">
        <v>426348.02</v>
      </c>
      <c r="I9" s="256">
        <f t="shared" si="14"/>
        <v>-0.142139174586163</v>
      </c>
      <c r="J9" s="255">
        <v>704817.31</v>
      </c>
      <c r="K9" s="255">
        <v>895972.45</v>
      </c>
      <c r="L9" s="256">
        <f t="shared" si="0"/>
        <v>0.271212323091214</v>
      </c>
      <c r="M9" s="255">
        <v>2189080.04</v>
      </c>
      <c r="N9" s="255">
        <v>2301994.23</v>
      </c>
      <c r="O9" s="256">
        <f t="shared" si="1"/>
        <v>0.0515806585126051</v>
      </c>
      <c r="P9" s="255">
        <v>634914</v>
      </c>
      <c r="Q9" s="255">
        <v>940883.01</v>
      </c>
      <c r="R9" s="256">
        <f t="shared" si="2"/>
        <v>0.481906226670069</v>
      </c>
      <c r="S9" s="255">
        <v>2823994.04</v>
      </c>
      <c r="T9" s="255">
        <v>3242877.24</v>
      </c>
      <c r="U9" s="256">
        <f t="shared" si="3"/>
        <v>0.148330058090349</v>
      </c>
      <c r="V9" s="255">
        <v>730473.41</v>
      </c>
      <c r="W9" s="255">
        <v>967383.15</v>
      </c>
      <c r="X9" s="256">
        <f t="shared" si="4"/>
        <v>0.324323564358078</v>
      </c>
      <c r="Y9" s="255">
        <v>3554467.45</v>
      </c>
      <c r="Z9" s="255">
        <v>4210260.39</v>
      </c>
      <c r="AA9" s="256">
        <f t="shared" si="5"/>
        <v>0.184498226309542</v>
      </c>
      <c r="AB9" s="255">
        <v>396701.38</v>
      </c>
      <c r="AC9" s="255">
        <v>995385.52</v>
      </c>
      <c r="AD9" s="256">
        <f t="shared" si="6"/>
        <v>1.50915567775439</v>
      </c>
      <c r="AE9" s="255">
        <v>3951168.83</v>
      </c>
      <c r="AF9" s="255">
        <v>5205645.91</v>
      </c>
      <c r="AG9" s="256">
        <f t="shared" si="7"/>
        <v>0.317495185342409</v>
      </c>
      <c r="AH9" s="255">
        <v>528805.98</v>
      </c>
      <c r="AI9" s="255">
        <v>665570.61</v>
      </c>
      <c r="AJ9" s="256">
        <f t="shared" si="8"/>
        <v>0.258629128967112</v>
      </c>
      <c r="AK9" s="255">
        <v>4479974.81</v>
      </c>
      <c r="AL9" s="255">
        <v>5871216.52</v>
      </c>
      <c r="AM9" s="256">
        <f t="shared" si="9"/>
        <v>0.310546770685972</v>
      </c>
      <c r="AN9" s="255">
        <v>747759.2</v>
      </c>
      <c r="AO9" s="255">
        <v>600199.76</v>
      </c>
      <c r="AP9" s="256">
        <f t="shared" si="10"/>
        <v>-0.197335505868734</v>
      </c>
      <c r="AQ9" s="255">
        <v>5227734.01</v>
      </c>
      <c r="AR9" s="255">
        <v>6471416.28</v>
      </c>
      <c r="AS9" s="256">
        <f t="shared" si="11"/>
        <v>0.237900831913214</v>
      </c>
      <c r="AT9" s="37">
        <f t="shared" si="12"/>
        <v>0.497801252307692</v>
      </c>
    </row>
    <row r="10" s="248" customFormat="1" ht="15" customHeight="1" spans="1:46">
      <c r="A10" s="251"/>
      <c r="B10" s="257" t="s">
        <v>29</v>
      </c>
      <c r="C10" s="261">
        <f>SUM(C7:C9)</f>
        <v>96500000</v>
      </c>
      <c r="D10" s="262">
        <f>SUM(D7:D9)</f>
        <v>5255292.16</v>
      </c>
      <c r="E10" s="262">
        <f t="shared" ref="E10:K10" si="22">SUM(E7:E9)</f>
        <v>6079516.37</v>
      </c>
      <c r="F10" s="260">
        <f t="shared" si="13"/>
        <v>0.156836991152172</v>
      </c>
      <c r="G10" s="262">
        <f t="shared" si="22"/>
        <v>2421507.73</v>
      </c>
      <c r="H10" s="262">
        <f t="shared" si="22"/>
        <v>4342386.43</v>
      </c>
      <c r="I10" s="260">
        <f t="shared" si="14"/>
        <v>0.7932573066781</v>
      </c>
      <c r="J10" s="262">
        <f t="shared" ref="J10:N10" si="23">SUM(J7:J9)</f>
        <v>4667084.22</v>
      </c>
      <c r="K10" s="262">
        <f t="shared" si="23"/>
        <v>7135956.03</v>
      </c>
      <c r="L10" s="260">
        <f t="shared" si="0"/>
        <v>0.528996626934664</v>
      </c>
      <c r="M10" s="262">
        <f t="shared" si="23"/>
        <v>12343884.11</v>
      </c>
      <c r="N10" s="262">
        <f t="shared" si="23"/>
        <v>17577097.07</v>
      </c>
      <c r="O10" s="260">
        <f t="shared" si="1"/>
        <v>0.423951886891135</v>
      </c>
      <c r="P10" s="262">
        <f t="shared" ref="P10:T10" si="24">SUM(P7:P9)</f>
        <v>5917638.69</v>
      </c>
      <c r="Q10" s="262">
        <f t="shared" si="24"/>
        <v>6679882.94</v>
      </c>
      <c r="R10" s="260">
        <f t="shared" si="2"/>
        <v>0.128808852640512</v>
      </c>
      <c r="S10" s="262">
        <f t="shared" si="24"/>
        <v>18261522.8</v>
      </c>
      <c r="T10" s="262">
        <f t="shared" si="24"/>
        <v>24256980.01</v>
      </c>
      <c r="U10" s="260">
        <f t="shared" si="3"/>
        <v>0.32831091227507</v>
      </c>
      <c r="V10" s="262">
        <f t="shared" ref="V10:Z10" si="25">SUM(V7:V9)</f>
        <v>5800122.99</v>
      </c>
      <c r="W10" s="262">
        <f t="shared" si="25"/>
        <v>6279380.55</v>
      </c>
      <c r="X10" s="260">
        <f t="shared" si="4"/>
        <v>0.0826288616338462</v>
      </c>
      <c r="Y10" s="262">
        <f t="shared" si="25"/>
        <v>24061645.79</v>
      </c>
      <c r="Z10" s="262">
        <f t="shared" si="25"/>
        <v>30596360.56</v>
      </c>
      <c r="AA10" s="260">
        <f t="shared" si="5"/>
        <v>0.271582202939577</v>
      </c>
      <c r="AB10" s="262">
        <f t="shared" ref="AB10:AF10" si="26">SUM(AB7:AB9)</f>
        <v>6635780.68</v>
      </c>
      <c r="AC10" s="262">
        <f t="shared" si="26"/>
        <v>7862577.22</v>
      </c>
      <c r="AD10" s="260">
        <f t="shared" si="6"/>
        <v>0.184875992616441</v>
      </c>
      <c r="AE10" s="262">
        <f t="shared" si="26"/>
        <v>30697426.47</v>
      </c>
      <c r="AF10" s="262">
        <f t="shared" si="26"/>
        <v>38458937.78</v>
      </c>
      <c r="AG10" s="260">
        <f t="shared" si="7"/>
        <v>0.252839153066632</v>
      </c>
      <c r="AH10" s="262">
        <f t="shared" ref="AH10:AL10" si="27">SUM(AH7:AH9)</f>
        <v>4703502.56</v>
      </c>
      <c r="AI10" s="262">
        <f t="shared" si="27"/>
        <v>5083249.8</v>
      </c>
      <c r="AJ10" s="260">
        <f t="shared" si="8"/>
        <v>0.0807371177448661</v>
      </c>
      <c r="AK10" s="262">
        <f t="shared" si="27"/>
        <v>35400929.03</v>
      </c>
      <c r="AL10" s="262">
        <f t="shared" si="27"/>
        <v>43400277.48</v>
      </c>
      <c r="AM10" s="260">
        <f t="shared" si="9"/>
        <v>0.225964365037456</v>
      </c>
      <c r="AN10" s="262">
        <f t="shared" ref="AN10:AR10" si="28">SUM(AN7:AN9)</f>
        <v>4464163.2</v>
      </c>
      <c r="AO10" s="262">
        <f t="shared" si="28"/>
        <v>4314608.52</v>
      </c>
      <c r="AP10" s="260">
        <f t="shared" si="10"/>
        <v>-0.0335011676992455</v>
      </c>
      <c r="AQ10" s="262">
        <f t="shared" si="28"/>
        <v>39865092.23</v>
      </c>
      <c r="AR10" s="262">
        <f t="shared" si="28"/>
        <v>47714886</v>
      </c>
      <c r="AS10" s="260">
        <f t="shared" si="11"/>
        <v>0.196908957960286</v>
      </c>
      <c r="AT10" s="37">
        <f t="shared" si="12"/>
        <v>0.494454777202073</v>
      </c>
    </row>
    <row r="11" s="248" customFormat="1" ht="15" customHeight="1" spans="1:46">
      <c r="A11" s="251" t="s">
        <v>30</v>
      </c>
      <c r="B11" s="252" t="s">
        <v>31</v>
      </c>
      <c r="C11" s="254">
        <v>26000000</v>
      </c>
      <c r="D11" s="255">
        <v>1971859.46</v>
      </c>
      <c r="E11" s="255">
        <v>1683228.28</v>
      </c>
      <c r="F11" s="256">
        <f t="shared" si="13"/>
        <v>-0.14637512756614</v>
      </c>
      <c r="G11" s="255">
        <v>862585.12</v>
      </c>
      <c r="H11" s="255">
        <v>832659.54</v>
      </c>
      <c r="I11" s="256">
        <f t="shared" si="14"/>
        <v>-0.0346929008003291</v>
      </c>
      <c r="J11" s="255">
        <v>1454016.01</v>
      </c>
      <c r="K11" s="255">
        <v>2188918.41</v>
      </c>
      <c r="L11" s="256">
        <f t="shared" si="0"/>
        <v>0.505429372816879</v>
      </c>
      <c r="M11" s="255">
        <v>4288460.59</v>
      </c>
      <c r="N11" s="255">
        <v>4704806.23</v>
      </c>
      <c r="O11" s="256">
        <f t="shared" si="1"/>
        <v>0.0970851034450104</v>
      </c>
      <c r="P11" s="255">
        <v>1189993.77</v>
      </c>
      <c r="Q11" s="255">
        <v>1508708.25</v>
      </c>
      <c r="R11" s="256">
        <f t="shared" si="2"/>
        <v>0.267828696279645</v>
      </c>
      <c r="S11" s="255">
        <v>5478454.36</v>
      </c>
      <c r="T11" s="255">
        <v>6213514.48</v>
      </c>
      <c r="U11" s="256">
        <f t="shared" si="3"/>
        <v>0.134172902008077</v>
      </c>
      <c r="V11" s="255">
        <v>1649605.21</v>
      </c>
      <c r="W11" s="255">
        <v>1736224.19</v>
      </c>
      <c r="X11" s="256">
        <f t="shared" si="4"/>
        <v>0.0525089151482494</v>
      </c>
      <c r="Y11" s="255">
        <v>7128059.57</v>
      </c>
      <c r="Z11" s="255">
        <v>7949738.67</v>
      </c>
      <c r="AA11" s="256">
        <f t="shared" si="5"/>
        <v>0.11527388231409</v>
      </c>
      <c r="AB11" s="255">
        <v>1202502.84</v>
      </c>
      <c r="AC11" s="255">
        <v>2136560.09</v>
      </c>
      <c r="AD11" s="256">
        <f t="shared" si="6"/>
        <v>0.776760951350435</v>
      </c>
      <c r="AE11" s="255">
        <v>8330562.41</v>
      </c>
      <c r="AF11" s="255">
        <v>10086298.76</v>
      </c>
      <c r="AG11" s="256">
        <f t="shared" si="7"/>
        <v>0.210758441457976</v>
      </c>
      <c r="AH11" s="255">
        <v>1775233.87</v>
      </c>
      <c r="AI11" s="255">
        <v>1520600.24</v>
      </c>
      <c r="AJ11" s="256">
        <f t="shared" si="8"/>
        <v>-0.143436667305137</v>
      </c>
      <c r="AK11" s="255">
        <v>10105796.28</v>
      </c>
      <c r="AL11" s="255">
        <v>11606899</v>
      </c>
      <c r="AM11" s="256">
        <f t="shared" si="9"/>
        <v>0.148538786891121</v>
      </c>
      <c r="AN11" s="255">
        <v>1110802.6</v>
      </c>
      <c r="AO11" s="255">
        <v>748570.86</v>
      </c>
      <c r="AP11" s="256">
        <f t="shared" si="10"/>
        <v>-0.326099110679071</v>
      </c>
      <c r="AQ11" s="255">
        <v>11216598.88</v>
      </c>
      <c r="AR11" s="255">
        <v>12355469.86</v>
      </c>
      <c r="AS11" s="256">
        <f t="shared" si="11"/>
        <v>0.101534430551019</v>
      </c>
      <c r="AT11" s="37">
        <f t="shared" si="12"/>
        <v>0.475210379230769</v>
      </c>
    </row>
    <row r="12" s="248" customFormat="1" ht="15" customHeight="1" spans="1:46">
      <c r="A12" s="251" t="s">
        <v>32</v>
      </c>
      <c r="B12" s="252" t="s">
        <v>33</v>
      </c>
      <c r="C12" s="254">
        <v>15700000</v>
      </c>
      <c r="D12" s="255">
        <v>1223845.6</v>
      </c>
      <c r="E12" s="255">
        <v>595578.3</v>
      </c>
      <c r="F12" s="256">
        <f t="shared" si="13"/>
        <v>-0.51335503432786</v>
      </c>
      <c r="G12" s="255">
        <v>355310.4</v>
      </c>
      <c r="H12" s="255">
        <v>470333.56</v>
      </c>
      <c r="I12" s="256">
        <f t="shared" si="14"/>
        <v>0.323725846471142</v>
      </c>
      <c r="J12" s="255">
        <v>756633.2</v>
      </c>
      <c r="K12" s="255">
        <v>1014927.78</v>
      </c>
      <c r="L12" s="256">
        <f t="shared" si="0"/>
        <v>0.341373574408313</v>
      </c>
      <c r="M12" s="255">
        <v>2335789.2</v>
      </c>
      <c r="N12" s="255">
        <v>2080839.64</v>
      </c>
      <c r="O12" s="256">
        <f t="shared" si="1"/>
        <v>-0.109149216033707</v>
      </c>
      <c r="P12" s="255">
        <v>683687.2</v>
      </c>
      <c r="Q12" s="255">
        <v>937105.26</v>
      </c>
      <c r="R12" s="256">
        <f t="shared" si="2"/>
        <v>0.370663747982996</v>
      </c>
      <c r="S12" s="255">
        <v>3019476.4</v>
      </c>
      <c r="T12" s="255">
        <v>3017944.9</v>
      </c>
      <c r="U12" s="256">
        <f t="shared" si="3"/>
        <v>-0.0005072071435962</v>
      </c>
      <c r="V12" s="255">
        <v>541949.88</v>
      </c>
      <c r="W12" s="255">
        <v>706896</v>
      </c>
      <c r="X12" s="256">
        <f t="shared" si="4"/>
        <v>0.304356779265271</v>
      </c>
      <c r="Y12" s="255">
        <v>3561426.28</v>
      </c>
      <c r="Z12" s="255">
        <v>3724840.9</v>
      </c>
      <c r="AA12" s="256">
        <f t="shared" si="5"/>
        <v>0.0458845999193336</v>
      </c>
      <c r="AB12" s="255">
        <v>565078.8</v>
      </c>
      <c r="AC12" s="255">
        <v>1078704.88</v>
      </c>
      <c r="AD12" s="256">
        <f t="shared" si="6"/>
        <v>0.908945938159421</v>
      </c>
      <c r="AE12" s="255">
        <v>4126505.08</v>
      </c>
      <c r="AF12" s="255">
        <v>4801339.78</v>
      </c>
      <c r="AG12" s="256">
        <f t="shared" si="7"/>
        <v>0.163536621648846</v>
      </c>
      <c r="AH12" s="255">
        <v>611348.06</v>
      </c>
      <c r="AI12" s="255">
        <v>1116779.66</v>
      </c>
      <c r="AJ12" s="256">
        <f t="shared" si="8"/>
        <v>0.826749331632785</v>
      </c>
      <c r="AK12" s="255">
        <v>4737853.14</v>
      </c>
      <c r="AL12" s="255">
        <v>5918119.44</v>
      </c>
      <c r="AM12" s="256">
        <f t="shared" si="9"/>
        <v>0.249114158907847</v>
      </c>
      <c r="AN12" s="255">
        <v>565935</v>
      </c>
      <c r="AO12" s="255">
        <v>529250</v>
      </c>
      <c r="AP12" s="256">
        <f t="shared" si="10"/>
        <v>-0.0648219318472969</v>
      </c>
      <c r="AQ12" s="255">
        <v>5303788.14</v>
      </c>
      <c r="AR12" s="255">
        <v>6448660.44</v>
      </c>
      <c r="AS12" s="256">
        <f t="shared" si="11"/>
        <v>0.215859357459177</v>
      </c>
      <c r="AT12" s="37">
        <f t="shared" si="12"/>
        <v>0.410742703184713</v>
      </c>
    </row>
    <row r="13" s="249" customFormat="1" ht="15" customHeight="1" spans="1:46">
      <c r="A13" s="257" t="s">
        <v>34</v>
      </c>
      <c r="B13" s="257"/>
      <c r="C13" s="258">
        <f>SUM(C10:C12)</f>
        <v>138200000</v>
      </c>
      <c r="D13" s="257">
        <f>SUM(D10:D12)</f>
        <v>8450997.22</v>
      </c>
      <c r="E13" s="257">
        <f t="shared" ref="E13:K13" si="29">SUM(E10:E12)</f>
        <v>8358322.95</v>
      </c>
      <c r="F13" s="260">
        <f t="shared" si="13"/>
        <v>-0.0109660750781789</v>
      </c>
      <c r="G13" s="257">
        <f t="shared" si="29"/>
        <v>3639403.25</v>
      </c>
      <c r="H13" s="257">
        <f t="shared" si="29"/>
        <v>5645379.53</v>
      </c>
      <c r="I13" s="260">
        <f t="shared" si="14"/>
        <v>0.551182746786853</v>
      </c>
      <c r="J13" s="257">
        <f t="shared" ref="J13:N13" si="30">SUM(J10:J12)</f>
        <v>6877733.43</v>
      </c>
      <c r="K13" s="257">
        <f t="shared" si="30"/>
        <v>10339802.22</v>
      </c>
      <c r="L13" s="260">
        <f t="shared" si="0"/>
        <v>0.50337350600109</v>
      </c>
      <c r="M13" s="257">
        <f t="shared" si="30"/>
        <v>18968133.9</v>
      </c>
      <c r="N13" s="257">
        <f t="shared" si="30"/>
        <v>24362742.94</v>
      </c>
      <c r="O13" s="260">
        <f t="shared" si="1"/>
        <v>0.284403783125972</v>
      </c>
      <c r="P13" s="257">
        <f t="shared" ref="P13:T13" si="31">SUM(P10:P12)</f>
        <v>7791319.66</v>
      </c>
      <c r="Q13" s="257">
        <f t="shared" si="31"/>
        <v>9125696.45</v>
      </c>
      <c r="R13" s="260">
        <f t="shared" si="2"/>
        <v>0.171264541596282</v>
      </c>
      <c r="S13" s="257">
        <f t="shared" si="31"/>
        <v>26759453.56</v>
      </c>
      <c r="T13" s="257">
        <f t="shared" si="31"/>
        <v>33488439.39</v>
      </c>
      <c r="U13" s="260">
        <f t="shared" si="3"/>
        <v>0.251462004443113</v>
      </c>
      <c r="V13" s="257">
        <f t="shared" ref="V13:Z13" si="32">SUM(V10:V12)</f>
        <v>7991678.08</v>
      </c>
      <c r="W13" s="257">
        <f t="shared" si="32"/>
        <v>8722500.74</v>
      </c>
      <c r="X13" s="260">
        <f t="shared" si="4"/>
        <v>0.0914479603262497</v>
      </c>
      <c r="Y13" s="257">
        <f t="shared" si="32"/>
        <v>34751131.64</v>
      </c>
      <c r="Z13" s="257">
        <f t="shared" si="32"/>
        <v>42270940.13</v>
      </c>
      <c r="AA13" s="260">
        <f t="shared" si="5"/>
        <v>0.21639031982902</v>
      </c>
      <c r="AB13" s="257">
        <f t="shared" ref="AB13:AF13" si="33">SUM(AB10:AB12)</f>
        <v>8403362.32</v>
      </c>
      <c r="AC13" s="257">
        <f t="shared" si="33"/>
        <v>11077842.19</v>
      </c>
      <c r="AD13" s="260">
        <f t="shared" si="6"/>
        <v>0.318263067586023</v>
      </c>
      <c r="AE13" s="257">
        <f t="shared" si="33"/>
        <v>43154493.96</v>
      </c>
      <c r="AF13" s="257">
        <f t="shared" si="33"/>
        <v>53346576.32</v>
      </c>
      <c r="AG13" s="260">
        <f t="shared" si="7"/>
        <v>0.236176616262656</v>
      </c>
      <c r="AH13" s="257">
        <f t="shared" ref="AH13:AL13" si="34">SUM(AH10:AH12)</f>
        <v>7090084.49</v>
      </c>
      <c r="AI13" s="257">
        <f t="shared" si="34"/>
        <v>7720629.7</v>
      </c>
      <c r="AJ13" s="260">
        <f t="shared" si="8"/>
        <v>0.0889333844877778</v>
      </c>
      <c r="AK13" s="257">
        <f t="shared" si="34"/>
        <v>50244578.45</v>
      </c>
      <c r="AL13" s="257">
        <f t="shared" si="34"/>
        <v>60925295.92</v>
      </c>
      <c r="AM13" s="260">
        <f t="shared" si="9"/>
        <v>0.212574526436295</v>
      </c>
      <c r="AN13" s="257">
        <f t="shared" ref="AN13:AR13" si="35">SUM(AN10:AN12)</f>
        <v>6140900.8</v>
      </c>
      <c r="AO13" s="257">
        <f t="shared" si="35"/>
        <v>5592429.38</v>
      </c>
      <c r="AP13" s="260">
        <f t="shared" si="10"/>
        <v>-0.0893144894963945</v>
      </c>
      <c r="AQ13" s="257">
        <f t="shared" si="35"/>
        <v>56385479.25</v>
      </c>
      <c r="AR13" s="257">
        <f t="shared" si="35"/>
        <v>66519016.3</v>
      </c>
      <c r="AS13" s="260">
        <f t="shared" si="11"/>
        <v>0.179718913181003</v>
      </c>
      <c r="AT13" s="37">
        <f t="shared" si="12"/>
        <v>0.481324285817656</v>
      </c>
    </row>
    <row r="14" s="248" customFormat="1" spans="1:42">
      <c r="A14" s="250"/>
      <c r="B14" s="263"/>
      <c r="C14" s="263"/>
      <c r="D14" s="264"/>
      <c r="E14" s="264"/>
      <c r="F14" s="265"/>
      <c r="G14" s="264"/>
      <c r="H14" s="264"/>
      <c r="I14" s="265"/>
      <c r="J14" s="264"/>
      <c r="K14" s="264"/>
      <c r="L14" s="265"/>
      <c r="P14" s="264"/>
      <c r="Q14" s="264"/>
      <c r="R14" s="265"/>
      <c r="V14" s="264"/>
      <c r="W14" s="264"/>
      <c r="X14" s="265"/>
      <c r="AB14" s="264"/>
      <c r="AC14" s="264"/>
      <c r="AD14" s="265"/>
      <c r="AH14" s="264"/>
      <c r="AI14" s="264"/>
      <c r="AJ14" s="265"/>
      <c r="AN14" s="264"/>
      <c r="AO14" s="264"/>
      <c r="AP14" s="265"/>
    </row>
    <row r="15" s="248" customFormat="1" spans="1:42">
      <c r="A15" s="250"/>
      <c r="B15" s="250"/>
      <c r="C15" s="250"/>
      <c r="D15" s="264"/>
      <c r="E15" s="264"/>
      <c r="F15" s="265"/>
      <c r="G15" s="264"/>
      <c r="H15" s="264"/>
      <c r="I15" s="265"/>
      <c r="J15" s="264"/>
      <c r="K15" s="264"/>
      <c r="L15" s="265"/>
      <c r="P15" s="264"/>
      <c r="Q15" s="264"/>
      <c r="R15" s="265"/>
      <c r="V15" s="264"/>
      <c r="W15" s="264"/>
      <c r="X15" s="265"/>
      <c r="AB15" s="264"/>
      <c r="AC15" s="264"/>
      <c r="AD15" s="265"/>
      <c r="AH15" s="264"/>
      <c r="AI15" s="264"/>
      <c r="AJ15" s="265"/>
      <c r="AN15" s="264"/>
      <c r="AO15" s="264"/>
      <c r="AP15" s="265"/>
    </row>
    <row r="16" s="248" customFormat="1" spans="1:46">
      <c r="A16" s="250"/>
      <c r="B16" s="266" t="s">
        <v>35</v>
      </c>
      <c r="C16" s="267"/>
      <c r="D16" s="266">
        <v>159223.48</v>
      </c>
      <c r="E16" s="268">
        <v>10985.2</v>
      </c>
      <c r="F16" s="269">
        <f>E16/D16-1</f>
        <v>-0.931007662940164</v>
      </c>
      <c r="G16" s="268">
        <v>17619.22</v>
      </c>
      <c r="H16" s="268">
        <v>3564.8</v>
      </c>
      <c r="I16" s="269">
        <f>H16/G16-1</f>
        <v>-0.797675493012744</v>
      </c>
      <c r="J16" s="270">
        <v>15307.5</v>
      </c>
      <c r="K16" s="270">
        <v>165.6</v>
      </c>
      <c r="L16" s="269">
        <f>K16/J16-1</f>
        <v>-0.989181773640372</v>
      </c>
      <c r="M16" s="267">
        <v>192150.2</v>
      </c>
      <c r="N16" s="267">
        <v>14715.6</v>
      </c>
      <c r="O16" s="269">
        <f>N16/M16-1</f>
        <v>-0.92341616089913</v>
      </c>
      <c r="P16" s="270">
        <v>15307.5</v>
      </c>
      <c r="Q16" s="270">
        <v>165.6</v>
      </c>
      <c r="R16" s="269">
        <f>Q16/P16-1</f>
        <v>-0.989181773640372</v>
      </c>
      <c r="S16" s="267">
        <v>192150.2</v>
      </c>
      <c r="T16" s="267">
        <v>14715.6</v>
      </c>
      <c r="U16" s="269">
        <f>T16/S16-1</f>
        <v>-0.92341616089913</v>
      </c>
      <c r="V16" s="270">
        <v>7356.6</v>
      </c>
      <c r="W16" s="270"/>
      <c r="X16" s="269">
        <f>W16/V16-1</f>
        <v>-1</v>
      </c>
      <c r="Y16" s="267">
        <v>226296.48</v>
      </c>
      <c r="Z16" s="267">
        <v>14715.6</v>
      </c>
      <c r="AA16" s="269">
        <f>Z16/Y16-1</f>
        <v>-0.934972033148726</v>
      </c>
      <c r="AB16" s="270">
        <v>10109.2</v>
      </c>
      <c r="AC16" s="270">
        <v>6590.6</v>
      </c>
      <c r="AD16" s="269">
        <f>AC16/AB16-1</f>
        <v>-0.348059193605824</v>
      </c>
      <c r="AE16" s="267">
        <v>236405.68</v>
      </c>
      <c r="AF16" s="267">
        <v>21306.2</v>
      </c>
      <c r="AG16" s="269">
        <f>AF16/AE16-1</f>
        <v>-0.909874415876979</v>
      </c>
      <c r="AH16" s="270">
        <v>30218.12</v>
      </c>
      <c r="AI16" s="270">
        <v>10907.2</v>
      </c>
      <c r="AJ16" s="269">
        <f>AI16/AH16-1</f>
        <v>-0.639051006482203</v>
      </c>
      <c r="AK16" s="267">
        <v>266623.8</v>
      </c>
      <c r="AL16" s="267">
        <v>32213.4</v>
      </c>
      <c r="AM16" s="269">
        <f>AL16/AK16-1</f>
        <v>-0.879180328237764</v>
      </c>
      <c r="AN16" s="270">
        <v>18456</v>
      </c>
      <c r="AO16" s="270">
        <v>4860.8</v>
      </c>
      <c r="AP16" s="269">
        <f>AO16/AN16-1</f>
        <v>-0.736627654963156</v>
      </c>
      <c r="AQ16" s="267">
        <v>285079.8</v>
      </c>
      <c r="AR16" s="267">
        <v>37074.2</v>
      </c>
      <c r="AS16" s="269">
        <f>AR16/AQ16-1</f>
        <v>-0.869951501298935</v>
      </c>
      <c r="AT16" s="267"/>
    </row>
    <row r="19" spans="21:46">
      <c r="U19" s="237"/>
      <c r="AA19" s="237"/>
      <c r="AG19" s="237"/>
      <c r="AM19" s="237"/>
      <c r="AS19" s="237"/>
      <c r="AT19" s="237"/>
    </row>
  </sheetData>
  <mergeCells count="34">
    <mergeCell ref="D1:E1"/>
    <mergeCell ref="G1:H1"/>
    <mergeCell ref="J1:K1"/>
    <mergeCell ref="M1:N1"/>
    <mergeCell ref="P1:Q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13:B13"/>
    <mergeCell ref="A1:A2"/>
    <mergeCell ref="A3:A10"/>
    <mergeCell ref="B1:B2"/>
    <mergeCell ref="C1:C2"/>
    <mergeCell ref="F1:F2"/>
    <mergeCell ref="I1:I2"/>
    <mergeCell ref="L1:L2"/>
    <mergeCell ref="O1:O2"/>
    <mergeCell ref="R1:R2"/>
    <mergeCell ref="U1:U2"/>
    <mergeCell ref="X1:X2"/>
    <mergeCell ref="AA1:AA2"/>
    <mergeCell ref="AD1:AD2"/>
    <mergeCell ref="AG1:AG2"/>
    <mergeCell ref="AJ1:AJ2"/>
    <mergeCell ref="AM1:AM2"/>
    <mergeCell ref="AP1:AP2"/>
    <mergeCell ref="AS1:AS2"/>
    <mergeCell ref="AT1:AT2"/>
  </mergeCells>
  <conditionalFormatting sqref="AT3:AT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{028560f3-ae26-4d28-ad42-7bb1c861e91f}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560f3-ae26-4d28-ad42-7bb1c861e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AT3:AT13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topLeftCell="A55" workbookViewId="0">
      <selection activeCell="Q67" sqref="Q67"/>
    </sheetView>
  </sheetViews>
  <sheetFormatPr defaultColWidth="11.5" defaultRowHeight="14"/>
  <cols>
    <col min="1" max="1" width="6" customWidth="1"/>
    <col min="2" max="2" width="9.25454545454545" customWidth="1"/>
    <col min="3" max="3" width="11.2545454545455" customWidth="1"/>
    <col min="4" max="6" width="10.3727272727273" customWidth="1"/>
    <col min="7" max="8" width="8.5" style="14" customWidth="1"/>
    <col min="9" max="9" width="8.5" customWidth="1"/>
    <col min="10" max="11" width="8.5" style="14" customWidth="1"/>
    <col min="12" max="12" width="10" customWidth="1"/>
    <col min="13" max="14" width="8" customWidth="1"/>
    <col min="15" max="15" width="8.75454545454545" customWidth="1"/>
    <col min="16" max="16383" width="11.5" customWidth="1"/>
  </cols>
  <sheetData>
    <row r="1" customFormat="1" ht="30" customHeight="1" spans="1:15">
      <c r="A1" s="15" t="s">
        <v>518</v>
      </c>
      <c r="B1" s="15"/>
      <c r="C1" s="15"/>
      <c r="D1" s="15"/>
      <c r="E1" s="15"/>
      <c r="F1" s="15"/>
      <c r="G1" s="16"/>
      <c r="H1" s="16"/>
      <c r="I1" s="15"/>
      <c r="J1" s="16"/>
      <c r="K1" s="16"/>
      <c r="L1" s="15"/>
      <c r="M1" s="15"/>
      <c r="N1" s="15"/>
      <c r="O1" s="15"/>
    </row>
    <row r="2" customFormat="1" ht="21" customHeight="1" spans="1:15">
      <c r="A2" s="17" t="s">
        <v>1</v>
      </c>
      <c r="B2" s="17" t="s">
        <v>160</v>
      </c>
      <c r="C2" s="17" t="s">
        <v>519</v>
      </c>
      <c r="D2" s="18" t="s">
        <v>520</v>
      </c>
      <c r="E2" s="19"/>
      <c r="F2" s="20" t="s">
        <v>521</v>
      </c>
      <c r="G2" s="21" t="s">
        <v>14</v>
      </c>
      <c r="H2" s="22"/>
      <c r="I2" s="34" t="s">
        <v>4</v>
      </c>
      <c r="J2" s="21" t="s">
        <v>16</v>
      </c>
      <c r="K2" s="22"/>
      <c r="L2" s="34" t="s">
        <v>4</v>
      </c>
      <c r="M2" s="15" t="s">
        <v>17</v>
      </c>
      <c r="N2" s="15"/>
      <c r="O2" s="15" t="s">
        <v>4</v>
      </c>
    </row>
    <row r="3" customFormat="1" ht="18" customHeight="1" spans="1:15">
      <c r="A3" s="17"/>
      <c r="B3" s="17"/>
      <c r="C3" s="17"/>
      <c r="D3" s="17" t="s">
        <v>522</v>
      </c>
      <c r="E3" s="17" t="s">
        <v>523</v>
      </c>
      <c r="F3" s="23"/>
      <c r="G3" s="24" t="s">
        <v>524</v>
      </c>
      <c r="H3" s="24" t="s">
        <v>520</v>
      </c>
      <c r="I3" s="34"/>
      <c r="J3" s="24" t="s">
        <v>524</v>
      </c>
      <c r="K3" s="24" t="s">
        <v>520</v>
      </c>
      <c r="L3" s="34"/>
      <c r="M3" s="16" t="s">
        <v>524</v>
      </c>
      <c r="N3" s="16" t="s">
        <v>520</v>
      </c>
      <c r="O3" s="15"/>
    </row>
    <row r="4" customFormat="1" ht="16.5" spans="1:15">
      <c r="A4" s="25" t="s">
        <v>22</v>
      </c>
      <c r="B4" s="26" t="s">
        <v>73</v>
      </c>
      <c r="C4" s="27">
        <v>32</v>
      </c>
      <c r="D4" s="27">
        <v>2.3359</v>
      </c>
      <c r="E4" s="27">
        <v>10.0505</v>
      </c>
      <c r="F4" s="28">
        <f t="shared" ref="F4:F67" si="0">E4/D4-1</f>
        <v>3.30262425617535</v>
      </c>
      <c r="G4" s="29">
        <v>0</v>
      </c>
      <c r="H4" s="29">
        <v>0.5841</v>
      </c>
      <c r="I4" s="28" t="e">
        <f t="shared" ref="I4:I67" si="1">H4/G4-1</f>
        <v>#DIV/0!</v>
      </c>
      <c r="J4" s="29">
        <v>0.9927</v>
      </c>
      <c r="K4" s="29">
        <v>1.9585</v>
      </c>
      <c r="L4" s="28">
        <f>K4/J4-1</f>
        <v>0.97290218595749</v>
      </c>
      <c r="M4" s="27">
        <v>8.2545</v>
      </c>
      <c r="N4" s="27">
        <v>14.929</v>
      </c>
      <c r="O4" s="28">
        <f t="shared" ref="O4:O67" si="2">N4/M4-1</f>
        <v>0.808589254346114</v>
      </c>
    </row>
    <row r="5" customFormat="1" ht="16.5" spans="1:15">
      <c r="A5" s="30"/>
      <c r="B5" s="26" t="s">
        <v>67</v>
      </c>
      <c r="C5" s="27">
        <v>86.1</v>
      </c>
      <c r="D5" s="27">
        <v>16.4</v>
      </c>
      <c r="E5" s="27">
        <v>27.584</v>
      </c>
      <c r="F5" s="28">
        <f t="shared" si="0"/>
        <v>0.681951219512195</v>
      </c>
      <c r="G5" s="29">
        <v>15.7</v>
      </c>
      <c r="H5" s="29">
        <v>3.9</v>
      </c>
      <c r="I5" s="35">
        <f t="shared" si="1"/>
        <v>-0.751592356687898</v>
      </c>
      <c r="J5" s="29">
        <v>10.6</v>
      </c>
      <c r="K5" s="29">
        <v>9.55</v>
      </c>
      <c r="L5" s="36">
        <f t="shared" ref="L5:L36" si="3">K5/J5-1</f>
        <v>-0.0990566037735848</v>
      </c>
      <c r="M5" s="27">
        <v>149.444988</v>
      </c>
      <c r="N5" s="27">
        <v>57.434</v>
      </c>
      <c r="O5" s="35">
        <f t="shared" si="2"/>
        <v>-0.615684669197471</v>
      </c>
    </row>
    <row r="6" customFormat="1" ht="16.5" spans="1:15">
      <c r="A6" s="30"/>
      <c r="B6" s="26" t="s">
        <v>75</v>
      </c>
      <c r="C6" s="27">
        <v>515.4</v>
      </c>
      <c r="D6" s="27">
        <v>536.568327</v>
      </c>
      <c r="E6" s="27">
        <v>603.413741</v>
      </c>
      <c r="F6" s="28">
        <f t="shared" si="0"/>
        <v>0.12457950019849</v>
      </c>
      <c r="G6" s="29">
        <v>149.214124</v>
      </c>
      <c r="H6" s="29">
        <v>137.360408</v>
      </c>
      <c r="I6" s="35">
        <f t="shared" si="1"/>
        <v>-0.0794409783888822</v>
      </c>
      <c r="J6" s="29">
        <v>125.178356</v>
      </c>
      <c r="K6" s="29">
        <v>98.602565</v>
      </c>
      <c r="L6" s="36">
        <f t="shared" si="3"/>
        <v>-0.212303403313589</v>
      </c>
      <c r="M6" s="27">
        <v>992.765242</v>
      </c>
      <c r="N6" s="27">
        <v>1375.945041</v>
      </c>
      <c r="O6" s="37">
        <f t="shared" si="2"/>
        <v>0.385972214567117</v>
      </c>
    </row>
    <row r="7" customFormat="1" ht="16.5" spans="1:15">
      <c r="A7" s="30"/>
      <c r="B7" s="26" t="s">
        <v>71</v>
      </c>
      <c r="C7" s="27">
        <v>44.4</v>
      </c>
      <c r="D7" s="27">
        <v>0</v>
      </c>
      <c r="E7" s="27">
        <v>0</v>
      </c>
      <c r="F7" s="28" t="e">
        <f t="shared" si="0"/>
        <v>#DIV/0!</v>
      </c>
      <c r="G7" s="29">
        <v>0</v>
      </c>
      <c r="H7" s="29">
        <v>0</v>
      </c>
      <c r="I7" s="28" t="e">
        <f t="shared" si="1"/>
        <v>#DIV/0!</v>
      </c>
      <c r="J7" s="29">
        <v>0</v>
      </c>
      <c r="K7" s="29">
        <v>0</v>
      </c>
      <c r="L7" s="28" t="e">
        <f t="shared" si="3"/>
        <v>#DIV/0!</v>
      </c>
      <c r="M7" s="27">
        <v>3</v>
      </c>
      <c r="N7" s="27">
        <v>0</v>
      </c>
      <c r="O7" s="35">
        <f t="shared" si="2"/>
        <v>-1</v>
      </c>
    </row>
    <row r="8" customFormat="1" ht="16.5" spans="1:15">
      <c r="A8" s="30"/>
      <c r="B8" s="26" t="s">
        <v>65</v>
      </c>
      <c r="C8" s="27">
        <v>65.6</v>
      </c>
      <c r="D8" s="27">
        <v>16.4361</v>
      </c>
      <c r="E8" s="27">
        <v>9.725374</v>
      </c>
      <c r="F8" s="28">
        <f t="shared" si="0"/>
        <v>-0.408291869725786</v>
      </c>
      <c r="G8" s="29">
        <v>0</v>
      </c>
      <c r="H8" s="29">
        <v>4</v>
      </c>
      <c r="I8" s="28" t="e">
        <f t="shared" si="1"/>
        <v>#DIV/0!</v>
      </c>
      <c r="J8" s="29">
        <v>0</v>
      </c>
      <c r="K8" s="29">
        <v>7</v>
      </c>
      <c r="L8" s="28" t="e">
        <f t="shared" si="3"/>
        <v>#DIV/0!</v>
      </c>
      <c r="M8" s="27">
        <v>109.3136</v>
      </c>
      <c r="N8" s="27">
        <v>37.161474</v>
      </c>
      <c r="O8" s="35">
        <f t="shared" si="2"/>
        <v>-0.660047112161707</v>
      </c>
    </row>
    <row r="9" customFormat="1" ht="16.5" spans="1:15">
      <c r="A9" s="30"/>
      <c r="B9" s="26" t="s">
        <v>61</v>
      </c>
      <c r="C9" s="27">
        <v>114.2</v>
      </c>
      <c r="D9" s="27">
        <v>32.2581</v>
      </c>
      <c r="E9" s="27">
        <v>49.331</v>
      </c>
      <c r="F9" s="28">
        <f t="shared" si="0"/>
        <v>0.529259317814751</v>
      </c>
      <c r="G9" s="29">
        <v>17.2134</v>
      </c>
      <c r="H9" s="29">
        <v>14.7933</v>
      </c>
      <c r="I9" s="35">
        <f t="shared" si="1"/>
        <v>-0.140593955871588</v>
      </c>
      <c r="J9" s="29">
        <v>19.5347</v>
      </c>
      <c r="K9" s="29">
        <v>10.1793</v>
      </c>
      <c r="L9" s="36">
        <f t="shared" si="3"/>
        <v>-0.478911885004633</v>
      </c>
      <c r="M9" s="27">
        <v>130.8518</v>
      </c>
      <c r="N9" s="27">
        <v>106.5617</v>
      </c>
      <c r="O9" s="35">
        <f t="shared" si="2"/>
        <v>-0.185630614175732</v>
      </c>
    </row>
    <row r="10" customFormat="1" ht="16.5" spans="1:15">
      <c r="A10" s="30"/>
      <c r="B10" s="26" t="s">
        <v>69</v>
      </c>
      <c r="C10" s="27">
        <v>46.1</v>
      </c>
      <c r="D10" s="27">
        <v>38.118</v>
      </c>
      <c r="E10" s="27">
        <v>46.5</v>
      </c>
      <c r="F10" s="28">
        <f t="shared" si="0"/>
        <v>0.219896112073036</v>
      </c>
      <c r="G10" s="29">
        <v>0</v>
      </c>
      <c r="H10" s="29">
        <v>0</v>
      </c>
      <c r="I10" s="28" t="e">
        <f t="shared" si="1"/>
        <v>#DIV/0!</v>
      </c>
      <c r="J10" s="29">
        <v>0</v>
      </c>
      <c r="K10" s="29">
        <v>3</v>
      </c>
      <c r="L10" s="28" t="e">
        <f t="shared" si="3"/>
        <v>#DIV/0!</v>
      </c>
      <c r="M10" s="27">
        <v>93.6658</v>
      </c>
      <c r="N10" s="27">
        <v>87.618</v>
      </c>
      <c r="O10" s="35">
        <f t="shared" si="2"/>
        <v>-0.0645678572114903</v>
      </c>
    </row>
    <row r="11" customFormat="1" ht="16.5" spans="1:15">
      <c r="A11" s="30"/>
      <c r="B11" s="26" t="s">
        <v>56</v>
      </c>
      <c r="C11" s="27">
        <v>216.4</v>
      </c>
      <c r="D11" s="27">
        <v>96.067405</v>
      </c>
      <c r="E11" s="27">
        <v>285.048375</v>
      </c>
      <c r="F11" s="28">
        <f t="shared" si="0"/>
        <v>1.96717055071905</v>
      </c>
      <c r="G11" s="29">
        <v>28.307</v>
      </c>
      <c r="H11" s="29">
        <v>74.46917</v>
      </c>
      <c r="I11" s="28">
        <f t="shared" si="1"/>
        <v>1.63076871445226</v>
      </c>
      <c r="J11" s="29">
        <v>36.71568</v>
      </c>
      <c r="K11" s="29">
        <v>53.8984</v>
      </c>
      <c r="L11" s="28">
        <f t="shared" si="3"/>
        <v>0.46799405594558</v>
      </c>
      <c r="M11" s="27">
        <v>350.475692</v>
      </c>
      <c r="N11" s="27">
        <v>509.48335</v>
      </c>
      <c r="O11" s="37">
        <f t="shared" si="2"/>
        <v>0.45369097380939</v>
      </c>
    </row>
    <row r="12" customFormat="1" ht="16.5" spans="1:15">
      <c r="A12" s="30"/>
      <c r="B12" s="26" t="s">
        <v>525</v>
      </c>
      <c r="C12" s="27">
        <v>142.2</v>
      </c>
      <c r="D12" s="27"/>
      <c r="E12" s="27"/>
      <c r="F12" s="28" t="e">
        <f t="shared" si="0"/>
        <v>#DIV/0!</v>
      </c>
      <c r="G12" s="29"/>
      <c r="H12" s="29"/>
      <c r="I12" s="28" t="e">
        <f t="shared" si="1"/>
        <v>#DIV/0!</v>
      </c>
      <c r="J12" s="29"/>
      <c r="K12" s="29"/>
      <c r="L12" s="28" t="e">
        <f t="shared" si="3"/>
        <v>#DIV/0!</v>
      </c>
      <c r="M12" s="27"/>
      <c r="N12" s="27"/>
      <c r="O12" s="37" t="e">
        <f t="shared" si="2"/>
        <v>#DIV/0!</v>
      </c>
    </row>
    <row r="13" customFormat="1" ht="16.5" spans="1:15">
      <c r="A13" s="31"/>
      <c r="B13" s="17" t="s">
        <v>29</v>
      </c>
      <c r="C13" s="32">
        <f t="shared" ref="C13:H13" si="4">SUM(C4:C12)</f>
        <v>1262.4</v>
      </c>
      <c r="D13" s="32">
        <f t="shared" si="4"/>
        <v>738.183832</v>
      </c>
      <c r="E13" s="32">
        <f t="shared" si="4"/>
        <v>1031.65299</v>
      </c>
      <c r="F13" s="33">
        <f t="shared" si="0"/>
        <v>0.397555656569839</v>
      </c>
      <c r="G13" s="32">
        <f t="shared" si="4"/>
        <v>210.434524</v>
      </c>
      <c r="H13" s="32">
        <f t="shared" si="4"/>
        <v>235.106978</v>
      </c>
      <c r="I13" s="33">
        <f t="shared" si="1"/>
        <v>0.117245276730353</v>
      </c>
      <c r="J13" s="32">
        <f t="shared" ref="J13:N13" si="5">SUM(J4:J12)</f>
        <v>193.021436</v>
      </c>
      <c r="K13" s="32">
        <f t="shared" si="5"/>
        <v>184.188765</v>
      </c>
      <c r="L13" s="36">
        <f t="shared" si="3"/>
        <v>-0.0457600522669407</v>
      </c>
      <c r="M13" s="32">
        <f t="shared" si="5"/>
        <v>1837.771622</v>
      </c>
      <c r="N13" s="32">
        <f t="shared" si="5"/>
        <v>2189.132565</v>
      </c>
      <c r="O13" s="33">
        <f t="shared" si="2"/>
        <v>0.191188577946167</v>
      </c>
    </row>
    <row r="14" customFormat="1" ht="16.5" spans="1:15">
      <c r="A14" s="25" t="s">
        <v>25</v>
      </c>
      <c r="B14" s="26" t="s">
        <v>153</v>
      </c>
      <c r="C14" s="27">
        <v>60.4</v>
      </c>
      <c r="D14" s="27">
        <v>0</v>
      </c>
      <c r="E14" s="27">
        <v>0</v>
      </c>
      <c r="F14" s="28" t="e">
        <f t="shared" si="0"/>
        <v>#DIV/0!</v>
      </c>
      <c r="G14" s="29">
        <v>0</v>
      </c>
      <c r="H14" s="29">
        <v>0</v>
      </c>
      <c r="I14" s="28" t="e">
        <f t="shared" si="1"/>
        <v>#DIV/0!</v>
      </c>
      <c r="J14" s="29">
        <v>0</v>
      </c>
      <c r="K14" s="29">
        <v>0</v>
      </c>
      <c r="L14" s="28" t="e">
        <f t="shared" si="3"/>
        <v>#DIV/0!</v>
      </c>
      <c r="M14" s="27">
        <v>1.6674</v>
      </c>
      <c r="N14" s="27">
        <v>0</v>
      </c>
      <c r="O14" s="35">
        <f t="shared" si="2"/>
        <v>-1</v>
      </c>
    </row>
    <row r="15" customFormat="1" ht="16.5" spans="1:15">
      <c r="A15" s="30"/>
      <c r="B15" s="26" t="s">
        <v>143</v>
      </c>
      <c r="C15" s="27">
        <v>56.1</v>
      </c>
      <c r="D15" s="27">
        <v>15.4154</v>
      </c>
      <c r="E15" s="27">
        <v>5.6123</v>
      </c>
      <c r="F15" s="28">
        <f t="shared" si="0"/>
        <v>-0.635929006058876</v>
      </c>
      <c r="G15" s="29">
        <v>0.274626</v>
      </c>
      <c r="H15" s="29">
        <v>2.6</v>
      </c>
      <c r="I15" s="28">
        <f t="shared" si="1"/>
        <v>8.46742114730579</v>
      </c>
      <c r="J15" s="29">
        <v>0</v>
      </c>
      <c r="K15" s="29">
        <v>8.1471</v>
      </c>
      <c r="L15" s="28" t="e">
        <f t="shared" si="3"/>
        <v>#DIV/0!</v>
      </c>
      <c r="M15" s="27">
        <v>33.278626</v>
      </c>
      <c r="N15" s="27">
        <v>31.7748</v>
      </c>
      <c r="O15" s="35">
        <f t="shared" si="2"/>
        <v>-0.0451889450003136</v>
      </c>
    </row>
    <row r="16" customFormat="1" ht="16.5" spans="1:15">
      <c r="A16" s="30"/>
      <c r="B16" s="26" t="s">
        <v>140</v>
      </c>
      <c r="C16" s="27">
        <v>106</v>
      </c>
      <c r="D16" s="27">
        <v>97.060104</v>
      </c>
      <c r="E16" s="27">
        <v>86.508308</v>
      </c>
      <c r="F16" s="28">
        <f t="shared" si="0"/>
        <v>-0.108714039704717</v>
      </c>
      <c r="G16" s="29">
        <v>24.2759</v>
      </c>
      <c r="H16" s="29">
        <v>28.2995</v>
      </c>
      <c r="I16" s="28">
        <f t="shared" si="1"/>
        <v>0.165744627387656</v>
      </c>
      <c r="J16" s="29">
        <v>26.559656</v>
      </c>
      <c r="K16" s="29">
        <v>21.9874</v>
      </c>
      <c r="L16" s="36">
        <f t="shared" si="3"/>
        <v>-0.17215042243017</v>
      </c>
      <c r="M16" s="27">
        <v>230.38333</v>
      </c>
      <c r="N16" s="27">
        <v>233.855312</v>
      </c>
      <c r="O16" s="37">
        <f t="shared" si="2"/>
        <v>0.0150704567036166</v>
      </c>
    </row>
    <row r="17" customFormat="1" ht="16.5" spans="1:15">
      <c r="A17" s="30"/>
      <c r="B17" s="26" t="s">
        <v>137</v>
      </c>
      <c r="C17" s="27">
        <v>55.2</v>
      </c>
      <c r="D17" s="27">
        <v>2.651706</v>
      </c>
      <c r="E17" s="27">
        <v>11.982</v>
      </c>
      <c r="F17" s="28">
        <f t="shared" si="0"/>
        <v>3.51860047833357</v>
      </c>
      <c r="G17" s="29">
        <v>0.2311</v>
      </c>
      <c r="H17" s="29">
        <v>1</v>
      </c>
      <c r="I17" s="28">
        <f t="shared" si="1"/>
        <v>3.3271311120727</v>
      </c>
      <c r="J17" s="29">
        <v>0</v>
      </c>
      <c r="K17" s="29">
        <v>0</v>
      </c>
      <c r="L17" s="28" t="e">
        <f t="shared" si="3"/>
        <v>#DIV/0!</v>
      </c>
      <c r="M17" s="27">
        <v>21.4611</v>
      </c>
      <c r="N17" s="27">
        <v>15.633706</v>
      </c>
      <c r="O17" s="35">
        <f t="shared" si="2"/>
        <v>-0.271532866442074</v>
      </c>
    </row>
    <row r="18" customFormat="1" ht="16.5" spans="1:15">
      <c r="A18" s="30"/>
      <c r="B18" s="26" t="s">
        <v>134</v>
      </c>
      <c r="C18" s="27">
        <v>68.8</v>
      </c>
      <c r="D18" s="27">
        <v>12.8507</v>
      </c>
      <c r="E18" s="27">
        <v>4.9717</v>
      </c>
      <c r="F18" s="28">
        <f t="shared" si="0"/>
        <v>-0.613118351529489</v>
      </c>
      <c r="G18" s="29">
        <v>1.926</v>
      </c>
      <c r="H18" s="29">
        <v>-0.4599</v>
      </c>
      <c r="I18" s="35">
        <f t="shared" si="1"/>
        <v>-1.23878504672897</v>
      </c>
      <c r="J18" s="29">
        <v>3.1478</v>
      </c>
      <c r="K18" s="29">
        <v>0.00376</v>
      </c>
      <c r="L18" s="36">
        <f t="shared" si="3"/>
        <v>-0.998805514962831</v>
      </c>
      <c r="M18" s="27">
        <v>52.460782</v>
      </c>
      <c r="N18" s="27">
        <v>17.36626</v>
      </c>
      <c r="O18" s="35">
        <f t="shared" si="2"/>
        <v>-0.668966810292687</v>
      </c>
    </row>
    <row r="19" customFormat="1" ht="16.5" spans="1:15">
      <c r="A19" s="31"/>
      <c r="B19" s="17" t="s">
        <v>29</v>
      </c>
      <c r="C19" s="32">
        <f t="shared" ref="C19:H19" si="6">SUM(C14:C18)</f>
        <v>346.5</v>
      </c>
      <c r="D19" s="32">
        <f t="shared" si="6"/>
        <v>127.97791</v>
      </c>
      <c r="E19" s="32">
        <f t="shared" si="6"/>
        <v>109.074308</v>
      </c>
      <c r="F19" s="33">
        <f t="shared" si="0"/>
        <v>-0.1477098821195</v>
      </c>
      <c r="G19" s="32">
        <f t="shared" si="6"/>
        <v>26.707626</v>
      </c>
      <c r="H19" s="32">
        <f t="shared" si="6"/>
        <v>31.4396</v>
      </c>
      <c r="I19" s="33">
        <f t="shared" si="1"/>
        <v>0.177176885732936</v>
      </c>
      <c r="J19" s="32">
        <f t="shared" ref="J19:N19" si="7">SUM(J14:J18)</f>
        <v>29.707456</v>
      </c>
      <c r="K19" s="32">
        <f t="shared" si="7"/>
        <v>30.13826</v>
      </c>
      <c r="L19" s="28">
        <f t="shared" si="3"/>
        <v>0.0145015446627272</v>
      </c>
      <c r="M19" s="32">
        <f t="shared" si="7"/>
        <v>339.251238</v>
      </c>
      <c r="N19" s="32">
        <f t="shared" si="7"/>
        <v>298.630078</v>
      </c>
      <c r="O19" s="35">
        <f t="shared" si="2"/>
        <v>-0.119737691274099</v>
      </c>
    </row>
    <row r="20" customFormat="1" ht="16.5" spans="1:15">
      <c r="A20" s="25" t="s">
        <v>27</v>
      </c>
      <c r="B20" s="26" t="s">
        <v>163</v>
      </c>
      <c r="C20" s="27">
        <v>110.9</v>
      </c>
      <c r="D20" s="27">
        <v>131.54924</v>
      </c>
      <c r="E20" s="27">
        <v>61.675203</v>
      </c>
      <c r="F20" s="28">
        <f t="shared" si="0"/>
        <v>-0.531162604968299</v>
      </c>
      <c r="G20" s="29">
        <v>13.6532</v>
      </c>
      <c r="H20" s="29">
        <v>17.0233</v>
      </c>
      <c r="I20" s="28">
        <f t="shared" si="1"/>
        <v>0.24683590660065</v>
      </c>
      <c r="J20" s="29">
        <v>3.3817</v>
      </c>
      <c r="K20" s="29">
        <v>10.6442</v>
      </c>
      <c r="L20" s="28">
        <f t="shared" si="3"/>
        <v>2.14758849099565</v>
      </c>
      <c r="M20" s="27">
        <v>167.7487</v>
      </c>
      <c r="N20" s="27">
        <v>220.891943</v>
      </c>
      <c r="O20" s="37">
        <f t="shared" si="2"/>
        <v>0.31680271143681</v>
      </c>
    </row>
    <row r="21" customFormat="1" ht="16.5" spans="1:15">
      <c r="A21" s="30"/>
      <c r="B21" s="26" t="s">
        <v>182</v>
      </c>
      <c r="C21" s="27">
        <v>47.7</v>
      </c>
      <c r="D21" s="27">
        <v>7.0713</v>
      </c>
      <c r="E21" s="27">
        <v>11.7556</v>
      </c>
      <c r="F21" s="28">
        <f t="shared" si="0"/>
        <v>0.662438306959116</v>
      </c>
      <c r="G21" s="29">
        <v>3.7549</v>
      </c>
      <c r="H21" s="29">
        <v>5.4009</v>
      </c>
      <c r="I21" s="28">
        <f t="shared" si="1"/>
        <v>0.438360542224826</v>
      </c>
      <c r="J21" s="29">
        <v>0.0316</v>
      </c>
      <c r="K21" s="29">
        <v>4.3428</v>
      </c>
      <c r="L21" s="28">
        <f t="shared" si="3"/>
        <v>136.430379746835</v>
      </c>
      <c r="M21" s="27">
        <v>18.4961</v>
      </c>
      <c r="N21" s="27">
        <v>28.5706</v>
      </c>
      <c r="O21" s="37">
        <f t="shared" si="2"/>
        <v>0.544682392504366</v>
      </c>
    </row>
    <row r="22" customFormat="1" ht="16.5" spans="1:15">
      <c r="A22" s="30"/>
      <c r="B22" s="26" t="s">
        <v>180</v>
      </c>
      <c r="C22" s="27">
        <v>66.8</v>
      </c>
      <c r="D22" s="27">
        <v>12.3299</v>
      </c>
      <c r="E22" s="27">
        <v>12.4266</v>
      </c>
      <c r="F22" s="28">
        <f t="shared" si="0"/>
        <v>0.00784272378527007</v>
      </c>
      <c r="G22" s="29">
        <v>6.1052</v>
      </c>
      <c r="H22" s="29">
        <v>3.90904</v>
      </c>
      <c r="I22" s="35">
        <f t="shared" si="1"/>
        <v>-0.359719583306034</v>
      </c>
      <c r="J22" s="29">
        <v>5.3935</v>
      </c>
      <c r="K22" s="29">
        <v>2.3559</v>
      </c>
      <c r="L22" s="36">
        <f t="shared" si="3"/>
        <v>-0.563196440159451</v>
      </c>
      <c r="M22" s="27">
        <v>50.8437</v>
      </c>
      <c r="N22" s="27">
        <v>28.66674</v>
      </c>
      <c r="O22" s="35">
        <f t="shared" si="2"/>
        <v>-0.436179113636498</v>
      </c>
    </row>
    <row r="23" customFormat="1" ht="16.5" spans="1:15">
      <c r="A23" s="30"/>
      <c r="B23" s="26" t="s">
        <v>167</v>
      </c>
      <c r="C23" s="27">
        <v>159.5</v>
      </c>
      <c r="D23" s="27">
        <v>73.754966</v>
      </c>
      <c r="E23" s="27">
        <v>133.816191</v>
      </c>
      <c r="F23" s="28">
        <f t="shared" si="0"/>
        <v>0.81433465781816</v>
      </c>
      <c r="G23" s="29">
        <v>27.5786</v>
      </c>
      <c r="H23" s="29">
        <v>45.802259</v>
      </c>
      <c r="I23" s="28">
        <f t="shared" si="1"/>
        <v>0.660789851551565</v>
      </c>
      <c r="J23" s="29">
        <v>26.05589</v>
      </c>
      <c r="K23" s="29">
        <v>46.414951</v>
      </c>
      <c r="L23" s="28">
        <f t="shared" si="3"/>
        <v>0.781361181675237</v>
      </c>
      <c r="M23" s="27">
        <v>200.18291</v>
      </c>
      <c r="N23" s="27">
        <v>302.211557</v>
      </c>
      <c r="O23" s="37">
        <f t="shared" si="2"/>
        <v>0.509677109799233</v>
      </c>
    </row>
    <row r="24" customFormat="1" ht="16.5" spans="1:15">
      <c r="A24" s="30"/>
      <c r="B24" s="26" t="s">
        <v>172</v>
      </c>
      <c r="C24" s="27">
        <v>69.7</v>
      </c>
      <c r="D24" s="27">
        <v>6.915654</v>
      </c>
      <c r="E24" s="27">
        <v>22.6922</v>
      </c>
      <c r="F24" s="28">
        <f t="shared" si="0"/>
        <v>2.28128041107898</v>
      </c>
      <c r="G24" s="29">
        <v>10.2755</v>
      </c>
      <c r="H24" s="29">
        <v>10.3214</v>
      </c>
      <c r="I24" s="28">
        <f t="shared" si="1"/>
        <v>0.00446693591552738</v>
      </c>
      <c r="J24" s="29">
        <v>9.6945</v>
      </c>
      <c r="K24" s="29">
        <v>9.8496</v>
      </c>
      <c r="L24" s="28">
        <f t="shared" si="3"/>
        <v>0.0159987621847439</v>
      </c>
      <c r="M24" s="27">
        <v>67.5503</v>
      </c>
      <c r="N24" s="27">
        <v>49.778854</v>
      </c>
      <c r="O24" s="35">
        <f t="shared" si="2"/>
        <v>-0.263084634709246</v>
      </c>
    </row>
    <row r="25" customFormat="1" ht="16.5" spans="1:15">
      <c r="A25" s="30"/>
      <c r="B25" s="26" t="s">
        <v>176</v>
      </c>
      <c r="C25" s="27">
        <v>106.3</v>
      </c>
      <c r="D25" s="27">
        <v>66.33375</v>
      </c>
      <c r="E25" s="27">
        <v>69.966</v>
      </c>
      <c r="F25" s="28">
        <f t="shared" si="0"/>
        <v>0.0547571937362203</v>
      </c>
      <c r="G25" s="29">
        <v>15.414</v>
      </c>
      <c r="H25" s="29">
        <v>23.3214</v>
      </c>
      <c r="I25" s="28">
        <f t="shared" si="1"/>
        <v>0.51300116776956</v>
      </c>
      <c r="J25" s="29">
        <v>16.5505</v>
      </c>
      <c r="K25" s="29">
        <v>24.0568</v>
      </c>
      <c r="L25" s="28">
        <f t="shared" si="3"/>
        <v>0.453539168000967</v>
      </c>
      <c r="M25" s="27">
        <v>166.848908</v>
      </c>
      <c r="N25" s="27">
        <v>183.67795</v>
      </c>
      <c r="O25" s="37">
        <f t="shared" si="2"/>
        <v>0.10086396250193</v>
      </c>
    </row>
    <row r="26" customFormat="1" ht="16.5" spans="1:15">
      <c r="A26" s="31"/>
      <c r="B26" s="17" t="s">
        <v>29</v>
      </c>
      <c r="C26" s="32">
        <f t="shared" ref="C26:H26" si="8">SUM(C20:C25)</f>
        <v>560.9</v>
      </c>
      <c r="D26" s="32">
        <f t="shared" si="8"/>
        <v>297.95481</v>
      </c>
      <c r="E26" s="32">
        <f t="shared" si="8"/>
        <v>312.331794</v>
      </c>
      <c r="F26" s="33">
        <f t="shared" si="0"/>
        <v>0.0482522299270818</v>
      </c>
      <c r="G26" s="32">
        <f t="shared" si="8"/>
        <v>76.7814</v>
      </c>
      <c r="H26" s="32">
        <f t="shared" si="8"/>
        <v>105.778299</v>
      </c>
      <c r="I26" s="33">
        <f t="shared" si="1"/>
        <v>0.377655252443951</v>
      </c>
      <c r="J26" s="32">
        <f t="shared" ref="J26:N26" si="9">SUM(J20:J25)</f>
        <v>61.10769</v>
      </c>
      <c r="K26" s="32">
        <f t="shared" si="9"/>
        <v>97.664251</v>
      </c>
      <c r="L26" s="28">
        <f t="shared" si="3"/>
        <v>0.598231761010766</v>
      </c>
      <c r="M26" s="32">
        <f t="shared" si="9"/>
        <v>671.670618</v>
      </c>
      <c r="N26" s="32">
        <f t="shared" si="9"/>
        <v>813.797644</v>
      </c>
      <c r="O26" s="33">
        <f t="shared" si="2"/>
        <v>0.211602267824674</v>
      </c>
    </row>
    <row r="27" customFormat="1" ht="16.5" spans="1:15">
      <c r="A27" s="25" t="s">
        <v>252</v>
      </c>
      <c r="B27" s="26" t="s">
        <v>270</v>
      </c>
      <c r="C27" s="27">
        <v>109.5</v>
      </c>
      <c r="D27" s="27">
        <v>0.9484</v>
      </c>
      <c r="E27" s="27">
        <v>0.2766</v>
      </c>
      <c r="F27" s="28">
        <f t="shared" si="0"/>
        <v>-0.708350906790384</v>
      </c>
      <c r="G27" s="29">
        <v>0</v>
      </c>
      <c r="H27" s="29">
        <v>0</v>
      </c>
      <c r="I27" s="28" t="e">
        <f t="shared" si="1"/>
        <v>#DIV/0!</v>
      </c>
      <c r="J27" s="29">
        <v>0</v>
      </c>
      <c r="K27" s="29">
        <v>0</v>
      </c>
      <c r="L27" s="28" t="e">
        <f t="shared" si="3"/>
        <v>#DIV/0!</v>
      </c>
      <c r="M27" s="27">
        <v>4.8943</v>
      </c>
      <c r="N27" s="27">
        <v>1.225</v>
      </c>
      <c r="O27" s="35">
        <f t="shared" si="2"/>
        <v>-0.749708844982939</v>
      </c>
    </row>
    <row r="28" customFormat="1" ht="16.5" spans="1:15">
      <c r="A28" s="30"/>
      <c r="B28" s="26" t="s">
        <v>262</v>
      </c>
      <c r="C28" s="27">
        <v>150.9</v>
      </c>
      <c r="D28" s="27">
        <v>126.769178</v>
      </c>
      <c r="E28" s="27">
        <v>152.856611</v>
      </c>
      <c r="F28" s="28">
        <f t="shared" si="0"/>
        <v>0.205786875103032</v>
      </c>
      <c r="G28" s="29">
        <v>27.829908</v>
      </c>
      <c r="H28" s="29">
        <v>23.628642</v>
      </c>
      <c r="I28" s="28">
        <f t="shared" si="1"/>
        <v>-0.150962266925209</v>
      </c>
      <c r="J28" s="29">
        <v>10.844118</v>
      </c>
      <c r="K28" s="29">
        <v>8.9899</v>
      </c>
      <c r="L28" s="36">
        <f t="shared" si="3"/>
        <v>-0.170988364383346</v>
      </c>
      <c r="M28" s="27">
        <v>152.285374</v>
      </c>
      <c r="N28" s="27">
        <v>312.244331</v>
      </c>
      <c r="O28" s="37">
        <f t="shared" si="2"/>
        <v>1.05038949439754</v>
      </c>
    </row>
    <row r="29" customFormat="1" ht="16.5" spans="1:15">
      <c r="A29" s="30"/>
      <c r="B29" s="26" t="s">
        <v>272</v>
      </c>
      <c r="C29" s="27">
        <v>58.4</v>
      </c>
      <c r="D29" s="27">
        <v>3.3367</v>
      </c>
      <c r="E29" s="27">
        <v>0.1479</v>
      </c>
      <c r="F29" s="28">
        <f t="shared" si="0"/>
        <v>-0.955674768483831</v>
      </c>
      <c r="G29" s="29">
        <v>7.1086</v>
      </c>
      <c r="H29" s="29">
        <v>0</v>
      </c>
      <c r="I29" s="35">
        <f t="shared" si="1"/>
        <v>-1</v>
      </c>
      <c r="J29" s="29">
        <v>5.2183</v>
      </c>
      <c r="K29" s="29">
        <v>0</v>
      </c>
      <c r="L29" s="36">
        <f t="shared" si="3"/>
        <v>-1</v>
      </c>
      <c r="M29" s="27">
        <v>47.9696</v>
      </c>
      <c r="N29" s="27">
        <v>3.4846</v>
      </c>
      <c r="O29" s="35">
        <f t="shared" si="2"/>
        <v>-0.927358160168106</v>
      </c>
    </row>
    <row r="30" customFormat="1" ht="16.5" spans="1:15">
      <c r="A30" s="30"/>
      <c r="B30" s="26" t="s">
        <v>277</v>
      </c>
      <c r="C30" s="27">
        <v>17.9</v>
      </c>
      <c r="D30" s="27">
        <v>0</v>
      </c>
      <c r="E30" s="27">
        <v>0</v>
      </c>
      <c r="F30" s="28" t="e">
        <f t="shared" si="0"/>
        <v>#DIV/0!</v>
      </c>
      <c r="G30" s="29">
        <v>0</v>
      </c>
      <c r="H30" s="29">
        <v>0</v>
      </c>
      <c r="I30" s="28" t="e">
        <f t="shared" si="1"/>
        <v>#DIV/0!</v>
      </c>
      <c r="J30" s="29">
        <v>0</v>
      </c>
      <c r="K30" s="29">
        <v>0</v>
      </c>
      <c r="L30" s="28" t="e">
        <f t="shared" si="3"/>
        <v>#DIV/0!</v>
      </c>
      <c r="M30" s="27">
        <v>0.6649</v>
      </c>
      <c r="N30" s="27">
        <v>0</v>
      </c>
      <c r="O30" s="35">
        <f t="shared" si="2"/>
        <v>-1</v>
      </c>
    </row>
    <row r="31" customFormat="1" ht="16.5" spans="1:15">
      <c r="A31" s="30"/>
      <c r="B31" s="26" t="s">
        <v>526</v>
      </c>
      <c r="C31" s="27">
        <v>46.9</v>
      </c>
      <c r="D31" s="27"/>
      <c r="E31" s="27"/>
      <c r="F31" s="28" t="e">
        <f t="shared" si="0"/>
        <v>#DIV/0!</v>
      </c>
      <c r="G31" s="29"/>
      <c r="H31" s="29"/>
      <c r="I31" s="28" t="e">
        <f t="shared" si="1"/>
        <v>#DIV/0!</v>
      </c>
      <c r="J31" s="29"/>
      <c r="K31" s="29"/>
      <c r="L31" s="28" t="e">
        <f t="shared" si="3"/>
        <v>#DIV/0!</v>
      </c>
      <c r="M31" s="27"/>
      <c r="N31" s="27"/>
      <c r="O31" s="37" t="e">
        <f t="shared" si="2"/>
        <v>#DIV/0!</v>
      </c>
    </row>
    <row r="32" customFormat="1" ht="16.5" spans="1:15">
      <c r="A32" s="30"/>
      <c r="B32" s="26" t="s">
        <v>527</v>
      </c>
      <c r="C32" s="27">
        <v>47.4</v>
      </c>
      <c r="D32" s="27"/>
      <c r="E32" s="27"/>
      <c r="F32" s="28" t="e">
        <f t="shared" si="0"/>
        <v>#DIV/0!</v>
      </c>
      <c r="G32" s="29"/>
      <c r="H32" s="29"/>
      <c r="I32" s="28" t="e">
        <f t="shared" si="1"/>
        <v>#DIV/0!</v>
      </c>
      <c r="J32" s="29"/>
      <c r="K32" s="29"/>
      <c r="L32" s="28" t="e">
        <f t="shared" si="3"/>
        <v>#DIV/0!</v>
      </c>
      <c r="M32" s="27"/>
      <c r="N32" s="27"/>
      <c r="O32" s="37" t="e">
        <f t="shared" si="2"/>
        <v>#DIV/0!</v>
      </c>
    </row>
    <row r="33" customFormat="1" ht="16.5" spans="1:15">
      <c r="A33" s="30"/>
      <c r="B33" s="26" t="s">
        <v>254</v>
      </c>
      <c r="C33" s="27">
        <v>191.8</v>
      </c>
      <c r="D33" s="27">
        <v>23.594954</v>
      </c>
      <c r="E33" s="27">
        <v>34.1365</v>
      </c>
      <c r="F33" s="28">
        <f t="shared" si="0"/>
        <v>0.446771203707369</v>
      </c>
      <c r="G33" s="29">
        <v>19.6284</v>
      </c>
      <c r="H33" s="29">
        <v>1.85</v>
      </c>
      <c r="I33" s="35">
        <f t="shared" si="1"/>
        <v>-0.905748812944509</v>
      </c>
      <c r="J33" s="29">
        <v>13.1828</v>
      </c>
      <c r="K33" s="29">
        <v>8.01</v>
      </c>
      <c r="L33" s="36">
        <f t="shared" si="3"/>
        <v>-0.392390084048912</v>
      </c>
      <c r="M33" s="27">
        <v>160.99533</v>
      </c>
      <c r="N33" s="27">
        <v>67.591454</v>
      </c>
      <c r="O33" s="35">
        <f t="shared" si="2"/>
        <v>-0.580165126528825</v>
      </c>
    </row>
    <row r="34" customFormat="1" ht="16.5" spans="1:15">
      <c r="A34" s="30"/>
      <c r="B34" s="26" t="s">
        <v>528</v>
      </c>
      <c r="C34" s="27">
        <v>98.1</v>
      </c>
      <c r="D34" s="27"/>
      <c r="E34" s="27"/>
      <c r="F34" s="28" t="e">
        <f t="shared" si="0"/>
        <v>#DIV/0!</v>
      </c>
      <c r="G34" s="29"/>
      <c r="H34" s="29"/>
      <c r="I34" s="28" t="e">
        <f t="shared" si="1"/>
        <v>#DIV/0!</v>
      </c>
      <c r="J34" s="29"/>
      <c r="K34" s="29"/>
      <c r="L34" s="28" t="e">
        <f t="shared" si="3"/>
        <v>#DIV/0!</v>
      </c>
      <c r="M34" s="27"/>
      <c r="N34" s="27"/>
      <c r="O34" s="37" t="e">
        <f t="shared" si="2"/>
        <v>#DIV/0!</v>
      </c>
    </row>
    <row r="35" customFormat="1" ht="16.5" spans="1:15">
      <c r="A35" s="31"/>
      <c r="B35" s="17" t="s">
        <v>29</v>
      </c>
      <c r="C35" s="32">
        <f t="shared" ref="C35:H35" si="10">SUM(C27:C34)</f>
        <v>720.9</v>
      </c>
      <c r="D35" s="32">
        <f t="shared" si="10"/>
        <v>154.649232</v>
      </c>
      <c r="E35" s="32">
        <f t="shared" si="10"/>
        <v>187.417611</v>
      </c>
      <c r="F35" s="33">
        <f t="shared" si="0"/>
        <v>0.211888404334267</v>
      </c>
      <c r="G35" s="32">
        <f t="shared" si="10"/>
        <v>54.566908</v>
      </c>
      <c r="H35" s="32">
        <f t="shared" si="10"/>
        <v>25.478642</v>
      </c>
      <c r="I35" s="33">
        <f t="shared" si="1"/>
        <v>-0.53307521107848</v>
      </c>
      <c r="J35" s="32">
        <f t="shared" ref="J35:N35" si="11">SUM(J27:J34)</f>
        <v>29.245218</v>
      </c>
      <c r="K35" s="32">
        <f t="shared" si="11"/>
        <v>16.9999</v>
      </c>
      <c r="L35" s="36">
        <f t="shared" si="3"/>
        <v>-0.418711804439276</v>
      </c>
      <c r="M35" s="32">
        <f t="shared" si="11"/>
        <v>366.809504</v>
      </c>
      <c r="N35" s="32">
        <f t="shared" si="11"/>
        <v>384.545385</v>
      </c>
      <c r="O35" s="33">
        <f t="shared" si="2"/>
        <v>0.0483517488140113</v>
      </c>
    </row>
    <row r="36" customFormat="1" ht="16.5" spans="1:15">
      <c r="A36" s="25" t="s">
        <v>256</v>
      </c>
      <c r="B36" s="26" t="s">
        <v>287</v>
      </c>
      <c r="C36" s="27">
        <v>26.4</v>
      </c>
      <c r="D36" s="27">
        <v>0</v>
      </c>
      <c r="E36" s="27">
        <v>0</v>
      </c>
      <c r="F36" s="28" t="e">
        <f t="shared" si="0"/>
        <v>#DIV/0!</v>
      </c>
      <c r="G36" s="29">
        <v>1</v>
      </c>
      <c r="H36" s="29">
        <v>0</v>
      </c>
      <c r="I36" s="35">
        <f t="shared" si="1"/>
        <v>-1</v>
      </c>
      <c r="J36" s="29">
        <v>0</v>
      </c>
      <c r="K36" s="29">
        <v>0</v>
      </c>
      <c r="L36" s="28" t="e">
        <f t="shared" si="3"/>
        <v>#DIV/0!</v>
      </c>
      <c r="M36" s="27">
        <v>3</v>
      </c>
      <c r="N36" s="27">
        <v>0</v>
      </c>
      <c r="O36" s="35">
        <f t="shared" si="2"/>
        <v>-1</v>
      </c>
    </row>
    <row r="37" customFormat="1" ht="16.5" spans="1:15">
      <c r="A37" s="30"/>
      <c r="B37" s="26" t="s">
        <v>279</v>
      </c>
      <c r="C37" s="27">
        <v>49.2</v>
      </c>
      <c r="D37" s="27">
        <v>0</v>
      </c>
      <c r="E37" s="27">
        <v>0</v>
      </c>
      <c r="F37" s="28" t="e">
        <f t="shared" si="0"/>
        <v>#DIV/0!</v>
      </c>
      <c r="G37" s="29">
        <v>0</v>
      </c>
      <c r="H37" s="29">
        <v>0</v>
      </c>
      <c r="I37" s="28" t="e">
        <f t="shared" si="1"/>
        <v>#DIV/0!</v>
      </c>
      <c r="J37" s="29">
        <v>0</v>
      </c>
      <c r="K37" s="29">
        <v>0</v>
      </c>
      <c r="L37" s="28" t="e">
        <f t="shared" ref="L37:L77" si="12">K37/J37-1</f>
        <v>#DIV/0!</v>
      </c>
      <c r="M37" s="27">
        <v>1.9218</v>
      </c>
      <c r="N37" s="27">
        <v>0</v>
      </c>
      <c r="O37" s="35">
        <f t="shared" si="2"/>
        <v>-1</v>
      </c>
    </row>
    <row r="38" customFormat="1" ht="16.5" spans="1:15">
      <c r="A38" s="30"/>
      <c r="B38" s="26" t="s">
        <v>529</v>
      </c>
      <c r="C38" s="27">
        <v>24.5</v>
      </c>
      <c r="D38" s="27"/>
      <c r="E38" s="27"/>
      <c r="F38" s="28" t="e">
        <f t="shared" si="0"/>
        <v>#DIV/0!</v>
      </c>
      <c r="G38" s="29"/>
      <c r="H38" s="29"/>
      <c r="I38" s="28" t="e">
        <f t="shared" si="1"/>
        <v>#DIV/0!</v>
      </c>
      <c r="J38" s="29"/>
      <c r="K38" s="29"/>
      <c r="L38" s="28" t="e">
        <f t="shared" si="12"/>
        <v>#DIV/0!</v>
      </c>
      <c r="M38" s="27"/>
      <c r="N38" s="27"/>
      <c r="O38" s="37" t="e">
        <f t="shared" si="2"/>
        <v>#DIV/0!</v>
      </c>
    </row>
    <row r="39" customFormat="1" ht="16.5" spans="1:15">
      <c r="A39" s="30"/>
      <c r="B39" s="26" t="s">
        <v>285</v>
      </c>
      <c r="C39" s="27">
        <v>36.9</v>
      </c>
      <c r="D39" s="27">
        <v>0.5612</v>
      </c>
      <c r="E39" s="27">
        <v>0</v>
      </c>
      <c r="F39" s="28">
        <f t="shared" si="0"/>
        <v>-1</v>
      </c>
      <c r="G39" s="29">
        <v>0</v>
      </c>
      <c r="H39" s="29">
        <v>0.4354</v>
      </c>
      <c r="I39" s="28" t="e">
        <f t="shared" si="1"/>
        <v>#DIV/0!</v>
      </c>
      <c r="J39" s="29">
        <v>0</v>
      </c>
      <c r="K39" s="29">
        <v>0</v>
      </c>
      <c r="L39" s="28" t="e">
        <f t="shared" si="12"/>
        <v>#DIV/0!</v>
      </c>
      <c r="M39" s="27">
        <v>0.2998</v>
      </c>
      <c r="N39" s="27">
        <v>0.9966</v>
      </c>
      <c r="O39" s="37">
        <f t="shared" si="2"/>
        <v>2.32421614409606</v>
      </c>
    </row>
    <row r="40" customFormat="1" ht="16.5" spans="1:15">
      <c r="A40" s="30"/>
      <c r="B40" s="26" t="s">
        <v>258</v>
      </c>
      <c r="C40" s="27">
        <v>92.9</v>
      </c>
      <c r="D40" s="27">
        <v>57.2951</v>
      </c>
      <c r="E40" s="27">
        <v>61.6171</v>
      </c>
      <c r="F40" s="28">
        <f t="shared" si="0"/>
        <v>0.0754340248991625</v>
      </c>
      <c r="G40" s="29">
        <v>10.2639</v>
      </c>
      <c r="H40" s="29">
        <v>12.4398</v>
      </c>
      <c r="I40" s="28">
        <f t="shared" si="1"/>
        <v>0.211995440329699</v>
      </c>
      <c r="J40" s="29">
        <v>16.0385</v>
      </c>
      <c r="K40" s="29">
        <v>7.3093</v>
      </c>
      <c r="L40" s="36">
        <f t="shared" si="12"/>
        <v>-0.544265361473953</v>
      </c>
      <c r="M40" s="27">
        <v>105.74994</v>
      </c>
      <c r="N40" s="27">
        <v>138.6613</v>
      </c>
      <c r="O40" s="37">
        <f t="shared" si="2"/>
        <v>0.311218710856952</v>
      </c>
    </row>
    <row r="41" customFormat="1" ht="16.5" spans="1:15">
      <c r="A41" s="31"/>
      <c r="B41" s="17" t="s">
        <v>29</v>
      </c>
      <c r="C41" s="32">
        <f t="shared" ref="C41:H41" si="13">SUM(C36:C40)</f>
        <v>229.9</v>
      </c>
      <c r="D41" s="32">
        <f t="shared" si="13"/>
        <v>57.8563</v>
      </c>
      <c r="E41" s="32">
        <f t="shared" si="13"/>
        <v>61.6171</v>
      </c>
      <c r="F41" s="33">
        <f t="shared" si="0"/>
        <v>0.0650024284304389</v>
      </c>
      <c r="G41" s="32">
        <f t="shared" si="13"/>
        <v>11.2639</v>
      </c>
      <c r="H41" s="32">
        <f t="shared" si="13"/>
        <v>12.8752</v>
      </c>
      <c r="I41" s="33">
        <f t="shared" si="1"/>
        <v>0.143049920542619</v>
      </c>
      <c r="J41" s="32">
        <f t="shared" ref="J41:N41" si="14">SUM(J36:J40)</f>
        <v>16.0385</v>
      </c>
      <c r="K41" s="32">
        <f t="shared" si="14"/>
        <v>7.3093</v>
      </c>
      <c r="L41" s="36">
        <f t="shared" si="12"/>
        <v>-0.544265361473953</v>
      </c>
      <c r="M41" s="32">
        <f t="shared" si="14"/>
        <v>110.97154</v>
      </c>
      <c r="N41" s="32">
        <f t="shared" si="14"/>
        <v>139.6579</v>
      </c>
      <c r="O41" s="33">
        <f t="shared" si="2"/>
        <v>0.258501954645308</v>
      </c>
    </row>
    <row r="42" customFormat="1" ht="16.5" spans="1:15">
      <c r="A42" s="26" t="s">
        <v>31</v>
      </c>
      <c r="B42" s="26" t="s">
        <v>317</v>
      </c>
      <c r="C42" s="27">
        <v>113.3</v>
      </c>
      <c r="D42" s="27">
        <v>33.4542</v>
      </c>
      <c r="E42" s="27">
        <v>45.9067</v>
      </c>
      <c r="F42" s="28">
        <f t="shared" si="0"/>
        <v>0.372225311022233</v>
      </c>
      <c r="G42" s="29">
        <v>29.9506</v>
      </c>
      <c r="H42" s="29">
        <v>21.764452</v>
      </c>
      <c r="I42" s="35">
        <f t="shared" si="1"/>
        <v>-0.273321669682744</v>
      </c>
      <c r="J42" s="29">
        <v>15.5894</v>
      </c>
      <c r="K42" s="29">
        <v>9.9764</v>
      </c>
      <c r="L42" s="36">
        <f t="shared" si="12"/>
        <v>-0.360052343258881</v>
      </c>
      <c r="M42" s="27">
        <v>150.811163</v>
      </c>
      <c r="N42" s="27">
        <v>111.101752</v>
      </c>
      <c r="O42" s="35">
        <f t="shared" si="2"/>
        <v>-0.263305515388141</v>
      </c>
    </row>
    <row r="43" customFormat="1" ht="16.5" spans="1:15">
      <c r="A43" s="26"/>
      <c r="B43" s="26" t="s">
        <v>302</v>
      </c>
      <c r="C43" s="27">
        <v>80.9</v>
      </c>
      <c r="D43" s="27">
        <v>66.0383</v>
      </c>
      <c r="E43" s="27">
        <v>68.2072</v>
      </c>
      <c r="F43" s="28">
        <f t="shared" si="0"/>
        <v>0.0328430622835536</v>
      </c>
      <c r="G43" s="29">
        <v>26.8661</v>
      </c>
      <c r="H43" s="29">
        <v>15.8588</v>
      </c>
      <c r="I43" s="35">
        <f t="shared" si="1"/>
        <v>-0.409709634074168</v>
      </c>
      <c r="J43" s="29">
        <v>12.5248</v>
      </c>
      <c r="K43" s="29">
        <v>18.236</v>
      </c>
      <c r="L43" s="28">
        <f t="shared" si="12"/>
        <v>0.455991313234543</v>
      </c>
      <c r="M43" s="27">
        <v>165.011</v>
      </c>
      <c r="N43" s="27">
        <v>168.3403</v>
      </c>
      <c r="O43" s="37">
        <f t="shared" si="2"/>
        <v>0.0201762306755309</v>
      </c>
    </row>
    <row r="44" customFormat="1" ht="16.5" spans="1:15">
      <c r="A44" s="26"/>
      <c r="B44" s="26" t="s">
        <v>310</v>
      </c>
      <c r="C44" s="27">
        <v>113.6</v>
      </c>
      <c r="D44" s="27">
        <v>125.266023</v>
      </c>
      <c r="E44" s="27">
        <v>209.230953</v>
      </c>
      <c r="F44" s="28">
        <f t="shared" si="0"/>
        <v>0.670292933304029</v>
      </c>
      <c r="G44" s="29">
        <v>35.926687</v>
      </c>
      <c r="H44" s="29">
        <v>37.379772</v>
      </c>
      <c r="I44" s="28">
        <f t="shared" si="1"/>
        <v>0.040445839049952</v>
      </c>
      <c r="J44" s="29">
        <v>28.39596</v>
      </c>
      <c r="K44" s="29">
        <v>13.666686</v>
      </c>
      <c r="L44" s="36">
        <f t="shared" si="12"/>
        <v>-0.518710196802644</v>
      </c>
      <c r="M44" s="27">
        <v>357.055225</v>
      </c>
      <c r="N44" s="27">
        <v>385.543434</v>
      </c>
      <c r="O44" s="37">
        <f t="shared" si="2"/>
        <v>0.0797865624288232</v>
      </c>
    </row>
    <row r="45" customFormat="1" ht="16.5" spans="1:15">
      <c r="A45" s="26"/>
      <c r="B45" s="26" t="s">
        <v>327</v>
      </c>
      <c r="C45" s="27">
        <v>69.8</v>
      </c>
      <c r="D45" s="27">
        <v>31.6704</v>
      </c>
      <c r="E45" s="27">
        <v>20.1731</v>
      </c>
      <c r="F45" s="28">
        <f t="shared" si="0"/>
        <v>-0.363029832272406</v>
      </c>
      <c r="G45" s="29">
        <v>0.9051</v>
      </c>
      <c r="H45" s="29">
        <v>11.5427</v>
      </c>
      <c r="I45" s="28">
        <f t="shared" si="1"/>
        <v>11.7529554745332</v>
      </c>
      <c r="J45" s="29">
        <v>0.3024</v>
      </c>
      <c r="K45" s="29">
        <v>4.3248</v>
      </c>
      <c r="L45" s="28">
        <f t="shared" si="12"/>
        <v>13.3015873015873</v>
      </c>
      <c r="M45" s="27">
        <v>50.1655</v>
      </c>
      <c r="N45" s="27">
        <v>67.711</v>
      </c>
      <c r="O45" s="37">
        <f t="shared" si="2"/>
        <v>0.349752319821391</v>
      </c>
    </row>
    <row r="46" customFormat="1" ht="16.5" spans="1:15">
      <c r="A46" s="26"/>
      <c r="B46" s="26" t="s">
        <v>307</v>
      </c>
      <c r="C46" s="27">
        <v>41.5</v>
      </c>
      <c r="D46" s="27">
        <v>7</v>
      </c>
      <c r="E46" s="27">
        <v>0</v>
      </c>
      <c r="F46" s="28">
        <f t="shared" si="0"/>
        <v>-1</v>
      </c>
      <c r="G46" s="29">
        <v>0</v>
      </c>
      <c r="H46" s="29">
        <v>0</v>
      </c>
      <c r="I46" s="28" t="e">
        <f t="shared" si="1"/>
        <v>#DIV/0!</v>
      </c>
      <c r="J46" s="29">
        <v>0</v>
      </c>
      <c r="K46" s="29">
        <v>0</v>
      </c>
      <c r="L46" s="28" t="e">
        <f t="shared" si="12"/>
        <v>#DIV/0!</v>
      </c>
      <c r="M46" s="27">
        <v>9.48</v>
      </c>
      <c r="N46" s="27">
        <v>7</v>
      </c>
      <c r="O46" s="35">
        <f t="shared" si="2"/>
        <v>-0.261603375527426</v>
      </c>
    </row>
    <row r="47" customFormat="1" ht="16.5" spans="1:15">
      <c r="A47" s="26"/>
      <c r="B47" s="26" t="s">
        <v>298</v>
      </c>
      <c r="C47" s="27">
        <v>123.8</v>
      </c>
      <c r="D47" s="27">
        <v>207.0517</v>
      </c>
      <c r="E47" s="27">
        <v>194.6313</v>
      </c>
      <c r="F47" s="28">
        <f t="shared" si="0"/>
        <v>-0.0599869501192214</v>
      </c>
      <c r="G47" s="29">
        <v>83.8749</v>
      </c>
      <c r="H47" s="29">
        <v>65.5143</v>
      </c>
      <c r="I47" s="35">
        <f t="shared" si="1"/>
        <v>-0.218904582896671</v>
      </c>
      <c r="J47" s="29">
        <v>54.2677</v>
      </c>
      <c r="K47" s="29">
        <v>28.6532</v>
      </c>
      <c r="L47" s="36">
        <f t="shared" si="12"/>
        <v>-0.472002682995594</v>
      </c>
      <c r="M47" s="27">
        <v>389.137</v>
      </c>
      <c r="N47" s="27">
        <v>495.8505</v>
      </c>
      <c r="O47" s="37">
        <f t="shared" si="2"/>
        <v>0.274231183362158</v>
      </c>
    </row>
    <row r="48" customFormat="1" ht="16.5" spans="1:15">
      <c r="A48" s="26"/>
      <c r="B48" s="17" t="s">
        <v>29</v>
      </c>
      <c r="C48" s="32">
        <f t="shared" ref="C48:H48" si="15">SUM(C42:C47)</f>
        <v>542.9</v>
      </c>
      <c r="D48" s="32">
        <f t="shared" si="15"/>
        <v>470.480623</v>
      </c>
      <c r="E48" s="32">
        <f t="shared" si="15"/>
        <v>538.149253</v>
      </c>
      <c r="F48" s="33">
        <f t="shared" si="0"/>
        <v>0.143828728946399</v>
      </c>
      <c r="G48" s="32">
        <f t="shared" si="15"/>
        <v>177.523387</v>
      </c>
      <c r="H48" s="32">
        <f t="shared" si="15"/>
        <v>152.060024</v>
      </c>
      <c r="I48" s="33">
        <f t="shared" si="1"/>
        <v>-0.143436667305137</v>
      </c>
      <c r="J48" s="32">
        <f t="shared" ref="J48:N48" si="16">SUM(J42:J47)</f>
        <v>111.08026</v>
      </c>
      <c r="K48" s="32">
        <f t="shared" si="16"/>
        <v>74.857086</v>
      </c>
      <c r="L48" s="36">
        <f t="shared" si="12"/>
        <v>-0.326099110679071</v>
      </c>
      <c r="M48" s="32">
        <f t="shared" si="16"/>
        <v>1121.659888</v>
      </c>
      <c r="N48" s="32">
        <f t="shared" si="16"/>
        <v>1235.546986</v>
      </c>
      <c r="O48" s="33">
        <f t="shared" si="2"/>
        <v>0.101534430551019</v>
      </c>
    </row>
    <row r="49" customFormat="1" ht="16.5" spans="1:15">
      <c r="A49" s="25" t="s">
        <v>28</v>
      </c>
      <c r="B49" s="26" t="s">
        <v>371</v>
      </c>
      <c r="C49" s="27">
        <v>111.1</v>
      </c>
      <c r="D49" s="27">
        <v>50.8594</v>
      </c>
      <c r="E49" s="27">
        <v>53.5233</v>
      </c>
      <c r="F49" s="28">
        <f t="shared" si="0"/>
        <v>0.0523777315501166</v>
      </c>
      <c r="G49" s="29">
        <v>3.9411</v>
      </c>
      <c r="H49" s="29">
        <v>1.43</v>
      </c>
      <c r="I49" s="35">
        <f t="shared" si="1"/>
        <v>-0.637157138869859</v>
      </c>
      <c r="J49" s="29">
        <v>26.1439</v>
      </c>
      <c r="K49" s="29">
        <v>0.8186</v>
      </c>
      <c r="L49" s="36">
        <f t="shared" si="12"/>
        <v>-0.968688680724758</v>
      </c>
      <c r="M49" s="27">
        <v>84.5026</v>
      </c>
      <c r="N49" s="27">
        <v>106.6313</v>
      </c>
      <c r="O49" s="37">
        <f t="shared" si="2"/>
        <v>0.261870048968907</v>
      </c>
    </row>
    <row r="50" customFormat="1" ht="16.5" spans="1:15">
      <c r="A50" s="30"/>
      <c r="B50" s="26" t="s">
        <v>406</v>
      </c>
      <c r="C50" s="27">
        <v>38.8</v>
      </c>
      <c r="D50" s="27">
        <v>0</v>
      </c>
      <c r="E50" s="27">
        <v>0</v>
      </c>
      <c r="F50" s="28" t="e">
        <f t="shared" si="0"/>
        <v>#DIV/0!</v>
      </c>
      <c r="G50" s="29">
        <v>0</v>
      </c>
      <c r="H50" s="29">
        <v>0</v>
      </c>
      <c r="I50" s="28" t="e">
        <f t="shared" si="1"/>
        <v>#DIV/0!</v>
      </c>
      <c r="J50" s="29">
        <v>2.1616</v>
      </c>
      <c r="K50" s="29">
        <v>0</v>
      </c>
      <c r="L50" s="36">
        <f t="shared" si="12"/>
        <v>-1</v>
      </c>
      <c r="M50" s="27">
        <v>3.0016</v>
      </c>
      <c r="N50" s="27">
        <v>0</v>
      </c>
      <c r="O50" s="35">
        <f t="shared" si="2"/>
        <v>-1</v>
      </c>
    </row>
    <row r="51" customFormat="1" ht="16.5" spans="1:15">
      <c r="A51" s="30"/>
      <c r="B51" s="26" t="s">
        <v>366</v>
      </c>
      <c r="C51" s="27">
        <v>222.7</v>
      </c>
      <c r="D51" s="27">
        <v>142.365123</v>
      </c>
      <c r="E51" s="27">
        <v>195.288168</v>
      </c>
      <c r="F51" s="28">
        <f t="shared" si="0"/>
        <v>0.371741644897114</v>
      </c>
      <c r="G51" s="29">
        <v>38.803198</v>
      </c>
      <c r="H51" s="29">
        <v>57.829961</v>
      </c>
      <c r="I51" s="28">
        <f t="shared" si="1"/>
        <v>0.490340074547464</v>
      </c>
      <c r="J51" s="29">
        <v>33.89082</v>
      </c>
      <c r="K51" s="29">
        <v>43.492876</v>
      </c>
      <c r="L51" s="28">
        <f t="shared" si="12"/>
        <v>0.283323212598574</v>
      </c>
      <c r="M51" s="27">
        <v>302.529901</v>
      </c>
      <c r="N51" s="27">
        <v>438.976128</v>
      </c>
      <c r="O51" s="37">
        <f t="shared" si="2"/>
        <v>0.451017326052674</v>
      </c>
    </row>
    <row r="52" customFormat="1" ht="16.5" spans="1:15">
      <c r="A52" s="30"/>
      <c r="B52" s="26" t="s">
        <v>385</v>
      </c>
      <c r="C52" s="27">
        <v>46.8</v>
      </c>
      <c r="D52" s="27">
        <v>6.8919</v>
      </c>
      <c r="E52" s="27">
        <v>3.4862</v>
      </c>
      <c r="F52" s="28">
        <f t="shared" si="0"/>
        <v>-0.494159810792379</v>
      </c>
      <c r="G52" s="29">
        <v>2.5918</v>
      </c>
      <c r="H52" s="29">
        <v>1.09</v>
      </c>
      <c r="I52" s="35">
        <f t="shared" si="1"/>
        <v>-0.579442858245235</v>
      </c>
      <c r="J52" s="29">
        <v>5</v>
      </c>
      <c r="K52" s="29">
        <v>1.78</v>
      </c>
      <c r="L52" s="36">
        <f t="shared" si="12"/>
        <v>-0.644</v>
      </c>
      <c r="M52" s="27">
        <v>27.8947</v>
      </c>
      <c r="N52" s="27">
        <v>13.2481</v>
      </c>
      <c r="O52" s="35">
        <f t="shared" si="2"/>
        <v>-0.525067485938189</v>
      </c>
    </row>
    <row r="53" customFormat="1" ht="16.5" spans="1:15">
      <c r="A53" s="30"/>
      <c r="B53" s="26" t="s">
        <v>395</v>
      </c>
      <c r="C53" s="27">
        <v>145.8</v>
      </c>
      <c r="D53" s="27">
        <v>15.1983</v>
      </c>
      <c r="E53" s="27">
        <v>26.4142</v>
      </c>
      <c r="F53" s="28">
        <f t="shared" si="0"/>
        <v>0.737970694090787</v>
      </c>
      <c r="G53" s="29">
        <v>5.0791</v>
      </c>
      <c r="H53" s="29">
        <v>0.256</v>
      </c>
      <c r="I53" s="35">
        <f t="shared" si="1"/>
        <v>-0.949597369612727</v>
      </c>
      <c r="J53" s="29">
        <v>4.6822</v>
      </c>
      <c r="K53" s="29">
        <v>4.8766</v>
      </c>
      <c r="L53" s="28">
        <f t="shared" si="12"/>
        <v>0.0415189440861135</v>
      </c>
      <c r="M53" s="27">
        <v>46.454</v>
      </c>
      <c r="N53" s="27">
        <v>46.7451</v>
      </c>
      <c r="O53" s="37">
        <f t="shared" si="2"/>
        <v>0.00626641408705386</v>
      </c>
    </row>
    <row r="54" customFormat="1" ht="16.5" spans="1:15">
      <c r="A54" s="30"/>
      <c r="B54" s="26" t="s">
        <v>375</v>
      </c>
      <c r="C54" s="27">
        <v>43.4</v>
      </c>
      <c r="D54" s="27">
        <v>12.9675</v>
      </c>
      <c r="E54" s="27">
        <v>10.0565</v>
      </c>
      <c r="F54" s="28">
        <f t="shared" si="0"/>
        <v>-0.224484287642182</v>
      </c>
      <c r="G54" s="29">
        <v>2.1043</v>
      </c>
      <c r="H54" s="29">
        <v>5.3011</v>
      </c>
      <c r="I54" s="28">
        <f t="shared" si="1"/>
        <v>1.51917502257283</v>
      </c>
      <c r="J54" s="29">
        <v>2.8974</v>
      </c>
      <c r="K54" s="29">
        <v>6.9519</v>
      </c>
      <c r="L54" s="28">
        <f t="shared" si="12"/>
        <v>1.39935804514392</v>
      </c>
      <c r="M54" s="27">
        <v>50.0071</v>
      </c>
      <c r="N54" s="27">
        <v>35.277</v>
      </c>
      <c r="O54" s="35">
        <f t="shared" si="2"/>
        <v>-0.294560172455511</v>
      </c>
    </row>
    <row r="55" customFormat="1" ht="16.5" spans="1:15">
      <c r="A55" s="30"/>
      <c r="B55" s="26" t="s">
        <v>400</v>
      </c>
      <c r="C55" s="27">
        <v>64.3</v>
      </c>
      <c r="D55" s="27">
        <v>1.9172</v>
      </c>
      <c r="E55" s="27">
        <v>1.5968</v>
      </c>
      <c r="F55" s="28">
        <f t="shared" si="0"/>
        <v>-0.167118714792406</v>
      </c>
      <c r="G55" s="29">
        <v>0.3611</v>
      </c>
      <c r="H55" s="29">
        <v>0.65</v>
      </c>
      <c r="I55" s="28">
        <f t="shared" si="1"/>
        <v>0.800055386319579</v>
      </c>
      <c r="J55" s="29">
        <v>0</v>
      </c>
      <c r="K55" s="29">
        <v>2.1</v>
      </c>
      <c r="L55" s="28" t="e">
        <f t="shared" si="12"/>
        <v>#DIV/0!</v>
      </c>
      <c r="M55" s="27">
        <v>8.3835</v>
      </c>
      <c r="N55" s="27">
        <v>6.264</v>
      </c>
      <c r="O55" s="35">
        <f t="shared" si="2"/>
        <v>-0.252818035426731</v>
      </c>
    </row>
    <row r="56" customFormat="1" ht="16.5" spans="1:15">
      <c r="A56" s="31"/>
      <c r="B56" s="17" t="s">
        <v>29</v>
      </c>
      <c r="C56" s="32">
        <f t="shared" ref="C56:H56" si="17">SUM(C49:C55)</f>
        <v>672.9</v>
      </c>
      <c r="D56" s="32">
        <f t="shared" si="17"/>
        <v>230.199423</v>
      </c>
      <c r="E56" s="32">
        <f t="shared" si="17"/>
        <v>290.365168</v>
      </c>
      <c r="F56" s="33">
        <f t="shared" si="0"/>
        <v>0.261363578656755</v>
      </c>
      <c r="G56" s="32">
        <f t="shared" si="17"/>
        <v>52.880598</v>
      </c>
      <c r="H56" s="32">
        <f t="shared" si="17"/>
        <v>66.557061</v>
      </c>
      <c r="I56" s="33">
        <f t="shared" si="1"/>
        <v>0.258629128967112</v>
      </c>
      <c r="J56" s="32">
        <f t="shared" ref="J56:N56" si="18">SUM(J49:J55)</f>
        <v>74.77592</v>
      </c>
      <c r="K56" s="32">
        <f t="shared" si="18"/>
        <v>60.019976</v>
      </c>
      <c r="L56" s="36">
        <f t="shared" si="12"/>
        <v>-0.197335505868734</v>
      </c>
      <c r="M56" s="32">
        <f t="shared" si="18"/>
        <v>522.773401</v>
      </c>
      <c r="N56" s="32">
        <f t="shared" si="18"/>
        <v>647.141628</v>
      </c>
      <c r="O56" s="33">
        <f t="shared" si="2"/>
        <v>0.237900831913214</v>
      </c>
    </row>
    <row r="57" customFormat="1" ht="16.5" spans="1:15">
      <c r="A57" s="25" t="s">
        <v>409</v>
      </c>
      <c r="B57" s="26" t="s">
        <v>459</v>
      </c>
      <c r="C57" s="27">
        <v>85.1</v>
      </c>
      <c r="D57" s="27">
        <v>12.1106</v>
      </c>
      <c r="E57" s="27">
        <v>14.4136</v>
      </c>
      <c r="F57" s="28">
        <f t="shared" si="0"/>
        <v>0.190163988571995</v>
      </c>
      <c r="G57" s="29">
        <v>2.1264</v>
      </c>
      <c r="H57" s="29">
        <v>0.7656</v>
      </c>
      <c r="I57" s="35">
        <f t="shared" si="1"/>
        <v>-0.639954853273138</v>
      </c>
      <c r="J57" s="29">
        <v>11.7399</v>
      </c>
      <c r="K57" s="29">
        <v>0.9975</v>
      </c>
      <c r="L57" s="36">
        <f t="shared" si="12"/>
        <v>-0.915033347813865</v>
      </c>
      <c r="M57" s="27">
        <v>52.1866</v>
      </c>
      <c r="N57" s="27">
        <v>28.2873</v>
      </c>
      <c r="O57" s="35">
        <f t="shared" si="2"/>
        <v>-0.457958556411033</v>
      </c>
    </row>
    <row r="58" customFormat="1" ht="16.5" spans="1:15">
      <c r="A58" s="30"/>
      <c r="B58" s="26" t="s">
        <v>415</v>
      </c>
      <c r="C58" s="27">
        <v>148.5</v>
      </c>
      <c r="D58" s="27">
        <v>62.474308</v>
      </c>
      <c r="E58" s="27">
        <v>54.350968</v>
      </c>
      <c r="F58" s="28">
        <f t="shared" si="0"/>
        <v>-0.130026890413896</v>
      </c>
      <c r="G58" s="29">
        <v>20.744276</v>
      </c>
      <c r="H58" s="29">
        <v>14.48532</v>
      </c>
      <c r="I58" s="35">
        <f t="shared" si="1"/>
        <v>-0.301719664740288</v>
      </c>
      <c r="J58" s="29">
        <v>19.116</v>
      </c>
      <c r="K58" s="29">
        <v>14.540844</v>
      </c>
      <c r="L58" s="36">
        <f t="shared" si="12"/>
        <v>-0.239336472065286</v>
      </c>
      <c r="M58" s="27">
        <v>178.957964</v>
      </c>
      <c r="N58" s="27">
        <v>145.85144</v>
      </c>
      <c r="O58" s="35">
        <f t="shared" si="2"/>
        <v>-0.184996092154915</v>
      </c>
    </row>
    <row r="59" customFormat="1" ht="16.5" spans="1:15">
      <c r="A59" s="30"/>
      <c r="B59" s="26" t="s">
        <v>438</v>
      </c>
      <c r="C59" s="27">
        <v>47.7</v>
      </c>
      <c r="D59" s="27">
        <v>2.3231</v>
      </c>
      <c r="E59" s="27">
        <v>16.49115</v>
      </c>
      <c r="F59" s="28">
        <f t="shared" si="0"/>
        <v>6.09876888640179</v>
      </c>
      <c r="G59" s="29">
        <v>1.4715</v>
      </c>
      <c r="H59" s="29">
        <v>2.345146</v>
      </c>
      <c r="I59" s="28">
        <f t="shared" si="1"/>
        <v>0.593711179068977</v>
      </c>
      <c r="J59" s="29">
        <v>3.0145</v>
      </c>
      <c r="K59" s="29">
        <v>2.345</v>
      </c>
      <c r="L59" s="36">
        <f t="shared" si="12"/>
        <v>-0.222093216122077</v>
      </c>
      <c r="M59" s="27">
        <v>25.2059</v>
      </c>
      <c r="N59" s="27">
        <v>23.504396</v>
      </c>
      <c r="O59" s="35">
        <f t="shared" si="2"/>
        <v>-0.0675041954463043</v>
      </c>
    </row>
    <row r="60" customFormat="1" ht="16.5" spans="1:15">
      <c r="A60" s="30"/>
      <c r="B60" s="26" t="s">
        <v>429</v>
      </c>
      <c r="C60" s="27">
        <v>87.7</v>
      </c>
      <c r="D60" s="27">
        <v>0</v>
      </c>
      <c r="E60" s="27">
        <v>3.99935</v>
      </c>
      <c r="F60" s="28" t="e">
        <f t="shared" si="0"/>
        <v>#DIV/0!</v>
      </c>
      <c r="G60" s="29">
        <v>0</v>
      </c>
      <c r="H60" s="29">
        <v>2.8649</v>
      </c>
      <c r="I60" s="28" t="e">
        <f t="shared" si="1"/>
        <v>#DIV/0!</v>
      </c>
      <c r="J60" s="29">
        <v>0</v>
      </c>
      <c r="K60" s="29">
        <v>0</v>
      </c>
      <c r="L60" s="28" t="e">
        <f t="shared" si="12"/>
        <v>#DIV/0!</v>
      </c>
      <c r="M60" s="27">
        <v>0</v>
      </c>
      <c r="N60" s="27">
        <v>6.86425</v>
      </c>
      <c r="O60" s="37" t="e">
        <f t="shared" si="2"/>
        <v>#DIV/0!</v>
      </c>
    </row>
    <row r="61" customFormat="1" ht="16.5" spans="1:15">
      <c r="A61" s="30"/>
      <c r="B61" s="26" t="s">
        <v>411</v>
      </c>
      <c r="C61" s="27">
        <v>154.5</v>
      </c>
      <c r="D61" s="27">
        <v>57.57885</v>
      </c>
      <c r="E61" s="27">
        <v>59.4731</v>
      </c>
      <c r="F61" s="28">
        <f t="shared" si="0"/>
        <v>0.0328983645904704</v>
      </c>
      <c r="G61" s="29">
        <v>13.3878</v>
      </c>
      <c r="H61" s="29">
        <v>40.5447</v>
      </c>
      <c r="I61" s="28">
        <f t="shared" si="1"/>
        <v>2.02848115448393</v>
      </c>
      <c r="J61" s="29">
        <v>3.5533</v>
      </c>
      <c r="K61" s="29">
        <v>19.9514</v>
      </c>
      <c r="L61" s="28">
        <f t="shared" si="12"/>
        <v>4.6148931978724</v>
      </c>
      <c r="M61" s="27">
        <v>45.8191</v>
      </c>
      <c r="N61" s="27">
        <v>177.54805</v>
      </c>
      <c r="O61" s="37">
        <f t="shared" si="2"/>
        <v>2.87497899347652</v>
      </c>
    </row>
    <row r="62" customFormat="1" ht="16.5" spans="1:15">
      <c r="A62" s="30"/>
      <c r="B62" s="26" t="s">
        <v>466</v>
      </c>
      <c r="C62" s="27">
        <v>27.1</v>
      </c>
      <c r="D62" s="27">
        <v>0</v>
      </c>
      <c r="E62" s="27">
        <v>0</v>
      </c>
      <c r="F62" s="28" t="e">
        <f t="shared" si="0"/>
        <v>#DIV/0!</v>
      </c>
      <c r="G62" s="29">
        <v>0</v>
      </c>
      <c r="H62" s="29">
        <v>0</v>
      </c>
      <c r="I62" s="28" t="e">
        <f t="shared" si="1"/>
        <v>#DIV/0!</v>
      </c>
      <c r="J62" s="29">
        <v>0</v>
      </c>
      <c r="K62" s="29">
        <v>0</v>
      </c>
      <c r="L62" s="28" t="e">
        <f t="shared" si="12"/>
        <v>#DIV/0!</v>
      </c>
      <c r="M62" s="27">
        <v>0</v>
      </c>
      <c r="N62" s="27">
        <v>0</v>
      </c>
      <c r="O62" s="37" t="e">
        <f t="shared" si="2"/>
        <v>#DIV/0!</v>
      </c>
    </row>
    <row r="63" customFormat="1" ht="16.5" spans="1:15">
      <c r="A63" s="30"/>
      <c r="B63" s="26" t="s">
        <v>423</v>
      </c>
      <c r="C63" s="27">
        <v>316.8</v>
      </c>
      <c r="D63" s="27">
        <v>45.196606</v>
      </c>
      <c r="E63" s="27">
        <v>76.777146</v>
      </c>
      <c r="F63" s="28">
        <f t="shared" si="0"/>
        <v>0.698736980382996</v>
      </c>
      <c r="G63" s="29">
        <v>18.18483</v>
      </c>
      <c r="H63" s="29">
        <v>11.485</v>
      </c>
      <c r="I63" s="35">
        <f t="shared" si="1"/>
        <v>-0.368429619633508</v>
      </c>
      <c r="J63" s="29">
        <v>16.2348</v>
      </c>
      <c r="K63" s="29">
        <v>13.084756</v>
      </c>
      <c r="L63" s="36">
        <f t="shared" si="12"/>
        <v>-0.194030354547022</v>
      </c>
      <c r="M63" s="27">
        <v>163.87445</v>
      </c>
      <c r="N63" s="27">
        <v>146.543508</v>
      </c>
      <c r="O63" s="35">
        <f t="shared" si="2"/>
        <v>-0.105757438087511</v>
      </c>
    </row>
    <row r="64" customFormat="1" ht="16.5" spans="1:15">
      <c r="A64" s="30"/>
      <c r="B64" s="26" t="s">
        <v>530</v>
      </c>
      <c r="C64" s="27">
        <v>29.3</v>
      </c>
      <c r="D64" s="27"/>
      <c r="E64" s="27"/>
      <c r="F64" s="28" t="e">
        <f t="shared" si="0"/>
        <v>#DIV/0!</v>
      </c>
      <c r="G64" s="29"/>
      <c r="H64" s="29"/>
      <c r="I64" s="28" t="e">
        <f t="shared" si="1"/>
        <v>#DIV/0!</v>
      </c>
      <c r="J64" s="29"/>
      <c r="K64" s="29"/>
      <c r="L64" s="28" t="e">
        <f t="shared" si="12"/>
        <v>#DIV/0!</v>
      </c>
      <c r="M64" s="27"/>
      <c r="N64" s="27"/>
      <c r="O64" s="37" t="e">
        <f t="shared" si="2"/>
        <v>#DIV/0!</v>
      </c>
    </row>
    <row r="65" customFormat="1" ht="16.5" spans="1:15">
      <c r="A65" s="30"/>
      <c r="B65" s="26" t="s">
        <v>426</v>
      </c>
      <c r="C65" s="27">
        <v>88.6</v>
      </c>
      <c r="D65" s="27">
        <v>1.074</v>
      </c>
      <c r="E65" s="27">
        <v>2.2916</v>
      </c>
      <c r="F65" s="28">
        <f t="shared" si="0"/>
        <v>1.13370577281192</v>
      </c>
      <c r="G65" s="29">
        <v>0</v>
      </c>
      <c r="H65" s="29">
        <v>0</v>
      </c>
      <c r="I65" s="28" t="e">
        <f t="shared" si="1"/>
        <v>#DIV/0!</v>
      </c>
      <c r="J65" s="29">
        <v>0</v>
      </c>
      <c r="K65" s="29">
        <v>0</v>
      </c>
      <c r="L65" s="28" t="e">
        <f t="shared" si="12"/>
        <v>#DIV/0!</v>
      </c>
      <c r="M65" s="27">
        <v>16.3005</v>
      </c>
      <c r="N65" s="27">
        <v>3.3656</v>
      </c>
      <c r="O65" s="35">
        <f t="shared" si="2"/>
        <v>-0.793527805895525</v>
      </c>
    </row>
    <row r="66" customFormat="1" ht="16.5" spans="1:15">
      <c r="A66" s="31"/>
      <c r="B66" s="17" t="s">
        <v>29</v>
      </c>
      <c r="C66" s="32">
        <f t="shared" ref="C66:H66" si="19">SUM(C57:C65)</f>
        <v>985.3</v>
      </c>
      <c r="D66" s="32">
        <f t="shared" si="19"/>
        <v>180.757464</v>
      </c>
      <c r="E66" s="32">
        <f t="shared" si="19"/>
        <v>227.796914</v>
      </c>
      <c r="F66" s="33">
        <f t="shared" si="0"/>
        <v>0.260235173469794</v>
      </c>
      <c r="G66" s="32">
        <f t="shared" si="19"/>
        <v>55.914806</v>
      </c>
      <c r="H66" s="32">
        <f t="shared" si="19"/>
        <v>72.490666</v>
      </c>
      <c r="I66" s="33">
        <f t="shared" si="1"/>
        <v>0.296448493445546</v>
      </c>
      <c r="J66" s="32">
        <f t="shared" ref="J66:N66" si="20">SUM(J57:J65)</f>
        <v>53.6585</v>
      </c>
      <c r="K66" s="32">
        <f t="shared" si="20"/>
        <v>50.9195</v>
      </c>
      <c r="L66" s="36">
        <f t="shared" si="12"/>
        <v>-0.0510450348034328</v>
      </c>
      <c r="M66" s="32">
        <f t="shared" si="20"/>
        <v>482.344514</v>
      </c>
      <c r="N66" s="32">
        <f t="shared" si="20"/>
        <v>531.964544</v>
      </c>
      <c r="O66" s="33">
        <f t="shared" si="2"/>
        <v>0.102872591186971</v>
      </c>
    </row>
    <row r="67" customFormat="1" ht="16.5" spans="1:15">
      <c r="A67" s="26" t="s">
        <v>448</v>
      </c>
      <c r="B67" s="26" t="s">
        <v>531</v>
      </c>
      <c r="C67" s="27">
        <v>40.9</v>
      </c>
      <c r="D67" s="27"/>
      <c r="E67" s="27"/>
      <c r="F67" s="28" t="e">
        <f t="shared" si="0"/>
        <v>#DIV/0!</v>
      </c>
      <c r="G67" s="29"/>
      <c r="H67" s="29"/>
      <c r="I67" s="28" t="e">
        <f t="shared" si="1"/>
        <v>#DIV/0!</v>
      </c>
      <c r="J67" s="29"/>
      <c r="K67" s="29"/>
      <c r="L67" s="28" t="e">
        <f t="shared" si="12"/>
        <v>#DIV/0!</v>
      </c>
      <c r="M67" s="27"/>
      <c r="N67" s="27"/>
      <c r="O67" s="37" t="e">
        <f t="shared" si="2"/>
        <v>#DIV/0!</v>
      </c>
    </row>
    <row r="68" customFormat="1" ht="16.5" spans="1:15">
      <c r="A68" s="26"/>
      <c r="B68" s="26" t="s">
        <v>532</v>
      </c>
      <c r="C68" s="27">
        <v>11.1</v>
      </c>
      <c r="D68" s="27"/>
      <c r="E68" s="27"/>
      <c r="F68" s="28" t="e">
        <f t="shared" ref="F68:F77" si="21">E68/D68-1</f>
        <v>#DIV/0!</v>
      </c>
      <c r="G68" s="29"/>
      <c r="H68" s="29"/>
      <c r="I68" s="28" t="e">
        <f t="shared" ref="I68:I77" si="22">H68/G68-1</f>
        <v>#DIV/0!</v>
      </c>
      <c r="J68" s="29"/>
      <c r="K68" s="29"/>
      <c r="L68" s="28" t="e">
        <f t="shared" si="12"/>
        <v>#DIV/0!</v>
      </c>
      <c r="M68" s="27"/>
      <c r="N68" s="27"/>
      <c r="O68" s="37" t="e">
        <f t="shared" ref="O68:O77" si="23">N68/M68-1</f>
        <v>#DIV/0!</v>
      </c>
    </row>
    <row r="69" customFormat="1" ht="16.5" spans="1:15">
      <c r="A69" s="26"/>
      <c r="B69" s="26" t="s">
        <v>450</v>
      </c>
      <c r="C69" s="27">
        <v>57.9</v>
      </c>
      <c r="D69" s="27">
        <v>19.7415</v>
      </c>
      <c r="E69" s="27">
        <v>29.6531</v>
      </c>
      <c r="F69" s="28">
        <f t="shared" si="21"/>
        <v>0.502069244991515</v>
      </c>
      <c r="G69" s="29">
        <v>5.22</v>
      </c>
      <c r="H69" s="29">
        <v>2.6076</v>
      </c>
      <c r="I69" s="35">
        <f t="shared" si="22"/>
        <v>-0.500459770114942</v>
      </c>
      <c r="J69" s="29">
        <v>2.935</v>
      </c>
      <c r="K69" s="29">
        <v>0.45</v>
      </c>
      <c r="L69" s="36">
        <f t="shared" si="12"/>
        <v>-0.846678023850085</v>
      </c>
      <c r="M69" s="27">
        <v>31.8015</v>
      </c>
      <c r="N69" s="27">
        <v>52.4522</v>
      </c>
      <c r="O69" s="37">
        <f t="shared" si="23"/>
        <v>0.649362451456692</v>
      </c>
    </row>
    <row r="70" customFormat="1" ht="16.5" spans="1:15">
      <c r="A70" s="26"/>
      <c r="B70" s="26" t="s">
        <v>476</v>
      </c>
      <c r="C70" s="27">
        <v>25.2</v>
      </c>
      <c r="D70" s="27">
        <v>7.585</v>
      </c>
      <c r="E70" s="27">
        <v>14.6</v>
      </c>
      <c r="F70" s="28">
        <f t="shared" si="21"/>
        <v>0.924851680949242</v>
      </c>
      <c r="G70" s="29">
        <v>0</v>
      </c>
      <c r="H70" s="29">
        <v>21.9</v>
      </c>
      <c r="I70" s="28" t="e">
        <f t="shared" si="22"/>
        <v>#DIV/0!</v>
      </c>
      <c r="J70" s="29">
        <v>0</v>
      </c>
      <c r="K70" s="29">
        <v>0</v>
      </c>
      <c r="L70" s="28" t="e">
        <f t="shared" si="12"/>
        <v>#DIV/0!</v>
      </c>
      <c r="M70" s="27">
        <v>8.3</v>
      </c>
      <c r="N70" s="27">
        <v>44.085</v>
      </c>
      <c r="O70" s="37">
        <f t="shared" si="23"/>
        <v>4.31144578313253</v>
      </c>
    </row>
    <row r="71" customFormat="1" ht="16.5" spans="1:15">
      <c r="A71" s="26"/>
      <c r="B71" s="26" t="s">
        <v>469</v>
      </c>
      <c r="C71" s="27">
        <v>51.8</v>
      </c>
      <c r="D71" s="27">
        <v>0</v>
      </c>
      <c r="E71" s="27">
        <v>0</v>
      </c>
      <c r="F71" s="28" t="e">
        <f t="shared" si="21"/>
        <v>#DIV/0!</v>
      </c>
      <c r="G71" s="29">
        <v>0</v>
      </c>
      <c r="H71" s="29">
        <v>3.389</v>
      </c>
      <c r="I71" s="28" t="e">
        <f t="shared" si="22"/>
        <v>#DIV/0!</v>
      </c>
      <c r="J71" s="29">
        <v>0</v>
      </c>
      <c r="K71" s="29">
        <v>0.9988</v>
      </c>
      <c r="L71" s="28" t="e">
        <f t="shared" si="12"/>
        <v>#DIV/0!</v>
      </c>
      <c r="M71" s="27">
        <v>4.1668</v>
      </c>
      <c r="N71" s="27">
        <v>4.3878</v>
      </c>
      <c r="O71" s="37">
        <f t="shared" si="23"/>
        <v>0.0530383027743113</v>
      </c>
    </row>
    <row r="72" customFormat="1" ht="16.5" spans="1:15">
      <c r="A72" s="26"/>
      <c r="B72" s="26" t="s">
        <v>533</v>
      </c>
      <c r="C72" s="27">
        <v>14.1</v>
      </c>
      <c r="D72" s="27"/>
      <c r="E72" s="27"/>
      <c r="F72" s="28" t="e">
        <f t="shared" si="21"/>
        <v>#DIV/0!</v>
      </c>
      <c r="G72" s="29"/>
      <c r="H72" s="29"/>
      <c r="I72" s="28" t="e">
        <f t="shared" si="22"/>
        <v>#DIV/0!</v>
      </c>
      <c r="J72" s="29"/>
      <c r="K72" s="29"/>
      <c r="L72" s="28" t="e">
        <f t="shared" si="12"/>
        <v>#DIV/0!</v>
      </c>
      <c r="M72" s="27"/>
      <c r="N72" s="27"/>
      <c r="O72" s="37" t="e">
        <f t="shared" si="23"/>
        <v>#DIV/0!</v>
      </c>
    </row>
    <row r="73" customFormat="1" ht="16.5" spans="1:15">
      <c r="A73" s="26"/>
      <c r="B73" s="26" t="s">
        <v>487</v>
      </c>
      <c r="C73" s="27">
        <v>20.3</v>
      </c>
      <c r="D73" s="27">
        <v>0</v>
      </c>
      <c r="E73" s="27">
        <v>0</v>
      </c>
      <c r="F73" s="28" t="e">
        <f t="shared" si="21"/>
        <v>#DIV/0!</v>
      </c>
      <c r="G73" s="29">
        <v>0</v>
      </c>
      <c r="H73" s="29">
        <v>3.6798</v>
      </c>
      <c r="I73" s="28" t="e">
        <f t="shared" si="22"/>
        <v>#DIV/0!</v>
      </c>
      <c r="J73" s="29">
        <v>0</v>
      </c>
      <c r="K73" s="29">
        <v>0.45</v>
      </c>
      <c r="L73" s="28" t="e">
        <f t="shared" si="12"/>
        <v>#DIV/0!</v>
      </c>
      <c r="M73" s="27">
        <v>0.8</v>
      </c>
      <c r="N73" s="27">
        <v>4.1298</v>
      </c>
      <c r="O73" s="37">
        <f t="shared" si="23"/>
        <v>4.16225</v>
      </c>
    </row>
    <row r="74" customFormat="1" ht="16.5" spans="1:15">
      <c r="A74" s="26"/>
      <c r="B74" s="26" t="s">
        <v>473</v>
      </c>
      <c r="C74" s="27">
        <v>19.4</v>
      </c>
      <c r="D74" s="27">
        <v>0</v>
      </c>
      <c r="E74" s="27">
        <v>0</v>
      </c>
      <c r="F74" s="28" t="e">
        <f t="shared" si="21"/>
        <v>#DIV/0!</v>
      </c>
      <c r="G74" s="29">
        <v>0</v>
      </c>
      <c r="H74" s="29">
        <v>5.55</v>
      </c>
      <c r="I74" s="28" t="e">
        <f t="shared" si="22"/>
        <v>#DIV/0!</v>
      </c>
      <c r="J74" s="29">
        <v>0</v>
      </c>
      <c r="K74" s="29">
        <v>0.1067</v>
      </c>
      <c r="L74" s="28" t="e">
        <f t="shared" si="12"/>
        <v>#DIV/0!</v>
      </c>
      <c r="M74" s="27">
        <v>2.966</v>
      </c>
      <c r="N74" s="27">
        <v>5.6567</v>
      </c>
      <c r="O74" s="37">
        <f t="shared" si="23"/>
        <v>0.907181389076197</v>
      </c>
    </row>
    <row r="75" customFormat="1" ht="16.5" spans="1:15">
      <c r="A75" s="26"/>
      <c r="B75" s="26" t="s">
        <v>510</v>
      </c>
      <c r="C75" s="27">
        <v>12.6</v>
      </c>
      <c r="D75" s="27"/>
      <c r="E75" s="27"/>
      <c r="F75" s="28" t="e">
        <f t="shared" si="21"/>
        <v>#DIV/0!</v>
      </c>
      <c r="G75" s="29">
        <v>0</v>
      </c>
      <c r="H75" s="29">
        <v>2.19</v>
      </c>
      <c r="I75" s="28" t="e">
        <f t="shared" si="22"/>
        <v>#DIV/0!</v>
      </c>
      <c r="J75" s="29">
        <v>0</v>
      </c>
      <c r="K75" s="29">
        <v>0</v>
      </c>
      <c r="L75" s="28" t="e">
        <f t="shared" si="12"/>
        <v>#DIV/0!</v>
      </c>
      <c r="M75" s="27">
        <v>0</v>
      </c>
      <c r="N75" s="27">
        <v>2.19</v>
      </c>
      <c r="O75" s="37" t="e">
        <f t="shared" si="23"/>
        <v>#DIV/0!</v>
      </c>
    </row>
    <row r="76" customFormat="1" ht="16.5" spans="1:15">
      <c r="A76" s="26"/>
      <c r="B76" s="17" t="s">
        <v>29</v>
      </c>
      <c r="C76" s="32">
        <f t="shared" ref="C76:H76" si="24">SUM(C67:C75)</f>
        <v>253.3</v>
      </c>
      <c r="D76" s="32">
        <f t="shared" si="24"/>
        <v>27.3265</v>
      </c>
      <c r="E76" s="32">
        <f t="shared" si="24"/>
        <v>44.2531</v>
      </c>
      <c r="F76" s="33">
        <f t="shared" si="21"/>
        <v>0.619420708835746</v>
      </c>
      <c r="G76" s="32">
        <f t="shared" si="24"/>
        <v>5.22</v>
      </c>
      <c r="H76" s="32">
        <f t="shared" si="24"/>
        <v>39.3164</v>
      </c>
      <c r="I76" s="33">
        <f t="shared" si="22"/>
        <v>6.53187739463601</v>
      </c>
      <c r="J76" s="32">
        <f t="shared" ref="J76:N76" si="25">SUM(J67:J75)</f>
        <v>2.935</v>
      </c>
      <c r="K76" s="32">
        <f t="shared" si="25"/>
        <v>2.0055</v>
      </c>
      <c r="L76" s="36">
        <f t="shared" si="12"/>
        <v>-0.316695059625213</v>
      </c>
      <c r="M76" s="32">
        <f t="shared" si="25"/>
        <v>48.0343</v>
      </c>
      <c r="N76" s="32">
        <f t="shared" si="25"/>
        <v>112.9015</v>
      </c>
      <c r="O76" s="33">
        <f t="shared" si="23"/>
        <v>1.35043500165507</v>
      </c>
    </row>
    <row r="77" customFormat="1" ht="16.5" spans="1:15">
      <c r="A77" s="18" t="s">
        <v>534</v>
      </c>
      <c r="B77" s="19"/>
      <c r="C77" s="16">
        <f t="shared" ref="C77:H77" si="26">C76+C66++C56+C48+C41+C35+C26+C19+C13</f>
        <v>5575</v>
      </c>
      <c r="D77" s="16">
        <f t="shared" si="26"/>
        <v>2285.386094</v>
      </c>
      <c r="E77" s="16">
        <f t="shared" si="26"/>
        <v>2802.658238</v>
      </c>
      <c r="F77" s="33">
        <f t="shared" si="21"/>
        <v>0.226339061639534</v>
      </c>
      <c r="G77" s="16">
        <f t="shared" si="26"/>
        <v>671.293149</v>
      </c>
      <c r="H77" s="16">
        <f t="shared" si="26"/>
        <v>741.10287</v>
      </c>
      <c r="I77" s="33">
        <f t="shared" si="22"/>
        <v>0.10399289953129</v>
      </c>
      <c r="J77" s="16">
        <f t="shared" ref="J77:N77" si="27">J76+J66++J56+J48+J41+J35+J26+J19+J13</f>
        <v>571.56998</v>
      </c>
      <c r="K77" s="16">
        <f t="shared" si="27"/>
        <v>524.102538</v>
      </c>
      <c r="L77" s="36">
        <f t="shared" si="12"/>
        <v>-0.0830474721573026</v>
      </c>
      <c r="M77" s="16">
        <f t="shared" si="27"/>
        <v>5501.286625</v>
      </c>
      <c r="N77" s="16">
        <f t="shared" si="27"/>
        <v>6353.31823</v>
      </c>
      <c r="O77" s="33">
        <f t="shared" si="23"/>
        <v>0.154878606238772</v>
      </c>
    </row>
  </sheetData>
  <mergeCells count="22">
    <mergeCell ref="A1:O1"/>
    <mergeCell ref="D2:E2"/>
    <mergeCell ref="G2:H2"/>
    <mergeCell ref="J2:K2"/>
    <mergeCell ref="M2:N2"/>
    <mergeCell ref="A77:B77"/>
    <mergeCell ref="A2:A3"/>
    <mergeCell ref="A4:A13"/>
    <mergeCell ref="A14:A19"/>
    <mergeCell ref="A20:A26"/>
    <mergeCell ref="A27:A35"/>
    <mergeCell ref="A36:A41"/>
    <mergeCell ref="A42:A48"/>
    <mergeCell ref="A49:A56"/>
    <mergeCell ref="A57:A66"/>
    <mergeCell ref="A67:A76"/>
    <mergeCell ref="B2:B3"/>
    <mergeCell ref="C2:C3"/>
    <mergeCell ref="F2:F3"/>
    <mergeCell ref="I2:I3"/>
    <mergeCell ref="L2:L3"/>
    <mergeCell ref="O2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W334"/>
  <sheetViews>
    <sheetView workbookViewId="0">
      <pane xSplit="8" ySplit="1" topLeftCell="I2" activePane="bottomRight" state="frozen"/>
      <selection/>
      <selection pane="topRight"/>
      <selection pane="bottomLeft"/>
      <selection pane="bottomRight" activeCell="G34" sqref="G34"/>
    </sheetView>
  </sheetViews>
  <sheetFormatPr defaultColWidth="9.02727272727273" defaultRowHeight="12"/>
  <cols>
    <col min="1" max="2" width="9.02727272727273" style="3"/>
    <col min="3" max="3" width="23.7545454545455" style="3" customWidth="1"/>
    <col min="4" max="8" width="9.02727272727273" style="3" customWidth="1"/>
    <col min="9" max="9" width="10.8818181818182" style="3"/>
    <col min="10" max="10" width="11.6636363636364" style="3"/>
    <col min="11" max="18" width="10.5363636363636" style="3"/>
    <col min="19" max="20" width="11.6636363636364" style="3"/>
    <col min="21" max="16384" width="9.02727272727273" style="3"/>
  </cols>
  <sheetData>
    <row r="1" spans="1:20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50</v>
      </c>
      <c r="H1" s="4" t="s">
        <v>36</v>
      </c>
      <c r="I1" s="4" t="s">
        <v>535</v>
      </c>
      <c r="J1" s="4" t="s">
        <v>536</v>
      </c>
      <c r="K1" s="5">
        <v>45383</v>
      </c>
      <c r="L1" s="5">
        <v>45748</v>
      </c>
      <c r="M1" s="5">
        <v>45413</v>
      </c>
      <c r="N1" s="5">
        <v>45778</v>
      </c>
      <c r="O1" s="5">
        <v>45444</v>
      </c>
      <c r="P1" s="5">
        <v>45809</v>
      </c>
      <c r="Q1" s="5" t="s">
        <v>537</v>
      </c>
      <c r="R1" s="5" t="s">
        <v>538</v>
      </c>
      <c r="S1" s="4" t="s">
        <v>539</v>
      </c>
      <c r="T1" s="4" t="s">
        <v>540</v>
      </c>
    </row>
    <row r="2" spans="1:20">
      <c r="A2" s="4" t="s">
        <v>22</v>
      </c>
      <c r="B2" s="4" t="s">
        <v>22</v>
      </c>
      <c r="C2" s="4" t="s">
        <v>54</v>
      </c>
      <c r="D2" s="4" t="s">
        <v>55</v>
      </c>
      <c r="E2" s="4" t="s">
        <v>55</v>
      </c>
      <c r="F2" s="4" t="s">
        <v>56</v>
      </c>
      <c r="G2" s="4" t="s">
        <v>57</v>
      </c>
      <c r="H2" s="4">
        <v>800</v>
      </c>
      <c r="I2" s="6">
        <v>64</v>
      </c>
      <c r="J2" s="6">
        <v>47</v>
      </c>
      <c r="K2" s="6">
        <v>55</v>
      </c>
      <c r="L2" s="6">
        <v>69.28</v>
      </c>
      <c r="M2" s="6">
        <v>51.3</v>
      </c>
      <c r="N2" s="6">
        <v>48</v>
      </c>
      <c r="O2" s="6">
        <v>35</v>
      </c>
      <c r="P2" s="6">
        <v>18</v>
      </c>
      <c r="Q2" s="6">
        <v>141.3</v>
      </c>
      <c r="R2" s="6">
        <v>135.28</v>
      </c>
      <c r="S2" s="6">
        <v>205.3</v>
      </c>
      <c r="T2" s="6">
        <v>182.28</v>
      </c>
    </row>
    <row r="3" spans="1:20">
      <c r="A3" s="4" t="s">
        <v>22</v>
      </c>
      <c r="B3" s="4" t="s">
        <v>22</v>
      </c>
      <c r="C3" s="4" t="s">
        <v>58</v>
      </c>
      <c r="D3" s="4" t="s">
        <v>55</v>
      </c>
      <c r="E3" s="4" t="s">
        <v>55</v>
      </c>
      <c r="F3" s="4" t="s">
        <v>56</v>
      </c>
      <c r="G3" s="4" t="s">
        <v>57</v>
      </c>
      <c r="H3" s="4"/>
      <c r="I3" s="6">
        <v>20.802522</v>
      </c>
      <c r="J3" s="6">
        <v>20.971645</v>
      </c>
      <c r="K3" s="6">
        <v>9.61831</v>
      </c>
      <c r="L3" s="6">
        <v>27.72665</v>
      </c>
      <c r="M3" s="6">
        <v>10.82345</v>
      </c>
      <c r="N3" s="6">
        <v>10.826925</v>
      </c>
      <c r="O3" s="6">
        <v>32.94153</v>
      </c>
      <c r="P3" s="6">
        <v>17.3565</v>
      </c>
      <c r="Q3" s="6">
        <v>53.38329</v>
      </c>
      <c r="R3" s="6">
        <v>55.910075</v>
      </c>
      <c r="S3" s="6">
        <v>74.185812</v>
      </c>
      <c r="T3" s="6">
        <v>76.88172</v>
      </c>
    </row>
    <row r="4" spans="1:20">
      <c r="A4" s="4" t="s">
        <v>22</v>
      </c>
      <c r="B4" s="4" t="s">
        <v>22</v>
      </c>
      <c r="C4" s="4" t="s">
        <v>59</v>
      </c>
      <c r="D4" s="4" t="s">
        <v>60</v>
      </c>
      <c r="E4" s="4" t="s">
        <v>55</v>
      </c>
      <c r="F4" s="4" t="s">
        <v>61</v>
      </c>
      <c r="G4" s="4" t="s">
        <v>62</v>
      </c>
      <c r="H4" s="4">
        <v>130</v>
      </c>
      <c r="I4" s="6">
        <v>0</v>
      </c>
      <c r="J4" s="6">
        <v>16</v>
      </c>
      <c r="K4" s="6">
        <v>10</v>
      </c>
      <c r="L4" s="6">
        <v>5</v>
      </c>
      <c r="M4" s="6">
        <v>10</v>
      </c>
      <c r="N4" s="6">
        <v>6</v>
      </c>
      <c r="O4" s="6">
        <v>10</v>
      </c>
      <c r="P4" s="6">
        <v>12</v>
      </c>
      <c r="Q4" s="6">
        <v>30</v>
      </c>
      <c r="R4" s="6">
        <v>23</v>
      </c>
      <c r="S4" s="6">
        <v>30</v>
      </c>
      <c r="T4" s="6">
        <v>39</v>
      </c>
    </row>
    <row r="5" spans="1:20">
      <c r="A5" s="4" t="s">
        <v>22</v>
      </c>
      <c r="B5" s="4" t="s">
        <v>22</v>
      </c>
      <c r="C5" s="284" t="s">
        <v>63</v>
      </c>
      <c r="D5" s="4" t="s">
        <v>64</v>
      </c>
      <c r="E5" s="4" t="s">
        <v>64</v>
      </c>
      <c r="F5" s="4" t="s">
        <v>65</v>
      </c>
      <c r="G5" s="4" t="s">
        <v>62</v>
      </c>
      <c r="H5" s="4">
        <v>190</v>
      </c>
      <c r="I5" s="6">
        <v>26</v>
      </c>
      <c r="J5" s="6">
        <v>16.4361</v>
      </c>
      <c r="K5" s="6">
        <v>27.0219</v>
      </c>
      <c r="L5" s="6">
        <v>6.7</v>
      </c>
      <c r="M5" s="6">
        <v>6.1019</v>
      </c>
      <c r="N5" s="6">
        <v>0</v>
      </c>
      <c r="O5" s="6">
        <v>50.1898</v>
      </c>
      <c r="P5" s="6">
        <v>3.025374</v>
      </c>
      <c r="Q5" s="6">
        <v>83.3136</v>
      </c>
      <c r="R5" s="6">
        <v>9.725374</v>
      </c>
      <c r="S5" s="6">
        <v>109.3136</v>
      </c>
      <c r="T5" s="6">
        <v>26.161474</v>
      </c>
    </row>
    <row r="6" spans="1:20">
      <c r="A6" s="4" t="s">
        <v>22</v>
      </c>
      <c r="B6" s="4" t="s">
        <v>22</v>
      </c>
      <c r="C6" s="4" t="s">
        <v>66</v>
      </c>
      <c r="D6" s="4" t="s">
        <v>64</v>
      </c>
      <c r="E6" s="4" t="s">
        <v>64</v>
      </c>
      <c r="F6" s="4" t="s">
        <v>67</v>
      </c>
      <c r="G6" s="4" t="s">
        <v>62</v>
      </c>
      <c r="H6" s="4">
        <v>270</v>
      </c>
      <c r="I6" s="6">
        <v>64.251688</v>
      </c>
      <c r="J6" s="6">
        <v>16.4</v>
      </c>
      <c r="K6" s="6">
        <v>20.1</v>
      </c>
      <c r="L6" s="6">
        <v>14</v>
      </c>
      <c r="M6" s="6">
        <v>18.2933</v>
      </c>
      <c r="N6" s="6">
        <v>7</v>
      </c>
      <c r="O6" s="6">
        <v>20.5</v>
      </c>
      <c r="P6" s="6">
        <v>6.584</v>
      </c>
      <c r="Q6" s="6">
        <v>58.8933</v>
      </c>
      <c r="R6" s="6">
        <v>27.584</v>
      </c>
      <c r="S6" s="6">
        <v>123.144988</v>
      </c>
      <c r="T6" s="6">
        <v>43.984</v>
      </c>
    </row>
    <row r="7" spans="1:20">
      <c r="A7" s="4" t="s">
        <v>22</v>
      </c>
      <c r="B7" s="4" t="s">
        <v>22</v>
      </c>
      <c r="C7" s="4" t="s">
        <v>68</v>
      </c>
      <c r="D7" s="4" t="s">
        <v>64</v>
      </c>
      <c r="E7" s="4" t="s">
        <v>64</v>
      </c>
      <c r="F7" s="4" t="s">
        <v>69</v>
      </c>
      <c r="G7" s="4" t="s">
        <v>62</v>
      </c>
      <c r="H7" s="4">
        <v>190</v>
      </c>
      <c r="I7" s="6">
        <v>20</v>
      </c>
      <c r="J7" s="6">
        <v>38.118</v>
      </c>
      <c r="K7" s="6">
        <v>9</v>
      </c>
      <c r="L7" s="6">
        <v>10</v>
      </c>
      <c r="M7" s="6">
        <v>6.5253</v>
      </c>
      <c r="N7" s="6">
        <v>9</v>
      </c>
      <c r="O7" s="6">
        <v>55.5</v>
      </c>
      <c r="P7" s="6">
        <v>27.5</v>
      </c>
      <c r="Q7" s="6">
        <v>71.0253</v>
      </c>
      <c r="R7" s="6">
        <v>46.5</v>
      </c>
      <c r="S7" s="6">
        <v>91.0253</v>
      </c>
      <c r="T7" s="6">
        <v>84.618</v>
      </c>
    </row>
    <row r="8" spans="1:20">
      <c r="A8" s="4" t="s">
        <v>22</v>
      </c>
      <c r="B8" s="4" t="s">
        <v>22</v>
      </c>
      <c r="C8" s="284" t="s">
        <v>70</v>
      </c>
      <c r="D8" s="4" t="s">
        <v>60</v>
      </c>
      <c r="E8" s="4" t="s">
        <v>60</v>
      </c>
      <c r="F8" s="4" t="s">
        <v>71</v>
      </c>
      <c r="G8" s="4" t="s">
        <v>62</v>
      </c>
      <c r="H8" s="4"/>
      <c r="I8" s="6">
        <v>2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3</v>
      </c>
      <c r="T8" s="6">
        <v>0</v>
      </c>
    </row>
    <row r="9" spans="1:20">
      <c r="A9" s="4" t="s">
        <v>22</v>
      </c>
      <c r="B9" s="4" t="s">
        <v>22</v>
      </c>
      <c r="C9" s="4" t="s">
        <v>72</v>
      </c>
      <c r="D9" s="4" t="s">
        <v>60</v>
      </c>
      <c r="E9" s="4" t="s">
        <v>60</v>
      </c>
      <c r="F9" s="4" t="s">
        <v>73</v>
      </c>
      <c r="G9" s="4" t="s">
        <v>62</v>
      </c>
      <c r="H9" s="4">
        <v>60</v>
      </c>
      <c r="I9" s="6">
        <v>4.1983</v>
      </c>
      <c r="J9" s="6">
        <v>2.3359</v>
      </c>
      <c r="K9" s="6">
        <v>1.4343</v>
      </c>
      <c r="L9" s="6">
        <v>2.4592</v>
      </c>
      <c r="M9" s="6">
        <v>1.0168</v>
      </c>
      <c r="N9" s="6">
        <v>3.5823</v>
      </c>
      <c r="O9" s="6">
        <v>0.6124</v>
      </c>
      <c r="P9" s="6">
        <v>4.009</v>
      </c>
      <c r="Q9" s="6">
        <v>3.0635</v>
      </c>
      <c r="R9" s="6">
        <v>10.0505</v>
      </c>
      <c r="S9" s="6">
        <v>7.2618</v>
      </c>
      <c r="T9" s="6">
        <v>12.3864</v>
      </c>
    </row>
    <row r="10" spans="1:20">
      <c r="A10" s="4" t="s">
        <v>22</v>
      </c>
      <c r="B10" s="4" t="s">
        <v>22</v>
      </c>
      <c r="C10" s="4" t="s">
        <v>74</v>
      </c>
      <c r="D10" s="4" t="s">
        <v>60</v>
      </c>
      <c r="E10" s="4" t="s">
        <v>60</v>
      </c>
      <c r="F10" s="4" t="s">
        <v>75</v>
      </c>
      <c r="G10" s="4" t="s">
        <v>57</v>
      </c>
      <c r="H10" s="4">
        <v>0</v>
      </c>
      <c r="I10" s="6">
        <v>2.8993</v>
      </c>
      <c r="J10" s="6">
        <v>0.2274</v>
      </c>
      <c r="K10" s="6">
        <v>0</v>
      </c>
      <c r="L10" s="6">
        <v>0.2217</v>
      </c>
      <c r="M10" s="6">
        <v>1.9214</v>
      </c>
      <c r="N10" s="6">
        <v>1.314</v>
      </c>
      <c r="O10" s="6">
        <v>0</v>
      </c>
      <c r="P10" s="6">
        <v>0</v>
      </c>
      <c r="Q10" s="6">
        <v>1.9214</v>
      </c>
      <c r="R10" s="6">
        <v>1.5357</v>
      </c>
      <c r="S10" s="6">
        <v>4.8207</v>
      </c>
      <c r="T10" s="6">
        <v>1.7631</v>
      </c>
    </row>
    <row r="11" spans="1:20">
      <c r="A11" s="4" t="s">
        <v>22</v>
      </c>
      <c r="B11" s="4" t="s">
        <v>22</v>
      </c>
      <c r="C11" s="4" t="s">
        <v>77</v>
      </c>
      <c r="D11" s="4" t="s">
        <v>78</v>
      </c>
      <c r="E11" s="4" t="s">
        <v>78</v>
      </c>
      <c r="F11" s="4" t="s">
        <v>75</v>
      </c>
      <c r="G11" s="4" t="s">
        <v>80</v>
      </c>
      <c r="H11" s="4">
        <v>560</v>
      </c>
      <c r="I11" s="6">
        <v>-5.537032</v>
      </c>
      <c r="J11" s="6">
        <v>161.025972</v>
      </c>
      <c r="K11" s="6">
        <v>44.22293</v>
      </c>
      <c r="L11" s="6">
        <v>38.037522</v>
      </c>
      <c r="M11" s="6">
        <v>30.919052</v>
      </c>
      <c r="N11" s="6">
        <v>40.345403</v>
      </c>
      <c r="O11" s="6">
        <v>31.967555</v>
      </c>
      <c r="P11" s="6">
        <v>52.112898</v>
      </c>
      <c r="Q11" s="6">
        <v>107.109537</v>
      </c>
      <c r="R11" s="6">
        <v>130.495823</v>
      </c>
      <c r="S11" s="6">
        <v>101.572505</v>
      </c>
      <c r="T11" s="6">
        <v>291.521795</v>
      </c>
    </row>
    <row r="12" spans="1:20">
      <c r="A12" s="4" t="s">
        <v>22</v>
      </c>
      <c r="B12" s="4" t="s">
        <v>22</v>
      </c>
      <c r="C12" s="4" t="s">
        <v>82</v>
      </c>
      <c r="D12" s="4" t="s">
        <v>83</v>
      </c>
      <c r="E12" s="4" t="s">
        <v>83</v>
      </c>
      <c r="F12" s="4" t="s">
        <v>61</v>
      </c>
      <c r="G12" s="4" t="s">
        <v>84</v>
      </c>
      <c r="H12" s="4">
        <v>180</v>
      </c>
      <c r="I12" s="6">
        <v>23.6971</v>
      </c>
      <c r="J12" s="6">
        <v>16.2581</v>
      </c>
      <c r="K12" s="6">
        <v>10.9059</v>
      </c>
      <c r="L12" s="6">
        <v>6.7817</v>
      </c>
      <c r="M12" s="6">
        <v>11.1723</v>
      </c>
      <c r="N12" s="6">
        <v>7.1689</v>
      </c>
      <c r="O12" s="6">
        <v>17.3284</v>
      </c>
      <c r="P12" s="6">
        <v>12.3804</v>
      </c>
      <c r="Q12" s="6">
        <v>39.4066</v>
      </c>
      <c r="R12" s="6">
        <v>26.331</v>
      </c>
      <c r="S12" s="6">
        <v>63.1037</v>
      </c>
      <c r="T12" s="6">
        <v>42.5891</v>
      </c>
    </row>
    <row r="13" spans="1:20">
      <c r="A13" s="4" t="s">
        <v>22</v>
      </c>
      <c r="B13" s="4" t="s">
        <v>22</v>
      </c>
      <c r="C13" s="4" t="s">
        <v>85</v>
      </c>
      <c r="D13" s="4" t="s">
        <v>60</v>
      </c>
      <c r="E13" s="4" t="s">
        <v>60</v>
      </c>
      <c r="F13" s="4" t="s">
        <v>56</v>
      </c>
      <c r="G13" s="4" t="s">
        <v>57</v>
      </c>
      <c r="H13" s="4"/>
      <c r="I13" s="6">
        <v>0.08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0.6071</v>
      </c>
      <c r="P13" s="6">
        <v>0</v>
      </c>
      <c r="Q13" s="6">
        <v>0.6071</v>
      </c>
      <c r="R13" s="6">
        <v>0</v>
      </c>
      <c r="S13" s="6">
        <v>0.6871</v>
      </c>
      <c r="T13" s="6">
        <v>0</v>
      </c>
    </row>
    <row r="14" spans="1:20">
      <c r="A14" s="4" t="s">
        <v>22</v>
      </c>
      <c r="B14" s="4" t="s">
        <v>22</v>
      </c>
      <c r="C14" s="4" t="s">
        <v>86</v>
      </c>
      <c r="D14" s="4" t="s">
        <v>87</v>
      </c>
      <c r="E14" s="4" t="s">
        <v>87</v>
      </c>
      <c r="F14" s="4" t="s">
        <v>75</v>
      </c>
      <c r="G14" s="4" t="s">
        <v>88</v>
      </c>
      <c r="H14" s="4"/>
      <c r="I14" s="6">
        <v>23.628036</v>
      </c>
      <c r="J14" s="6">
        <v>23.93069</v>
      </c>
      <c r="K14" s="6">
        <v>8.210864</v>
      </c>
      <c r="L14" s="6">
        <v>31.019538</v>
      </c>
      <c r="M14" s="6">
        <v>20.90428</v>
      </c>
      <c r="N14" s="6">
        <f>3.628112+3.76</f>
        <v>7.388112</v>
      </c>
      <c r="O14" s="6">
        <v>7.862076</v>
      </c>
      <c r="P14" s="6">
        <f>3.06844+3.72</f>
        <v>6.78844</v>
      </c>
      <c r="Q14" s="6">
        <v>36.97722</v>
      </c>
      <c r="R14" s="6">
        <f>L14+N14+P14</f>
        <v>45.19609</v>
      </c>
      <c r="S14" s="6">
        <v>60.605256</v>
      </c>
      <c r="T14" s="6">
        <f>R14+J14</f>
        <v>69.12678</v>
      </c>
    </row>
    <row r="15" spans="1:20">
      <c r="A15" s="4" t="s">
        <v>22</v>
      </c>
      <c r="B15" s="4" t="s">
        <v>22</v>
      </c>
      <c r="C15" s="4" t="s">
        <v>89</v>
      </c>
      <c r="D15" s="4" t="s">
        <v>87</v>
      </c>
      <c r="E15" s="4" t="s">
        <v>87</v>
      </c>
      <c r="F15" s="4" t="s">
        <v>75</v>
      </c>
      <c r="G15" s="4" t="s">
        <v>80</v>
      </c>
      <c r="H15" s="4"/>
      <c r="I15" s="6">
        <v>0</v>
      </c>
      <c r="J15" s="6">
        <v>0.6125</v>
      </c>
      <c r="K15" s="6">
        <v>0</v>
      </c>
      <c r="L15" s="6">
        <v>0</v>
      </c>
      <c r="M15" s="6">
        <v>0.3636</v>
      </c>
      <c r="N15" s="6">
        <v>0</v>
      </c>
      <c r="O15" s="6">
        <v>2.5759</v>
      </c>
      <c r="P15" s="6">
        <v>0</v>
      </c>
      <c r="Q15" s="6">
        <v>2.9395</v>
      </c>
      <c r="R15" s="6">
        <v>0</v>
      </c>
      <c r="S15" s="6">
        <v>2.9395</v>
      </c>
      <c r="T15" s="6">
        <v>0.6125</v>
      </c>
    </row>
    <row r="16" spans="1:20">
      <c r="A16" s="4" t="s">
        <v>22</v>
      </c>
      <c r="B16" s="4" t="s">
        <v>22</v>
      </c>
      <c r="C16" s="4" t="s">
        <v>90</v>
      </c>
      <c r="D16" s="4" t="s">
        <v>83</v>
      </c>
      <c r="E16" s="4" t="s">
        <v>83</v>
      </c>
      <c r="F16" s="4" t="s">
        <v>56</v>
      </c>
      <c r="G16" s="4" t="s">
        <v>84</v>
      </c>
      <c r="H16" s="4"/>
      <c r="I16" s="6">
        <v>5.2801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5.2801</v>
      </c>
      <c r="T16" s="6">
        <v>0</v>
      </c>
    </row>
    <row r="17" spans="1:20">
      <c r="A17" s="4" t="s">
        <v>22</v>
      </c>
      <c r="B17" s="4" t="s">
        <v>22</v>
      </c>
      <c r="C17" s="4" t="s">
        <v>91</v>
      </c>
      <c r="D17" s="4" t="s">
        <v>83</v>
      </c>
      <c r="E17" s="4" t="s">
        <v>83</v>
      </c>
      <c r="F17" s="4" t="s">
        <v>75</v>
      </c>
      <c r="G17" s="4" t="s">
        <v>84</v>
      </c>
      <c r="H17" s="4"/>
      <c r="I17" s="6">
        <v>-1.6596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-1.6596</v>
      </c>
      <c r="T17" s="6">
        <v>0</v>
      </c>
    </row>
    <row r="18" spans="1:20">
      <c r="A18" s="4" t="s">
        <v>22</v>
      </c>
      <c r="B18" s="4" t="s">
        <v>22</v>
      </c>
      <c r="C18" s="4" t="s">
        <v>93</v>
      </c>
      <c r="D18" s="4" t="s">
        <v>83</v>
      </c>
      <c r="E18" s="4" t="s">
        <v>83</v>
      </c>
      <c r="F18" s="4" t="s">
        <v>75</v>
      </c>
      <c r="G18" s="4" t="s">
        <v>84</v>
      </c>
      <c r="H18" s="4"/>
      <c r="I18" s="6">
        <v>-0.3358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-0.3358</v>
      </c>
      <c r="T18" s="6">
        <v>0</v>
      </c>
    </row>
    <row r="19" spans="1:20">
      <c r="A19" s="4" t="s">
        <v>22</v>
      </c>
      <c r="B19" s="4" t="s">
        <v>22</v>
      </c>
      <c r="C19" s="4" t="s">
        <v>94</v>
      </c>
      <c r="D19" s="4" t="s">
        <v>83</v>
      </c>
      <c r="E19" s="4" t="s">
        <v>83</v>
      </c>
      <c r="F19" s="4" t="s">
        <v>75</v>
      </c>
      <c r="G19" s="4" t="s">
        <v>84</v>
      </c>
      <c r="H19" s="4"/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</row>
    <row r="20" spans="1:20">
      <c r="A20" s="4" t="s">
        <v>22</v>
      </c>
      <c r="B20" s="4" t="s">
        <v>22</v>
      </c>
      <c r="C20" s="4" t="s">
        <v>96</v>
      </c>
      <c r="D20" s="4" t="s">
        <v>83</v>
      </c>
      <c r="E20" s="4" t="s">
        <v>83</v>
      </c>
      <c r="F20" s="4" t="s">
        <v>75</v>
      </c>
      <c r="G20" s="4" t="s">
        <v>84</v>
      </c>
      <c r="H20" s="4">
        <v>230</v>
      </c>
      <c r="I20" s="6">
        <v>59.0819</v>
      </c>
      <c r="J20" s="6">
        <v>27.6796</v>
      </c>
      <c r="K20" s="6">
        <v>28.6782</v>
      </c>
      <c r="L20" s="6">
        <v>13.0231</v>
      </c>
      <c r="M20" s="6">
        <v>27.7032</v>
      </c>
      <c r="N20" s="6">
        <v>12.30671</v>
      </c>
      <c r="O20" s="6">
        <v>21.9679</v>
      </c>
      <c r="P20" s="6">
        <v>15.83418</v>
      </c>
      <c r="Q20" s="6">
        <v>78.3493</v>
      </c>
      <c r="R20" s="6">
        <v>41.16399</v>
      </c>
      <c r="S20" s="6">
        <v>137.4312</v>
      </c>
      <c r="T20" s="6">
        <v>68.84359</v>
      </c>
    </row>
    <row r="21" spans="1:20">
      <c r="A21" s="4" t="s">
        <v>22</v>
      </c>
      <c r="B21" s="4" t="s">
        <v>22</v>
      </c>
      <c r="C21" s="4" t="s">
        <v>97</v>
      </c>
      <c r="D21" s="4" t="s">
        <v>64</v>
      </c>
      <c r="E21" s="4" t="s">
        <v>64</v>
      </c>
      <c r="F21" s="4" t="s">
        <v>75</v>
      </c>
      <c r="G21" s="4" t="s">
        <v>84</v>
      </c>
      <c r="H21" s="4"/>
      <c r="I21" s="6">
        <v>15.895</v>
      </c>
      <c r="J21" s="6">
        <v>6.6214</v>
      </c>
      <c r="K21" s="6">
        <v>4.599</v>
      </c>
      <c r="L21" s="6">
        <v>0</v>
      </c>
      <c r="M21" s="6">
        <v>2.6265</v>
      </c>
      <c r="N21" s="6">
        <v>-0.328196</v>
      </c>
      <c r="O21" s="6">
        <v>6.7133</v>
      </c>
      <c r="P21" s="6">
        <v>0</v>
      </c>
      <c r="Q21" s="6">
        <v>13.9388</v>
      </c>
      <c r="R21" s="6">
        <v>-0.328196</v>
      </c>
      <c r="S21" s="6">
        <v>29.8338</v>
      </c>
      <c r="T21" s="6">
        <v>6.293204</v>
      </c>
    </row>
    <row r="22" spans="1:20">
      <c r="A22" s="4" t="s">
        <v>22</v>
      </c>
      <c r="B22" s="4" t="s">
        <v>22</v>
      </c>
      <c r="C22" s="4" t="s">
        <v>98</v>
      </c>
      <c r="D22" s="4" t="s">
        <v>83</v>
      </c>
      <c r="E22" s="4" t="s">
        <v>83</v>
      </c>
      <c r="F22" s="4" t="s">
        <v>75</v>
      </c>
      <c r="G22" s="4" t="s">
        <v>84</v>
      </c>
      <c r="H22" s="4">
        <v>280</v>
      </c>
      <c r="I22" s="6">
        <v>53.69</v>
      </c>
      <c r="J22" s="6">
        <v>49.96136</v>
      </c>
      <c r="K22" s="6">
        <v>18.05</v>
      </c>
      <c r="L22" s="6">
        <v>13.11997</v>
      </c>
      <c r="M22" s="6">
        <v>19.0972</v>
      </c>
      <c r="N22" s="6">
        <v>16.0705</v>
      </c>
      <c r="O22" s="6">
        <v>20.7825</v>
      </c>
      <c r="P22" s="6">
        <v>16.4883</v>
      </c>
      <c r="Q22" s="6">
        <v>57.9297</v>
      </c>
      <c r="R22" s="6">
        <v>45.67877</v>
      </c>
      <c r="S22" s="6">
        <v>111.6197</v>
      </c>
      <c r="T22" s="6">
        <v>95.64013</v>
      </c>
    </row>
    <row r="23" spans="1:20">
      <c r="A23" s="4" t="s">
        <v>22</v>
      </c>
      <c r="B23" s="4" t="s">
        <v>22</v>
      </c>
      <c r="C23" s="4" t="s">
        <v>100</v>
      </c>
      <c r="D23" s="4" t="s">
        <v>101</v>
      </c>
      <c r="E23" s="4" t="s">
        <v>101</v>
      </c>
      <c r="F23" s="4" t="s">
        <v>75</v>
      </c>
      <c r="G23" s="4" t="s">
        <v>102</v>
      </c>
      <c r="H23" s="4"/>
      <c r="I23" s="6">
        <v>0.079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0.079</v>
      </c>
      <c r="T23" s="6">
        <v>0</v>
      </c>
    </row>
    <row r="24" spans="1:20">
      <c r="A24" s="4" t="s">
        <v>22</v>
      </c>
      <c r="B24" s="4" t="s">
        <v>22</v>
      </c>
      <c r="C24" s="4" t="s">
        <v>103</v>
      </c>
      <c r="D24" s="4" t="s">
        <v>101</v>
      </c>
      <c r="E24" s="4" t="s">
        <v>101</v>
      </c>
      <c r="F24" s="4" t="s">
        <v>75</v>
      </c>
      <c r="G24" s="4" t="s">
        <v>102</v>
      </c>
      <c r="H24" s="4"/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</row>
    <row r="25" spans="1:20">
      <c r="A25" s="4" t="s">
        <v>22</v>
      </c>
      <c r="B25" s="4" t="s">
        <v>22</v>
      </c>
      <c r="C25" s="4" t="s">
        <v>104</v>
      </c>
      <c r="D25" s="4" t="s">
        <v>60</v>
      </c>
      <c r="E25" s="4" t="s">
        <v>60</v>
      </c>
      <c r="F25" s="4" t="s">
        <v>75</v>
      </c>
      <c r="G25" s="4" t="s">
        <v>57</v>
      </c>
      <c r="H25" s="4">
        <v>24</v>
      </c>
      <c r="I25" s="6">
        <v>6</v>
      </c>
      <c r="J25" s="6">
        <v>3.47525</v>
      </c>
      <c r="K25" s="6">
        <v>3</v>
      </c>
      <c r="L25" s="6">
        <v>0</v>
      </c>
      <c r="M25" s="6">
        <v>4.01</v>
      </c>
      <c r="N25" s="6">
        <v>0</v>
      </c>
      <c r="O25" s="6">
        <v>0</v>
      </c>
      <c r="P25" s="6">
        <v>0</v>
      </c>
      <c r="Q25" s="6">
        <v>7.01</v>
      </c>
      <c r="R25" s="6">
        <v>0</v>
      </c>
      <c r="S25" s="6">
        <v>13.01</v>
      </c>
      <c r="T25" s="6">
        <v>3.47525</v>
      </c>
    </row>
    <row r="26" spans="1:20">
      <c r="A26" s="4" t="s">
        <v>22</v>
      </c>
      <c r="B26" s="4" t="s">
        <v>22</v>
      </c>
      <c r="C26" s="4" t="s">
        <v>106</v>
      </c>
      <c r="D26" s="4" t="s">
        <v>83</v>
      </c>
      <c r="E26" s="4" t="s">
        <v>83</v>
      </c>
      <c r="F26" s="4" t="s">
        <v>75</v>
      </c>
      <c r="G26" s="4" t="s">
        <v>84</v>
      </c>
      <c r="H26" s="4">
        <v>400</v>
      </c>
      <c r="I26" s="6">
        <v>56.4054</v>
      </c>
      <c r="J26" s="6">
        <v>119.48005</v>
      </c>
      <c r="K26" s="6">
        <v>7.3138</v>
      </c>
      <c r="L26" s="6">
        <v>38.1502</v>
      </c>
      <c r="M26" s="6">
        <v>20.8668</v>
      </c>
      <c r="N26" s="6">
        <v>41.8566</v>
      </c>
      <c r="O26" s="6">
        <v>29.6204</v>
      </c>
      <c r="P26" s="6">
        <v>57.9201</v>
      </c>
      <c r="Q26" s="6">
        <v>57.801</v>
      </c>
      <c r="R26" s="6">
        <v>137.9269</v>
      </c>
      <c r="S26" s="6">
        <v>114.2064</v>
      </c>
      <c r="T26" s="6">
        <v>257.40695</v>
      </c>
    </row>
    <row r="27" spans="1:20">
      <c r="A27" s="4" t="s">
        <v>22</v>
      </c>
      <c r="B27" s="4" t="s">
        <v>22</v>
      </c>
      <c r="C27" s="4" t="s">
        <v>107</v>
      </c>
      <c r="D27" s="4" t="s">
        <v>60</v>
      </c>
      <c r="E27" s="4" t="s">
        <v>60</v>
      </c>
      <c r="F27" s="4" t="s">
        <v>75</v>
      </c>
      <c r="G27" s="4" t="s">
        <v>62</v>
      </c>
      <c r="H27" s="4">
        <v>0</v>
      </c>
      <c r="I27" s="6">
        <v>0.8248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0.8248</v>
      </c>
      <c r="T27" s="6">
        <v>0</v>
      </c>
    </row>
    <row r="28" spans="1:20">
      <c r="A28" s="4" t="s">
        <v>22</v>
      </c>
      <c r="B28" s="4" t="s">
        <v>22</v>
      </c>
      <c r="C28" s="4" t="s">
        <v>108</v>
      </c>
      <c r="D28" s="4" t="s">
        <v>60</v>
      </c>
      <c r="E28" s="4" t="s">
        <v>60</v>
      </c>
      <c r="F28" s="4" t="s">
        <v>61</v>
      </c>
      <c r="G28" s="4" t="s">
        <v>62</v>
      </c>
      <c r="H28" s="4"/>
      <c r="I28" s="6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1</v>
      </c>
      <c r="T28" s="6">
        <v>0</v>
      </c>
    </row>
    <row r="29" spans="1:20">
      <c r="A29" s="4" t="s">
        <v>22</v>
      </c>
      <c r="B29" s="4" t="s">
        <v>22</v>
      </c>
      <c r="C29" s="4" t="s">
        <v>109</v>
      </c>
      <c r="D29" s="4" t="s">
        <v>101</v>
      </c>
      <c r="E29" s="4" t="s">
        <v>101</v>
      </c>
      <c r="F29" s="4" t="s">
        <v>75</v>
      </c>
      <c r="G29" s="4" t="s">
        <v>102</v>
      </c>
      <c r="H29" s="4"/>
      <c r="I29" s="6">
        <v>0.2591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0.2591</v>
      </c>
      <c r="T29" s="6">
        <v>0</v>
      </c>
    </row>
    <row r="30" spans="1:20">
      <c r="A30" s="4" t="s">
        <v>22</v>
      </c>
      <c r="B30" s="4" t="s">
        <v>22</v>
      </c>
      <c r="C30" s="4" t="s">
        <v>110</v>
      </c>
      <c r="D30" s="4" t="s">
        <v>60</v>
      </c>
      <c r="E30" s="4" t="s">
        <v>60</v>
      </c>
      <c r="F30" s="4" t="s">
        <v>75</v>
      </c>
      <c r="G30" s="4" t="s">
        <v>111</v>
      </c>
      <c r="H30" s="4">
        <v>20</v>
      </c>
      <c r="I30" s="6">
        <v>2.4521</v>
      </c>
      <c r="J30" s="6">
        <v>1.7827</v>
      </c>
      <c r="K30" s="6">
        <v>2.3069</v>
      </c>
      <c r="L30" s="6">
        <v>1.3909</v>
      </c>
      <c r="M30" s="6">
        <v>2.7908</v>
      </c>
      <c r="N30" s="6">
        <v>0.8765</v>
      </c>
      <c r="O30" s="6">
        <v>2.5192</v>
      </c>
      <c r="P30" s="6">
        <v>0.9307</v>
      </c>
      <c r="Q30" s="6">
        <v>7.6169</v>
      </c>
      <c r="R30" s="6">
        <v>3.1981</v>
      </c>
      <c r="S30" s="6">
        <v>10.069</v>
      </c>
      <c r="T30" s="6">
        <v>4.9808</v>
      </c>
    </row>
    <row r="31" spans="1:20">
      <c r="A31" s="4" t="s">
        <v>22</v>
      </c>
      <c r="B31" s="4" t="s">
        <v>22</v>
      </c>
      <c r="C31" s="4" t="s">
        <v>112</v>
      </c>
      <c r="D31" s="4" t="s">
        <v>113</v>
      </c>
      <c r="E31" s="4" t="s">
        <v>113</v>
      </c>
      <c r="F31" s="4" t="s">
        <v>75</v>
      </c>
      <c r="G31" s="4" t="s">
        <v>111</v>
      </c>
      <c r="H31" s="4"/>
      <c r="I31" s="6">
        <v>0.7088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0.7088</v>
      </c>
      <c r="T31" s="6">
        <v>0</v>
      </c>
    </row>
    <row r="32" spans="1:20">
      <c r="A32" s="4" t="s">
        <v>22</v>
      </c>
      <c r="B32" s="4" t="s">
        <v>22</v>
      </c>
      <c r="C32" s="4" t="s">
        <v>114</v>
      </c>
      <c r="D32" s="4" t="s">
        <v>113</v>
      </c>
      <c r="E32" s="4" t="s">
        <v>113</v>
      </c>
      <c r="F32" s="4" t="s">
        <v>75</v>
      </c>
      <c r="G32" s="4" t="s">
        <v>111</v>
      </c>
      <c r="H32" s="4">
        <v>200</v>
      </c>
      <c r="I32" s="6">
        <v>19.006488</v>
      </c>
      <c r="J32" s="6">
        <v>49.426393</v>
      </c>
      <c r="K32" s="6">
        <v>8.83898</v>
      </c>
      <c r="L32" s="6">
        <v>3.420039</v>
      </c>
      <c r="M32" s="6">
        <v>18.188245</v>
      </c>
      <c r="N32" s="6">
        <v>13.429018</v>
      </c>
      <c r="O32" s="6">
        <v>18.756688</v>
      </c>
      <c r="P32" s="6">
        <v>12.885937</v>
      </c>
      <c r="Q32" s="6">
        <v>45.783913</v>
      </c>
      <c r="R32" s="6">
        <v>29.734994</v>
      </c>
      <c r="S32" s="6">
        <v>64.790401</v>
      </c>
      <c r="T32" s="6">
        <v>79.161387</v>
      </c>
    </row>
    <row r="33" spans="1:20">
      <c r="A33" s="4" t="s">
        <v>22</v>
      </c>
      <c r="B33" s="4" t="s">
        <v>22</v>
      </c>
      <c r="C33" s="4" t="s">
        <v>115</v>
      </c>
      <c r="D33" s="4" t="s">
        <v>113</v>
      </c>
      <c r="E33" s="4" t="s">
        <v>113</v>
      </c>
      <c r="F33" s="4" t="s">
        <v>75</v>
      </c>
      <c r="G33" s="4" t="s">
        <v>111</v>
      </c>
      <c r="H33" s="4">
        <v>60</v>
      </c>
      <c r="I33" s="6">
        <v>2.4111</v>
      </c>
      <c r="J33" s="6">
        <v>3.7387</v>
      </c>
      <c r="K33" s="6">
        <v>4.9926</v>
      </c>
      <c r="L33" s="6">
        <v>7.1744</v>
      </c>
      <c r="M33" s="6">
        <v>5.7887</v>
      </c>
      <c r="N33" s="6">
        <f>8.4847-3.76</f>
        <v>4.7247</v>
      </c>
      <c r="O33" s="6">
        <v>4.0556</v>
      </c>
      <c r="P33" s="6">
        <f>16.1547-3.72</f>
        <v>12.4347</v>
      </c>
      <c r="Q33" s="6">
        <v>14.8369</v>
      </c>
      <c r="R33" s="6">
        <f>P33+N33+L33</f>
        <v>24.3338</v>
      </c>
      <c r="S33" s="6">
        <v>17.248</v>
      </c>
      <c r="T33" s="6">
        <f>R33+J33</f>
        <v>28.0725</v>
      </c>
    </row>
    <row r="34" spans="1:20">
      <c r="A34" s="4" t="s">
        <v>22</v>
      </c>
      <c r="B34" s="4" t="s">
        <v>22</v>
      </c>
      <c r="C34" s="4" t="s">
        <v>116</v>
      </c>
      <c r="D34" s="4" t="s">
        <v>60</v>
      </c>
      <c r="E34" s="4" t="s">
        <v>60</v>
      </c>
      <c r="F34" s="4" t="s">
        <v>69</v>
      </c>
      <c r="G34" s="4" t="s">
        <v>62</v>
      </c>
      <c r="H34" s="4">
        <v>0</v>
      </c>
      <c r="I34" s="6">
        <v>2.6405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2.6405</v>
      </c>
      <c r="T34" s="6">
        <v>0</v>
      </c>
    </row>
    <row r="35" spans="1:20">
      <c r="A35" s="4" t="s">
        <v>22</v>
      </c>
      <c r="B35" s="4" t="s">
        <v>22</v>
      </c>
      <c r="C35" s="4" t="s">
        <v>117</v>
      </c>
      <c r="D35" s="4" t="s">
        <v>60</v>
      </c>
      <c r="E35" s="4" t="s">
        <v>60</v>
      </c>
      <c r="F35" s="4" t="s">
        <v>75</v>
      </c>
      <c r="G35" s="4" t="s">
        <v>102</v>
      </c>
      <c r="H35" s="4"/>
      <c r="I35" s="6">
        <v>12.4</v>
      </c>
      <c r="J35" s="6">
        <v>2</v>
      </c>
      <c r="K35" s="6">
        <v>19</v>
      </c>
      <c r="L35" s="6">
        <v>0</v>
      </c>
      <c r="M35" s="6">
        <v>5</v>
      </c>
      <c r="N35" s="6">
        <v>0</v>
      </c>
      <c r="O35" s="6">
        <v>13.95</v>
      </c>
      <c r="P35" s="6">
        <v>1</v>
      </c>
      <c r="Q35" s="6">
        <v>37.95</v>
      </c>
      <c r="R35" s="6">
        <v>1</v>
      </c>
      <c r="S35" s="6">
        <v>50.35</v>
      </c>
      <c r="T35" s="6">
        <v>3</v>
      </c>
    </row>
    <row r="36" spans="1:20">
      <c r="A36" s="4" t="s">
        <v>22</v>
      </c>
      <c r="B36" s="4" t="s">
        <v>22</v>
      </c>
      <c r="C36" s="4" t="s">
        <v>118</v>
      </c>
      <c r="D36" s="4" t="s">
        <v>60</v>
      </c>
      <c r="E36" s="4" t="s">
        <v>60</v>
      </c>
      <c r="F36" s="4" t="s">
        <v>75</v>
      </c>
      <c r="G36" s="4" t="s">
        <v>102</v>
      </c>
      <c r="H36" s="4"/>
      <c r="I36" s="6">
        <v>0</v>
      </c>
      <c r="J36" s="6">
        <v>0.592112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0.592112</v>
      </c>
    </row>
    <row r="37" spans="1:20">
      <c r="A37" s="4" t="s">
        <v>22</v>
      </c>
      <c r="B37" s="4" t="s">
        <v>22</v>
      </c>
      <c r="C37" s="4" t="s">
        <v>119</v>
      </c>
      <c r="D37" s="4" t="s">
        <v>60</v>
      </c>
      <c r="E37" s="4" t="s">
        <v>60</v>
      </c>
      <c r="F37" s="4" t="s">
        <v>75</v>
      </c>
      <c r="G37" s="4" t="s">
        <v>80</v>
      </c>
      <c r="H37" s="4">
        <v>20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4" t="s">
        <v>22</v>
      </c>
      <c r="B38" s="4" t="s">
        <v>22</v>
      </c>
      <c r="C38" s="4" t="s">
        <v>541</v>
      </c>
      <c r="D38" s="4" t="s">
        <v>60</v>
      </c>
      <c r="E38" s="4" t="s">
        <v>60</v>
      </c>
      <c r="F38" s="4" t="s">
        <v>75</v>
      </c>
      <c r="G38" s="4" t="s">
        <v>80</v>
      </c>
      <c r="H38" s="4"/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4" t="s">
        <v>22</v>
      </c>
      <c r="B39" s="4" t="s">
        <v>22</v>
      </c>
      <c r="C39" s="4" t="s">
        <v>120</v>
      </c>
      <c r="D39" s="4" t="s">
        <v>83</v>
      </c>
      <c r="E39" s="4" t="s">
        <v>83</v>
      </c>
      <c r="F39" s="4" t="s">
        <v>75</v>
      </c>
      <c r="G39" s="4" t="s">
        <v>84</v>
      </c>
      <c r="H39" s="4">
        <v>370</v>
      </c>
      <c r="I39" s="6">
        <v>0</v>
      </c>
      <c r="J39" s="6">
        <v>80.6831</v>
      </c>
      <c r="K39" s="6">
        <v>0</v>
      </c>
      <c r="L39" s="6">
        <v>41.824</v>
      </c>
      <c r="M39" s="6">
        <v>0</v>
      </c>
      <c r="N39" s="6">
        <v>30.6225</v>
      </c>
      <c r="O39" s="6">
        <v>0</v>
      </c>
      <c r="P39" s="6">
        <v>57.4778</v>
      </c>
      <c r="Q39" s="6">
        <v>0</v>
      </c>
      <c r="R39" s="6">
        <v>129.9243</v>
      </c>
      <c r="S39" s="6">
        <v>0</v>
      </c>
      <c r="T39" s="6">
        <v>210.6074</v>
      </c>
    </row>
    <row r="40" spans="1:20">
      <c r="A40" s="4" t="s">
        <v>22</v>
      </c>
      <c r="B40" s="4" t="s">
        <v>22</v>
      </c>
      <c r="C40" s="4" t="s">
        <v>121</v>
      </c>
      <c r="D40" s="4" t="s">
        <v>83</v>
      </c>
      <c r="E40" s="4" t="s">
        <v>83</v>
      </c>
      <c r="F40" s="4" t="s">
        <v>56</v>
      </c>
      <c r="G40" s="4" t="s">
        <v>84</v>
      </c>
      <c r="H40" s="4">
        <v>170</v>
      </c>
      <c r="I40" s="6">
        <v>0</v>
      </c>
      <c r="J40" s="6">
        <v>28.09576</v>
      </c>
      <c r="K40" s="6">
        <v>0</v>
      </c>
      <c r="L40" s="6">
        <v>29.6574</v>
      </c>
      <c r="M40" s="6">
        <v>0</v>
      </c>
      <c r="N40" s="6">
        <v>25.5533</v>
      </c>
      <c r="O40" s="6">
        <v>0</v>
      </c>
      <c r="P40" s="6">
        <v>38.6476</v>
      </c>
      <c r="Q40" s="6">
        <v>0</v>
      </c>
      <c r="R40" s="6">
        <v>93.8583</v>
      </c>
      <c r="S40" s="6">
        <v>0</v>
      </c>
      <c r="T40" s="6">
        <v>121.95406</v>
      </c>
    </row>
    <row r="41" spans="1:20">
      <c r="A41" s="4" t="s">
        <v>22</v>
      </c>
      <c r="B41" s="4" t="s">
        <v>22</v>
      </c>
      <c r="C41" s="4" t="s">
        <v>122</v>
      </c>
      <c r="D41" s="4" t="s">
        <v>60</v>
      </c>
      <c r="E41" s="4" t="s">
        <v>60</v>
      </c>
      <c r="F41" s="4" t="s">
        <v>75</v>
      </c>
      <c r="G41" s="4" t="s">
        <v>102</v>
      </c>
      <c r="H41" s="4"/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</row>
    <row r="42" spans="1:20">
      <c r="A42" s="4" t="s">
        <v>22</v>
      </c>
      <c r="B42" s="4" t="s">
        <v>22</v>
      </c>
      <c r="C42" s="4" t="s">
        <v>123</v>
      </c>
      <c r="D42" s="4" t="s">
        <v>113</v>
      </c>
      <c r="E42" s="4" t="s">
        <v>113</v>
      </c>
      <c r="F42" s="4" t="s">
        <v>75</v>
      </c>
      <c r="G42" s="4" t="s">
        <v>111</v>
      </c>
      <c r="H42" s="4">
        <v>80</v>
      </c>
      <c r="I42" s="6">
        <v>0</v>
      </c>
      <c r="J42" s="6">
        <v>1.0661</v>
      </c>
      <c r="K42" s="6">
        <v>0</v>
      </c>
      <c r="L42" s="6">
        <v>1.5411</v>
      </c>
      <c r="M42" s="6">
        <v>0</v>
      </c>
      <c r="N42" s="6">
        <v>0.3348</v>
      </c>
      <c r="O42" s="6">
        <v>0</v>
      </c>
      <c r="P42" s="6">
        <v>0</v>
      </c>
      <c r="Q42" s="6">
        <v>0</v>
      </c>
      <c r="R42" s="6">
        <v>1.8759</v>
      </c>
      <c r="S42" s="6">
        <v>0</v>
      </c>
      <c r="T42" s="6">
        <v>2.942</v>
      </c>
    </row>
    <row r="43" spans="1:20">
      <c r="A43" s="4" t="s">
        <v>22</v>
      </c>
      <c r="B43" s="4" t="s">
        <v>22</v>
      </c>
      <c r="C43" s="4" t="s">
        <v>125</v>
      </c>
      <c r="D43" s="4" t="s">
        <v>113</v>
      </c>
      <c r="E43" s="4" t="s">
        <v>113</v>
      </c>
      <c r="F43" s="4" t="s">
        <v>75</v>
      </c>
      <c r="G43" s="4" t="s">
        <v>111</v>
      </c>
      <c r="H43" s="4"/>
      <c r="I43" s="6">
        <v>0</v>
      </c>
      <c r="J43" s="6">
        <v>0.725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0.725</v>
      </c>
    </row>
    <row r="44" spans="1:20">
      <c r="A44" s="4" t="s">
        <v>22</v>
      </c>
      <c r="B44" s="4" t="s">
        <v>22</v>
      </c>
      <c r="C44" s="4" t="s">
        <v>126</v>
      </c>
      <c r="D44" s="4" t="s">
        <v>113</v>
      </c>
      <c r="E44" s="4" t="s">
        <v>113</v>
      </c>
      <c r="F44" s="4" t="s">
        <v>75</v>
      </c>
      <c r="G44" s="4" t="s">
        <v>111</v>
      </c>
      <c r="H44" s="4">
        <v>20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</row>
    <row r="45" spans="1:20">
      <c r="A45" s="4" t="s">
        <v>22</v>
      </c>
      <c r="B45" s="4" t="s">
        <v>22</v>
      </c>
      <c r="C45" s="4" t="s">
        <v>127</v>
      </c>
      <c r="D45" s="4" t="s">
        <v>113</v>
      </c>
      <c r="E45" s="4" t="s">
        <v>113</v>
      </c>
      <c r="F45" s="4" t="s">
        <v>75</v>
      </c>
      <c r="G45" s="4" t="s">
        <v>111</v>
      </c>
      <c r="H45" s="4">
        <v>20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</row>
    <row r="46" spans="1:20">
      <c r="A46" s="4" t="s">
        <v>22</v>
      </c>
      <c r="B46" s="4" t="s">
        <v>22</v>
      </c>
      <c r="C46" s="4" t="s">
        <v>128</v>
      </c>
      <c r="D46" s="4" t="s">
        <v>113</v>
      </c>
      <c r="E46" s="4" t="s">
        <v>113</v>
      </c>
      <c r="F46" s="4" t="s">
        <v>75</v>
      </c>
      <c r="G46" s="4" t="s">
        <v>111</v>
      </c>
      <c r="H46" s="4"/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1.3</v>
      </c>
      <c r="O46" s="6">
        <v>0</v>
      </c>
      <c r="P46" s="6">
        <v>0</v>
      </c>
      <c r="Q46" s="6">
        <v>0</v>
      </c>
      <c r="R46" s="6">
        <v>1.3</v>
      </c>
      <c r="S46" s="6">
        <v>0</v>
      </c>
      <c r="T46" s="6">
        <v>1.3</v>
      </c>
    </row>
    <row r="47" spans="1:20">
      <c r="A47" s="4" t="s">
        <v>22</v>
      </c>
      <c r="B47" s="4" t="s">
        <v>22</v>
      </c>
      <c r="C47" s="4" t="s">
        <v>129</v>
      </c>
      <c r="D47" s="4" t="s">
        <v>60</v>
      </c>
      <c r="E47" s="4" t="s">
        <v>60</v>
      </c>
      <c r="F47" s="4" t="s">
        <v>75</v>
      </c>
      <c r="G47" s="4" t="s">
        <v>102</v>
      </c>
      <c r="H47" s="4"/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6.6234</v>
      </c>
      <c r="O47" s="6">
        <v>0</v>
      </c>
      <c r="P47" s="6">
        <v>1.03417</v>
      </c>
      <c r="Q47" s="6">
        <v>0</v>
      </c>
      <c r="R47" s="6">
        <v>7.65757</v>
      </c>
      <c r="S47" s="6">
        <v>0</v>
      </c>
      <c r="T47" s="6">
        <v>7.65757</v>
      </c>
    </row>
    <row r="48" spans="1:20">
      <c r="A48" s="4" t="s">
        <v>22</v>
      </c>
      <c r="B48" s="4" t="s">
        <v>22</v>
      </c>
      <c r="C48" s="4" t="s">
        <v>130</v>
      </c>
      <c r="D48" s="4" t="s">
        <v>113</v>
      </c>
      <c r="E48" s="4" t="s">
        <v>113</v>
      </c>
      <c r="F48" s="4" t="s">
        <v>75</v>
      </c>
      <c r="G48" s="4" t="s">
        <v>111</v>
      </c>
      <c r="H48" s="4">
        <v>60</v>
      </c>
      <c r="I48" s="6">
        <v>0</v>
      </c>
      <c r="J48" s="6">
        <v>3.54</v>
      </c>
      <c r="K48" s="6">
        <v>0</v>
      </c>
      <c r="L48" s="6">
        <v>0</v>
      </c>
      <c r="M48" s="6">
        <v>0</v>
      </c>
      <c r="N48" s="6">
        <v>2.72</v>
      </c>
      <c r="O48" s="6">
        <v>0</v>
      </c>
      <c r="P48" s="6">
        <v>0</v>
      </c>
      <c r="Q48" s="6">
        <v>0</v>
      </c>
      <c r="R48" s="6">
        <v>2.72</v>
      </c>
      <c r="S48" s="6">
        <v>0</v>
      </c>
      <c r="T48" s="6">
        <v>6.26</v>
      </c>
    </row>
    <row r="49" spans="1:20">
      <c r="A49" s="4" t="s">
        <v>25</v>
      </c>
      <c r="B49" s="4" t="s">
        <v>25</v>
      </c>
      <c r="C49" s="284" t="s">
        <v>133</v>
      </c>
      <c r="D49" s="4" t="s">
        <v>60</v>
      </c>
      <c r="E49" s="4" t="s">
        <v>60</v>
      </c>
      <c r="F49" s="284" t="s">
        <v>134</v>
      </c>
      <c r="G49" s="4" t="s">
        <v>135</v>
      </c>
      <c r="H49" s="4">
        <v>15</v>
      </c>
      <c r="I49" s="6">
        <v>1.0579</v>
      </c>
      <c r="J49" s="6">
        <v>3.4405</v>
      </c>
      <c r="K49" s="6">
        <v>0</v>
      </c>
      <c r="L49" s="6">
        <v>0</v>
      </c>
      <c r="M49" s="6">
        <v>0</v>
      </c>
      <c r="N49" s="6">
        <v>0</v>
      </c>
      <c r="O49" s="6">
        <v>0.6097</v>
      </c>
      <c r="P49" s="6">
        <v>0</v>
      </c>
      <c r="Q49" s="6">
        <v>0.6097</v>
      </c>
      <c r="R49" s="6">
        <v>0</v>
      </c>
      <c r="S49" s="6">
        <v>1.6676</v>
      </c>
      <c r="T49" s="6">
        <v>3.4405</v>
      </c>
    </row>
    <row r="50" spans="1:20">
      <c r="A50" s="4" t="s">
        <v>25</v>
      </c>
      <c r="B50" s="4" t="s">
        <v>25</v>
      </c>
      <c r="C50" s="4" t="s">
        <v>136</v>
      </c>
      <c r="D50" s="4" t="s">
        <v>64</v>
      </c>
      <c r="E50" s="4" t="s">
        <v>64</v>
      </c>
      <c r="F50" s="284" t="s">
        <v>137</v>
      </c>
      <c r="G50" s="4" t="s">
        <v>138</v>
      </c>
      <c r="H50" s="4"/>
      <c r="I50" s="6">
        <v>0.2</v>
      </c>
      <c r="J50" s="6">
        <v>2.651706</v>
      </c>
      <c r="K50" s="6">
        <v>5.85</v>
      </c>
      <c r="L50" s="6">
        <v>0</v>
      </c>
      <c r="M50" s="6">
        <v>4.71</v>
      </c>
      <c r="N50" s="6">
        <v>0</v>
      </c>
      <c r="O50" s="6">
        <v>10.47</v>
      </c>
      <c r="P50" s="6">
        <v>0</v>
      </c>
      <c r="Q50" s="6">
        <v>21.03</v>
      </c>
      <c r="R50" s="6">
        <v>0</v>
      </c>
      <c r="S50" s="6">
        <v>21.23</v>
      </c>
      <c r="T50" s="6">
        <v>2.651706</v>
      </c>
    </row>
    <row r="51" spans="1:20">
      <c r="A51" s="4" t="s">
        <v>25</v>
      </c>
      <c r="B51" s="4" t="s">
        <v>25</v>
      </c>
      <c r="C51" s="284" t="s">
        <v>139</v>
      </c>
      <c r="D51" s="4" t="s">
        <v>55</v>
      </c>
      <c r="E51" s="4" t="s">
        <v>55</v>
      </c>
      <c r="F51" s="4" t="s">
        <v>140</v>
      </c>
      <c r="G51" s="4" t="s">
        <v>141</v>
      </c>
      <c r="H51" s="4">
        <v>600</v>
      </c>
      <c r="I51" s="6">
        <v>50</v>
      </c>
      <c r="J51" s="6">
        <v>91</v>
      </c>
      <c r="K51" s="6">
        <v>25</v>
      </c>
      <c r="L51" s="6">
        <v>40</v>
      </c>
      <c r="M51" s="6">
        <v>42</v>
      </c>
      <c r="N51" s="6">
        <v>18</v>
      </c>
      <c r="O51" s="6">
        <v>15</v>
      </c>
      <c r="P51" s="6">
        <v>20</v>
      </c>
      <c r="Q51" s="6">
        <v>82</v>
      </c>
      <c r="R51" s="6">
        <v>78</v>
      </c>
      <c r="S51" s="6">
        <v>132</v>
      </c>
      <c r="T51" s="6">
        <v>169</v>
      </c>
    </row>
    <row r="52" spans="1:20">
      <c r="A52" s="4" t="s">
        <v>25</v>
      </c>
      <c r="B52" s="4" t="s">
        <v>25</v>
      </c>
      <c r="C52" s="4" t="s">
        <v>142</v>
      </c>
      <c r="D52" s="4" t="s">
        <v>60</v>
      </c>
      <c r="E52" s="4" t="s">
        <v>60</v>
      </c>
      <c r="F52" s="284" t="s">
        <v>143</v>
      </c>
      <c r="G52" s="4" t="s">
        <v>138</v>
      </c>
      <c r="H52" s="4"/>
      <c r="I52" s="6">
        <v>15.004</v>
      </c>
      <c r="J52" s="6">
        <v>15.4154</v>
      </c>
      <c r="K52" s="6">
        <v>0</v>
      </c>
      <c r="L52" s="6">
        <v>0</v>
      </c>
      <c r="M52" s="6">
        <v>3.9</v>
      </c>
      <c r="N52" s="6">
        <v>3.1123</v>
      </c>
      <c r="O52" s="6">
        <v>14.1</v>
      </c>
      <c r="P52" s="6">
        <v>2.5</v>
      </c>
      <c r="Q52" s="6">
        <v>18</v>
      </c>
      <c r="R52" s="6">
        <v>5.6123</v>
      </c>
      <c r="S52" s="6">
        <v>33.004</v>
      </c>
      <c r="T52" s="6">
        <v>21.0277</v>
      </c>
    </row>
    <row r="53" spans="1:20">
      <c r="A53" s="4" t="s">
        <v>25</v>
      </c>
      <c r="B53" s="4" t="s">
        <v>25</v>
      </c>
      <c r="C53" s="4" t="s">
        <v>144</v>
      </c>
      <c r="D53" s="4" t="s">
        <v>83</v>
      </c>
      <c r="E53" s="4" t="s">
        <v>83</v>
      </c>
      <c r="F53" s="284" t="s">
        <v>134</v>
      </c>
      <c r="G53" s="4" t="s">
        <v>135</v>
      </c>
      <c r="H53" s="4">
        <v>75</v>
      </c>
      <c r="I53" s="6">
        <v>12.8778</v>
      </c>
      <c r="J53" s="6">
        <v>9.4102</v>
      </c>
      <c r="K53" s="6">
        <v>4.859</v>
      </c>
      <c r="L53" s="6">
        <v>0.5936</v>
      </c>
      <c r="M53" s="6">
        <v>7.627</v>
      </c>
      <c r="N53" s="6">
        <v>3.3015</v>
      </c>
      <c r="O53" s="6">
        <v>3.907</v>
      </c>
      <c r="P53" s="6">
        <v>0.4599</v>
      </c>
      <c r="Q53" s="6">
        <v>16.393</v>
      </c>
      <c r="R53" s="6">
        <v>4.355</v>
      </c>
      <c r="S53" s="6">
        <v>29.2708</v>
      </c>
      <c r="T53" s="6">
        <v>13.7652</v>
      </c>
    </row>
    <row r="54" spans="1:20">
      <c r="A54" s="4" t="s">
        <v>25</v>
      </c>
      <c r="B54" s="4" t="s">
        <v>25</v>
      </c>
      <c r="C54" s="4" t="s">
        <v>145</v>
      </c>
      <c r="D54" s="4" t="s">
        <v>87</v>
      </c>
      <c r="E54" s="4" t="s">
        <v>87</v>
      </c>
      <c r="F54" s="4" t="s">
        <v>140</v>
      </c>
      <c r="G54" s="4" t="s">
        <v>138</v>
      </c>
      <c r="H54" s="4"/>
      <c r="I54" s="6">
        <v>37.434274</v>
      </c>
      <c r="J54" s="6">
        <v>0.7936</v>
      </c>
      <c r="K54" s="6">
        <v>1.4652</v>
      </c>
      <c r="L54" s="6">
        <v>0.24</v>
      </c>
      <c r="M54" s="6">
        <v>0.21</v>
      </c>
      <c r="N54" s="6">
        <v>1.173</v>
      </c>
      <c r="O54" s="6">
        <v>0</v>
      </c>
      <c r="P54" s="6">
        <v>1.0598</v>
      </c>
      <c r="Q54" s="6">
        <v>1.6752</v>
      </c>
      <c r="R54" s="6">
        <v>2.4728</v>
      </c>
      <c r="S54" s="6">
        <v>39.109474</v>
      </c>
      <c r="T54" s="6">
        <v>3.2664</v>
      </c>
    </row>
    <row r="55" spans="1:20">
      <c r="A55" s="4" t="s">
        <v>25</v>
      </c>
      <c r="B55" s="4" t="s">
        <v>25</v>
      </c>
      <c r="C55" s="4" t="s">
        <v>146</v>
      </c>
      <c r="D55" s="4" t="s">
        <v>60</v>
      </c>
      <c r="E55" s="4" t="s">
        <v>60</v>
      </c>
      <c r="F55" s="4" t="s">
        <v>140</v>
      </c>
      <c r="G55" s="4" t="s">
        <v>138</v>
      </c>
      <c r="H55" s="4"/>
      <c r="I55" s="6">
        <v>0.4521</v>
      </c>
      <c r="J55" s="6">
        <v>0</v>
      </c>
      <c r="K55" s="6">
        <v>0.3305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0.3305</v>
      </c>
      <c r="R55" s="6">
        <v>0</v>
      </c>
      <c r="S55" s="6">
        <v>0.7826</v>
      </c>
      <c r="T55" s="6">
        <v>0</v>
      </c>
    </row>
    <row r="56" spans="1:20">
      <c r="A56" s="4" t="s">
        <v>25</v>
      </c>
      <c r="B56" s="4" t="s">
        <v>25</v>
      </c>
      <c r="C56" s="4" t="s">
        <v>148</v>
      </c>
      <c r="D56" s="4" t="s">
        <v>101</v>
      </c>
      <c r="E56" s="4" t="s">
        <v>101</v>
      </c>
      <c r="F56" s="4" t="s">
        <v>140</v>
      </c>
      <c r="G56" s="4" t="s">
        <v>138</v>
      </c>
      <c r="H56" s="4"/>
      <c r="I56" s="6">
        <v>3.4006</v>
      </c>
      <c r="J56" s="6">
        <v>1.0365</v>
      </c>
      <c r="K56" s="6">
        <v>2.0567</v>
      </c>
      <c r="L56" s="6">
        <v>0</v>
      </c>
      <c r="M56" s="6">
        <v>0</v>
      </c>
      <c r="N56" s="6">
        <v>0</v>
      </c>
      <c r="O56" s="6">
        <v>0.158</v>
      </c>
      <c r="P56" s="6">
        <v>0</v>
      </c>
      <c r="Q56" s="6">
        <v>2.2147</v>
      </c>
      <c r="R56" s="6">
        <v>0</v>
      </c>
      <c r="S56" s="6">
        <v>5.6153</v>
      </c>
      <c r="T56" s="6">
        <v>1.0365</v>
      </c>
    </row>
    <row r="57" spans="1:20">
      <c r="A57" s="4" t="s">
        <v>25</v>
      </c>
      <c r="B57" s="4" t="s">
        <v>25</v>
      </c>
      <c r="C57" s="4" t="s">
        <v>149</v>
      </c>
      <c r="D57" s="4" t="s">
        <v>60</v>
      </c>
      <c r="E57" s="4" t="s">
        <v>60</v>
      </c>
      <c r="F57" s="284" t="s">
        <v>134</v>
      </c>
      <c r="G57" s="4" t="s">
        <v>135</v>
      </c>
      <c r="H57" s="4"/>
      <c r="I57" s="6">
        <v>0.289682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0.289682</v>
      </c>
      <c r="T57" s="6">
        <v>0</v>
      </c>
    </row>
    <row r="58" spans="1:20">
      <c r="A58" s="4" t="s">
        <v>25</v>
      </c>
      <c r="B58" s="4" t="s">
        <v>25</v>
      </c>
      <c r="C58" s="4" t="s">
        <v>542</v>
      </c>
      <c r="D58" s="4" t="s">
        <v>60</v>
      </c>
      <c r="E58" s="4" t="s">
        <v>60</v>
      </c>
      <c r="F58" s="4" t="s">
        <v>134</v>
      </c>
      <c r="G58" s="4" t="s">
        <v>135</v>
      </c>
      <c r="H58" s="4">
        <v>15</v>
      </c>
      <c r="I58" s="6">
        <v>5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5</v>
      </c>
      <c r="T58" s="6">
        <v>0</v>
      </c>
    </row>
    <row r="59" spans="1:20">
      <c r="A59" s="4" t="s">
        <v>25</v>
      </c>
      <c r="B59" s="4" t="s">
        <v>25</v>
      </c>
      <c r="C59" s="4" t="s">
        <v>151</v>
      </c>
      <c r="D59" s="4" t="s">
        <v>60</v>
      </c>
      <c r="E59" s="4" t="s">
        <v>60</v>
      </c>
      <c r="F59" s="4" t="s">
        <v>134</v>
      </c>
      <c r="G59" s="4" t="s">
        <v>135</v>
      </c>
      <c r="H59" s="4">
        <v>30</v>
      </c>
      <c r="I59" s="6">
        <v>9.9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9.9</v>
      </c>
      <c r="T59" s="6">
        <v>0</v>
      </c>
    </row>
    <row r="60" spans="1:20">
      <c r="A60" s="4" t="s">
        <v>25</v>
      </c>
      <c r="B60" s="4" t="s">
        <v>25</v>
      </c>
      <c r="C60" s="4" t="s">
        <v>152</v>
      </c>
      <c r="D60" s="4" t="s">
        <v>60</v>
      </c>
      <c r="E60" s="4" t="s">
        <v>60</v>
      </c>
      <c r="F60" s="4" t="s">
        <v>153</v>
      </c>
      <c r="G60" s="4" t="s">
        <v>138</v>
      </c>
      <c r="H60" s="4"/>
      <c r="I60" s="6">
        <v>0.36</v>
      </c>
      <c r="J60" s="6">
        <v>0</v>
      </c>
      <c r="K60" s="6">
        <v>0</v>
      </c>
      <c r="L60" s="6">
        <v>0</v>
      </c>
      <c r="M60" s="6">
        <v>1.3074</v>
      </c>
      <c r="N60" s="6">
        <v>0</v>
      </c>
      <c r="O60" s="6">
        <v>0</v>
      </c>
      <c r="P60" s="6">
        <v>0</v>
      </c>
      <c r="Q60" s="6">
        <v>1.3074</v>
      </c>
      <c r="R60" s="6">
        <v>0</v>
      </c>
      <c r="S60" s="6">
        <v>1.6674</v>
      </c>
      <c r="T60" s="6">
        <v>0</v>
      </c>
    </row>
    <row r="61" spans="1:20">
      <c r="A61" s="4" t="s">
        <v>25</v>
      </c>
      <c r="B61" s="4" t="s">
        <v>25</v>
      </c>
      <c r="C61" s="4" t="s">
        <v>154</v>
      </c>
      <c r="D61" s="4" t="s">
        <v>60</v>
      </c>
      <c r="E61" s="4" t="s">
        <v>60</v>
      </c>
      <c r="F61" s="4" t="s">
        <v>134</v>
      </c>
      <c r="G61" s="4" t="s">
        <v>135</v>
      </c>
      <c r="H61" s="4"/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</row>
    <row r="62" spans="1:20">
      <c r="A62" s="4" t="s">
        <v>25</v>
      </c>
      <c r="B62" s="4" t="s">
        <v>25</v>
      </c>
      <c r="C62" s="4" t="s">
        <v>155</v>
      </c>
      <c r="D62" s="4" t="s">
        <v>101</v>
      </c>
      <c r="E62" s="4" t="s">
        <v>101</v>
      </c>
      <c r="F62" s="4" t="s">
        <v>140</v>
      </c>
      <c r="G62" s="4" t="s">
        <v>138</v>
      </c>
      <c r="H62" s="4"/>
      <c r="I62" s="6">
        <v>0.3107</v>
      </c>
      <c r="J62" s="6">
        <v>0</v>
      </c>
      <c r="K62" s="6">
        <v>0.4335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0.4335</v>
      </c>
      <c r="R62" s="6">
        <v>0</v>
      </c>
      <c r="S62" s="6">
        <v>0.7442</v>
      </c>
      <c r="T62" s="6">
        <v>0</v>
      </c>
    </row>
    <row r="63" spans="1:20">
      <c r="A63" s="4" t="s">
        <v>25</v>
      </c>
      <c r="B63" s="4" t="s">
        <v>25</v>
      </c>
      <c r="C63" s="4" t="s">
        <v>156</v>
      </c>
      <c r="D63" s="4" t="s">
        <v>60</v>
      </c>
      <c r="E63" s="4" t="s">
        <v>60</v>
      </c>
      <c r="F63" s="4" t="s">
        <v>134</v>
      </c>
      <c r="G63" s="4" t="s">
        <v>135</v>
      </c>
      <c r="H63" s="4"/>
      <c r="I63" s="6">
        <v>1.2589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1.2589</v>
      </c>
      <c r="T63" s="6">
        <v>0</v>
      </c>
    </row>
    <row r="64" spans="1:20">
      <c r="A64" s="4" t="s">
        <v>25</v>
      </c>
      <c r="B64" s="4" t="s">
        <v>25</v>
      </c>
      <c r="C64" s="4" t="s">
        <v>157</v>
      </c>
      <c r="D64" s="4" t="s">
        <v>60</v>
      </c>
      <c r="E64" s="4" t="s">
        <v>60</v>
      </c>
      <c r="F64" s="4" t="s">
        <v>140</v>
      </c>
      <c r="G64" s="4" t="s">
        <v>141</v>
      </c>
      <c r="H64" s="4"/>
      <c r="I64" s="6">
        <v>1</v>
      </c>
      <c r="J64" s="6">
        <v>4.0564</v>
      </c>
      <c r="K64" s="6">
        <v>0</v>
      </c>
      <c r="L64" s="6">
        <v>0</v>
      </c>
      <c r="M64" s="6">
        <v>0</v>
      </c>
      <c r="N64" s="6">
        <v>3.239</v>
      </c>
      <c r="O64" s="6">
        <v>0</v>
      </c>
      <c r="P64" s="6">
        <v>2.1149</v>
      </c>
      <c r="Q64" s="6">
        <v>0</v>
      </c>
      <c r="R64" s="6">
        <v>5.3539</v>
      </c>
      <c r="S64" s="6">
        <v>1</v>
      </c>
      <c r="T64" s="6">
        <v>9.4103</v>
      </c>
    </row>
    <row r="65" spans="1:20">
      <c r="A65" s="4" t="s">
        <v>25</v>
      </c>
      <c r="B65" s="4" t="s">
        <v>25</v>
      </c>
      <c r="C65" s="4" t="s">
        <v>158</v>
      </c>
      <c r="D65" s="4" t="s">
        <v>60</v>
      </c>
      <c r="E65" s="4" t="s">
        <v>60</v>
      </c>
      <c r="F65" s="4" t="s">
        <v>140</v>
      </c>
      <c r="G65" s="4" t="s">
        <v>138</v>
      </c>
      <c r="H65" s="4"/>
      <c r="I65" s="6">
        <v>0.2962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0.2962</v>
      </c>
      <c r="T65" s="6">
        <v>0</v>
      </c>
    </row>
    <row r="66" spans="1:20">
      <c r="A66" s="4" t="s">
        <v>25</v>
      </c>
      <c r="B66" s="4" t="s">
        <v>25</v>
      </c>
      <c r="C66" s="4" t="s">
        <v>118</v>
      </c>
      <c r="D66" s="4" t="s">
        <v>60</v>
      </c>
      <c r="E66" s="4" t="s">
        <v>60</v>
      </c>
      <c r="F66" s="4" t="s">
        <v>140</v>
      </c>
      <c r="G66" s="4" t="s">
        <v>138</v>
      </c>
      <c r="H66" s="4"/>
      <c r="I66" s="6">
        <v>0</v>
      </c>
      <c r="J66" s="6">
        <v>0.173604</v>
      </c>
      <c r="K66" s="6">
        <v>0</v>
      </c>
      <c r="L66" s="6">
        <v>0.347208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0.347208</v>
      </c>
      <c r="S66" s="6">
        <v>0</v>
      </c>
      <c r="T66" s="6">
        <v>0.520812</v>
      </c>
    </row>
    <row r="67" spans="1:20">
      <c r="A67" s="4" t="s">
        <v>25</v>
      </c>
      <c r="B67" s="4" t="s">
        <v>25</v>
      </c>
      <c r="C67" s="4" t="s">
        <v>159</v>
      </c>
      <c r="D67" s="4" t="s">
        <v>60</v>
      </c>
      <c r="E67" s="4" t="s">
        <v>60</v>
      </c>
      <c r="F67" s="284" t="s">
        <v>137</v>
      </c>
      <c r="G67" s="4" t="s">
        <v>138</v>
      </c>
      <c r="H67" s="4">
        <v>60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11.6732</v>
      </c>
      <c r="O67" s="6">
        <v>0</v>
      </c>
      <c r="P67" s="6">
        <v>0.3088</v>
      </c>
      <c r="Q67" s="6">
        <v>0</v>
      </c>
      <c r="R67" s="6">
        <v>11.982</v>
      </c>
      <c r="S67" s="6">
        <v>0</v>
      </c>
      <c r="T67" s="6">
        <v>11.982</v>
      </c>
    </row>
    <row r="68" spans="1:20">
      <c r="A68" s="4" t="s">
        <v>25</v>
      </c>
      <c r="B68" s="4" t="s">
        <v>25</v>
      </c>
      <c r="C68" s="4" t="s">
        <v>114</v>
      </c>
      <c r="D68" s="4" t="s">
        <v>113</v>
      </c>
      <c r="E68" s="4" t="s">
        <v>113</v>
      </c>
      <c r="F68" s="4" t="s">
        <v>140</v>
      </c>
      <c r="G68" s="4" t="s">
        <v>138</v>
      </c>
      <c r="H68" s="4"/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0.3344</v>
      </c>
      <c r="Q68" s="6">
        <v>0</v>
      </c>
      <c r="R68" s="6">
        <v>0.3344</v>
      </c>
      <c r="S68" s="6">
        <v>0</v>
      </c>
      <c r="T68" s="6">
        <v>0.3344</v>
      </c>
    </row>
    <row r="69" spans="1:20">
      <c r="A69" s="4" t="s">
        <v>25</v>
      </c>
      <c r="B69" s="4" t="s">
        <v>25</v>
      </c>
      <c r="C69" s="4" t="s">
        <v>543</v>
      </c>
      <c r="D69" s="4" t="s">
        <v>60</v>
      </c>
      <c r="E69" s="4" t="s">
        <v>60</v>
      </c>
      <c r="F69" s="4" t="s">
        <v>134</v>
      </c>
      <c r="G69" s="4" t="s">
        <v>135</v>
      </c>
      <c r="H69" s="4"/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0.6167</v>
      </c>
      <c r="Q69" s="6">
        <v>0</v>
      </c>
      <c r="R69" s="6">
        <v>0.6167</v>
      </c>
      <c r="S69" s="6">
        <v>0</v>
      </c>
      <c r="T69" s="6">
        <v>0.6167</v>
      </c>
    </row>
    <row r="70" s="1" customFormat="1" spans="1:16351">
      <c r="A70" s="7" t="s">
        <v>27</v>
      </c>
      <c r="B70" s="7" t="s">
        <v>27</v>
      </c>
      <c r="C70" s="283" t="s">
        <v>162</v>
      </c>
      <c r="D70" s="8" t="s">
        <v>55</v>
      </c>
      <c r="E70" s="8" t="s">
        <v>55</v>
      </c>
      <c r="F70" s="8" t="s">
        <v>163</v>
      </c>
      <c r="G70" s="8" t="s">
        <v>164</v>
      </c>
      <c r="H70" s="9">
        <v>200</v>
      </c>
      <c r="I70" s="6">
        <v>30</v>
      </c>
      <c r="J70" s="6">
        <v>90</v>
      </c>
      <c r="K70" s="6">
        <v>30</v>
      </c>
      <c r="L70" s="6">
        <v>0</v>
      </c>
      <c r="M70" s="6">
        <v>3.93</v>
      </c>
      <c r="N70" s="6">
        <v>3.93</v>
      </c>
      <c r="O70" s="6">
        <v>20</v>
      </c>
      <c r="P70" s="6">
        <v>20</v>
      </c>
      <c r="Q70" s="6">
        <v>53.93</v>
      </c>
      <c r="R70" s="6">
        <v>23.93</v>
      </c>
      <c r="S70" s="6">
        <v>83.93</v>
      </c>
      <c r="T70" s="6">
        <v>113.93</v>
      </c>
      <c r="XDP70" s="3"/>
      <c r="XDQ70" s="3"/>
      <c r="XDR70" s="3"/>
      <c r="XDS70" s="3"/>
      <c r="XDT70" s="3"/>
      <c r="XDU70" s="3"/>
      <c r="XDV70" s="3"/>
      <c r="XDW70" s="3"/>
    </row>
    <row r="71" s="1" customFormat="1" spans="1:16351">
      <c r="A71" s="7" t="s">
        <v>27</v>
      </c>
      <c r="B71" s="7" t="s">
        <v>27</v>
      </c>
      <c r="C71" s="283" t="s">
        <v>165</v>
      </c>
      <c r="D71" s="8" t="s">
        <v>64</v>
      </c>
      <c r="E71" s="8" t="s">
        <v>64</v>
      </c>
      <c r="F71" s="8" t="s">
        <v>163</v>
      </c>
      <c r="G71" s="8" t="s">
        <v>164</v>
      </c>
      <c r="H71" s="9">
        <v>200</v>
      </c>
      <c r="I71" s="6">
        <v>1.0368</v>
      </c>
      <c r="J71" s="6">
        <v>19.88404</v>
      </c>
      <c r="K71" s="6">
        <v>6</v>
      </c>
      <c r="L71" s="6">
        <v>5.4319</v>
      </c>
      <c r="M71" s="6">
        <v>10.3268</v>
      </c>
      <c r="N71" s="6">
        <v>5</v>
      </c>
      <c r="O71" s="6">
        <v>10</v>
      </c>
      <c r="P71" s="6">
        <v>7.294003</v>
      </c>
      <c r="Q71" s="6">
        <v>26.3268</v>
      </c>
      <c r="R71" s="6">
        <v>17.725903</v>
      </c>
      <c r="S71" s="6">
        <v>27.3636</v>
      </c>
      <c r="T71" s="6">
        <v>37.609943</v>
      </c>
      <c r="XDP71" s="3"/>
      <c r="XDQ71" s="3"/>
      <c r="XDR71" s="3"/>
      <c r="XDS71" s="3"/>
      <c r="XDT71" s="3"/>
      <c r="XDU71" s="3"/>
      <c r="XDV71" s="3"/>
      <c r="XDW71" s="3"/>
    </row>
    <row r="72" s="1" customFormat="1" spans="1:16351">
      <c r="A72" s="7" t="s">
        <v>27</v>
      </c>
      <c r="B72" s="7" t="s">
        <v>27</v>
      </c>
      <c r="C72" s="283" t="s">
        <v>166</v>
      </c>
      <c r="D72" s="8" t="s">
        <v>60</v>
      </c>
      <c r="E72" s="8" t="s">
        <v>55</v>
      </c>
      <c r="F72" s="8" t="s">
        <v>167</v>
      </c>
      <c r="G72" s="8" t="s">
        <v>169</v>
      </c>
      <c r="H72" s="9">
        <v>40</v>
      </c>
      <c r="I72" s="6">
        <v>7.0775</v>
      </c>
      <c r="J72" s="6">
        <v>16.7543</v>
      </c>
      <c r="K72" s="6">
        <v>1.9532</v>
      </c>
      <c r="L72" s="6">
        <v>1.2208</v>
      </c>
      <c r="M72" s="6">
        <v>6.7757</v>
      </c>
      <c r="N72" s="6">
        <v>2.1637</v>
      </c>
      <c r="O72" s="6">
        <v>1.564</v>
      </c>
      <c r="P72" s="6">
        <v>6.283591</v>
      </c>
      <c r="Q72" s="6">
        <v>10.2929</v>
      </c>
      <c r="R72" s="6">
        <v>9.668091</v>
      </c>
      <c r="S72" s="6">
        <v>17.3704</v>
      </c>
      <c r="T72" s="6">
        <v>26.422391</v>
      </c>
      <c r="XDP72" s="3"/>
      <c r="XDQ72" s="3"/>
      <c r="XDR72" s="3"/>
      <c r="XDS72" s="3"/>
      <c r="XDT72" s="3"/>
      <c r="XDU72" s="3"/>
      <c r="XDV72" s="3"/>
      <c r="XDW72" s="3"/>
    </row>
    <row r="73" s="1" customFormat="1" spans="1:16351">
      <c r="A73" s="7" t="s">
        <v>27</v>
      </c>
      <c r="B73" s="7" t="s">
        <v>27</v>
      </c>
      <c r="C73" s="8" t="s">
        <v>170</v>
      </c>
      <c r="D73" s="8" t="s">
        <v>60</v>
      </c>
      <c r="E73" s="8" t="s">
        <v>55</v>
      </c>
      <c r="F73" s="8" t="s">
        <v>163</v>
      </c>
      <c r="G73" s="8" t="s">
        <v>164</v>
      </c>
      <c r="H73" s="9">
        <v>80</v>
      </c>
      <c r="I73" s="6">
        <v>16</v>
      </c>
      <c r="J73" s="6">
        <v>21</v>
      </c>
      <c r="K73" s="6">
        <v>0</v>
      </c>
      <c r="L73" s="6">
        <v>3</v>
      </c>
      <c r="M73" s="6">
        <v>7</v>
      </c>
      <c r="N73" s="6">
        <v>8</v>
      </c>
      <c r="O73" s="6">
        <v>8</v>
      </c>
      <c r="P73" s="6">
        <v>8</v>
      </c>
      <c r="Q73" s="6">
        <v>15</v>
      </c>
      <c r="R73" s="6">
        <v>19</v>
      </c>
      <c r="S73" s="6">
        <v>31</v>
      </c>
      <c r="T73" s="6">
        <v>40</v>
      </c>
      <c r="XDP73" s="3"/>
      <c r="XDQ73" s="3"/>
      <c r="XDR73" s="3"/>
      <c r="XDS73" s="3"/>
      <c r="XDT73" s="3"/>
      <c r="XDU73" s="3"/>
      <c r="XDV73" s="3"/>
      <c r="XDW73" s="3"/>
    </row>
    <row r="74" s="1" customFormat="1" spans="1:16351">
      <c r="A74" s="7" t="s">
        <v>27</v>
      </c>
      <c r="B74" s="7" t="s">
        <v>27</v>
      </c>
      <c r="C74" s="8" t="s">
        <v>171</v>
      </c>
      <c r="D74" s="8" t="s">
        <v>64</v>
      </c>
      <c r="E74" s="8" t="s">
        <v>64</v>
      </c>
      <c r="F74" s="8" t="s">
        <v>172</v>
      </c>
      <c r="G74" s="10" t="s">
        <v>173</v>
      </c>
      <c r="H74" s="9">
        <v>200</v>
      </c>
      <c r="I74" s="6">
        <v>23.9067</v>
      </c>
      <c r="J74" s="6">
        <v>4.915654</v>
      </c>
      <c r="K74" s="6">
        <v>6.0312</v>
      </c>
      <c r="L74" s="6">
        <v>3.2656</v>
      </c>
      <c r="M74" s="6">
        <v>4.9398</v>
      </c>
      <c r="N74" s="6">
        <v>10.562</v>
      </c>
      <c r="O74" s="6">
        <v>9.1407</v>
      </c>
      <c r="P74" s="6">
        <v>2.8646</v>
      </c>
      <c r="Q74" s="6">
        <v>20.1117</v>
      </c>
      <c r="R74" s="6">
        <v>16.6922</v>
      </c>
      <c r="S74" s="6">
        <v>44.0184</v>
      </c>
      <c r="T74" s="6">
        <v>21.607854</v>
      </c>
      <c r="XDP74" s="3"/>
      <c r="XDQ74" s="3"/>
      <c r="XDR74" s="3"/>
      <c r="XDS74" s="3"/>
      <c r="XDT74" s="3"/>
      <c r="XDU74" s="3"/>
      <c r="XDV74" s="3"/>
      <c r="XDW74" s="3"/>
    </row>
    <row r="75" s="1" customFormat="1" spans="1:16351">
      <c r="A75" s="7" t="s">
        <v>27</v>
      </c>
      <c r="B75" s="7" t="s">
        <v>27</v>
      </c>
      <c r="C75" s="8" t="s">
        <v>174</v>
      </c>
      <c r="D75" s="8" t="s">
        <v>83</v>
      </c>
      <c r="E75" s="8" t="s">
        <v>83</v>
      </c>
      <c r="F75" s="8" t="s">
        <v>167</v>
      </c>
      <c r="G75" s="8" t="s">
        <v>169</v>
      </c>
      <c r="H75" s="9">
        <v>130</v>
      </c>
      <c r="I75" s="6">
        <v>20.3421</v>
      </c>
      <c r="J75" s="6">
        <v>24.44855</v>
      </c>
      <c r="K75" s="6">
        <v>8.2245</v>
      </c>
      <c r="L75" s="6">
        <v>10.81268</v>
      </c>
      <c r="M75" s="6">
        <v>7.8688</v>
      </c>
      <c r="N75" s="6">
        <v>6.203</v>
      </c>
      <c r="O75" s="6">
        <v>10.2296</v>
      </c>
      <c r="P75" s="6">
        <v>13.65038</v>
      </c>
      <c r="Q75" s="6">
        <v>26.3229</v>
      </c>
      <c r="R75" s="6">
        <v>30.66606</v>
      </c>
      <c r="S75" s="6">
        <v>46.665</v>
      </c>
      <c r="T75" s="6">
        <v>55.11461</v>
      </c>
      <c r="XDP75" s="3"/>
      <c r="XDQ75" s="3"/>
      <c r="XDR75" s="3"/>
      <c r="XDS75" s="3"/>
      <c r="XDT75" s="3"/>
      <c r="XDU75" s="3"/>
      <c r="XDV75" s="3"/>
      <c r="XDW75" s="3"/>
    </row>
    <row r="76" s="1" customFormat="1" spans="1:16351">
      <c r="A76" s="7" t="s">
        <v>27</v>
      </c>
      <c r="B76" s="7" t="s">
        <v>27</v>
      </c>
      <c r="C76" s="8" t="s">
        <v>175</v>
      </c>
      <c r="D76" s="8" t="s">
        <v>83</v>
      </c>
      <c r="E76" s="8" t="s">
        <v>83</v>
      </c>
      <c r="F76" s="8" t="s">
        <v>176</v>
      </c>
      <c r="G76" s="8" t="s">
        <v>164</v>
      </c>
      <c r="H76" s="9">
        <v>65</v>
      </c>
      <c r="I76" s="6">
        <v>11.636408</v>
      </c>
      <c r="J76" s="6">
        <v>8.75005</v>
      </c>
      <c r="K76" s="6">
        <v>3.7938</v>
      </c>
      <c r="L76" s="6">
        <v>3.144</v>
      </c>
      <c r="M76" s="6">
        <v>3.99</v>
      </c>
      <c r="N76" s="6">
        <v>1.0279</v>
      </c>
      <c r="O76" s="6">
        <v>4.746</v>
      </c>
      <c r="P76" s="6">
        <v>5.296</v>
      </c>
      <c r="Q76" s="6">
        <v>12.5298</v>
      </c>
      <c r="R76" s="6">
        <v>9.4679</v>
      </c>
      <c r="S76" s="6">
        <v>24.166208</v>
      </c>
      <c r="T76" s="6">
        <v>18.21795</v>
      </c>
      <c r="XDP76" s="3"/>
      <c r="XDQ76" s="3"/>
      <c r="XDR76" s="3"/>
      <c r="XDS76" s="3"/>
      <c r="XDT76" s="3"/>
      <c r="XDU76" s="3"/>
      <c r="XDV76" s="3"/>
      <c r="XDW76" s="3"/>
    </row>
    <row r="77" s="1" customFormat="1" spans="1:16351">
      <c r="A77" s="7" t="s">
        <v>27</v>
      </c>
      <c r="B77" s="7" t="s">
        <v>27</v>
      </c>
      <c r="C77" s="8" t="s">
        <v>177</v>
      </c>
      <c r="D77" s="8" t="s">
        <v>83</v>
      </c>
      <c r="E77" s="8" t="s">
        <v>83</v>
      </c>
      <c r="F77" s="8" t="s">
        <v>167</v>
      </c>
      <c r="G77" s="8" t="s">
        <v>169</v>
      </c>
      <c r="H77" s="9">
        <v>60</v>
      </c>
      <c r="I77" s="6">
        <v>9.1045</v>
      </c>
      <c r="J77" s="6">
        <v>8.396</v>
      </c>
      <c r="K77" s="6">
        <v>0.4856</v>
      </c>
      <c r="L77" s="6">
        <v>4.0483</v>
      </c>
      <c r="M77" s="6">
        <v>3.3328</v>
      </c>
      <c r="N77" s="6">
        <v>1.5635</v>
      </c>
      <c r="O77" s="6">
        <v>3.3354</v>
      </c>
      <c r="P77" s="6">
        <v>4.86691</v>
      </c>
      <c r="Q77" s="6">
        <v>7.1538</v>
      </c>
      <c r="R77" s="6">
        <v>10.47871</v>
      </c>
      <c r="S77" s="6">
        <v>16.2583</v>
      </c>
      <c r="T77" s="6">
        <v>18.87471</v>
      </c>
      <c r="XDP77" s="3"/>
      <c r="XDQ77" s="3"/>
      <c r="XDR77" s="3"/>
      <c r="XDS77" s="3"/>
      <c r="XDT77" s="3"/>
      <c r="XDU77" s="3"/>
      <c r="XDV77" s="3"/>
      <c r="XDW77" s="3"/>
    </row>
    <row r="78" s="1" customFormat="1" spans="1:16351">
      <c r="A78" s="7" t="s">
        <v>27</v>
      </c>
      <c r="B78" s="7" t="s">
        <v>27</v>
      </c>
      <c r="C78" s="8" t="s">
        <v>178</v>
      </c>
      <c r="D78" s="8" t="s">
        <v>83</v>
      </c>
      <c r="E78" s="8" t="s">
        <v>83</v>
      </c>
      <c r="F78" s="8" t="s">
        <v>176</v>
      </c>
      <c r="G78" s="8" t="s">
        <v>164</v>
      </c>
      <c r="H78" s="9">
        <v>100</v>
      </c>
      <c r="I78" s="6">
        <v>17.0353</v>
      </c>
      <c r="J78" s="6">
        <v>7.4247</v>
      </c>
      <c r="K78" s="6">
        <v>9.4183</v>
      </c>
      <c r="L78" s="6">
        <v>5.4727</v>
      </c>
      <c r="M78" s="6">
        <v>7.6709</v>
      </c>
      <c r="N78" s="6">
        <v>5.7103</v>
      </c>
      <c r="O78" s="6">
        <v>4.078</v>
      </c>
      <c r="P78" s="6">
        <v>11.4665</v>
      </c>
      <c r="Q78" s="6">
        <v>21.1672</v>
      </c>
      <c r="R78" s="6">
        <v>22.6495</v>
      </c>
      <c r="S78" s="6">
        <v>38.2025</v>
      </c>
      <c r="T78" s="6">
        <v>30.0742</v>
      </c>
      <c r="XDP78" s="3"/>
      <c r="XDQ78" s="3"/>
      <c r="XDR78" s="3"/>
      <c r="XDS78" s="3"/>
      <c r="XDT78" s="3"/>
      <c r="XDU78" s="3"/>
      <c r="XDV78" s="3"/>
      <c r="XDW78" s="3"/>
    </row>
    <row r="79" s="1" customFormat="1" spans="1:16351">
      <c r="A79" s="7" t="s">
        <v>27</v>
      </c>
      <c r="B79" s="7" t="s">
        <v>27</v>
      </c>
      <c r="C79" s="8" t="s">
        <v>179</v>
      </c>
      <c r="D79" s="8" t="s">
        <v>83</v>
      </c>
      <c r="E79" s="8" t="s">
        <v>83</v>
      </c>
      <c r="F79" s="283" t="s">
        <v>180</v>
      </c>
      <c r="G79" s="10" t="s">
        <v>173</v>
      </c>
      <c r="H79" s="9">
        <v>60</v>
      </c>
      <c r="I79" s="6">
        <v>11.0754</v>
      </c>
      <c r="J79" s="6">
        <v>5.0776</v>
      </c>
      <c r="K79" s="6">
        <v>5.1905</v>
      </c>
      <c r="L79" s="6">
        <v>2.8765</v>
      </c>
      <c r="M79" s="6">
        <v>3.3354</v>
      </c>
      <c r="N79" s="6">
        <v>2.8316</v>
      </c>
      <c r="O79" s="6">
        <v>3.5992</v>
      </c>
      <c r="P79" s="6">
        <v>4.6365</v>
      </c>
      <c r="Q79" s="6">
        <v>12.1251</v>
      </c>
      <c r="R79" s="6">
        <v>10.3446</v>
      </c>
      <c r="S79" s="6">
        <v>23.2005</v>
      </c>
      <c r="T79" s="6">
        <v>15.4222</v>
      </c>
      <c r="XDP79" s="3"/>
      <c r="XDQ79" s="3"/>
      <c r="XDR79" s="3"/>
      <c r="XDS79" s="3"/>
      <c r="XDT79" s="3"/>
      <c r="XDU79" s="3"/>
      <c r="XDV79" s="3"/>
      <c r="XDW79" s="3"/>
    </row>
    <row r="80" s="1" customFormat="1" spans="1:16351">
      <c r="A80" s="7" t="s">
        <v>27</v>
      </c>
      <c r="B80" s="7" t="s">
        <v>27</v>
      </c>
      <c r="C80" s="8" t="s">
        <v>181</v>
      </c>
      <c r="D80" s="8" t="s">
        <v>64</v>
      </c>
      <c r="E80" s="8" t="s">
        <v>64</v>
      </c>
      <c r="F80" s="283" t="s">
        <v>182</v>
      </c>
      <c r="G80" s="10" t="s">
        <v>173</v>
      </c>
      <c r="H80" s="9">
        <v>100</v>
      </c>
      <c r="I80" s="6">
        <v>4</v>
      </c>
      <c r="J80" s="6">
        <v>0.0003</v>
      </c>
      <c r="K80" s="6">
        <v>0</v>
      </c>
      <c r="L80" s="6">
        <v>0</v>
      </c>
      <c r="M80" s="6">
        <v>8</v>
      </c>
      <c r="N80" s="6">
        <v>1.33</v>
      </c>
      <c r="O80" s="6">
        <v>0</v>
      </c>
      <c r="P80" s="6">
        <v>6.3499</v>
      </c>
      <c r="Q80" s="6">
        <v>8</v>
      </c>
      <c r="R80" s="6">
        <v>7.6799</v>
      </c>
      <c r="S80" s="6">
        <v>12</v>
      </c>
      <c r="T80" s="6">
        <v>7.6802</v>
      </c>
      <c r="XDP80" s="3"/>
      <c r="XDQ80" s="3"/>
      <c r="XDR80" s="3"/>
      <c r="XDS80" s="3"/>
      <c r="XDT80" s="3"/>
      <c r="XDU80" s="3"/>
      <c r="XDV80" s="3"/>
      <c r="XDW80" s="3"/>
    </row>
    <row r="81" s="1" customFormat="1" spans="1:16351">
      <c r="A81" s="7" t="s">
        <v>27</v>
      </c>
      <c r="B81" s="7" t="s">
        <v>27</v>
      </c>
      <c r="C81" s="8" t="s">
        <v>183</v>
      </c>
      <c r="D81" s="8" t="s">
        <v>60</v>
      </c>
      <c r="E81" s="8" t="s">
        <v>60</v>
      </c>
      <c r="F81" s="8" t="s">
        <v>176</v>
      </c>
      <c r="G81" s="8" t="s">
        <v>164</v>
      </c>
      <c r="H81" s="9">
        <v>6</v>
      </c>
      <c r="I81" s="6">
        <v>0</v>
      </c>
      <c r="J81" s="6">
        <v>0.333</v>
      </c>
      <c r="K81" s="6">
        <v>0</v>
      </c>
      <c r="L81" s="6">
        <v>0.4094</v>
      </c>
      <c r="M81" s="6">
        <v>0</v>
      </c>
      <c r="N81" s="6">
        <v>0</v>
      </c>
      <c r="O81" s="6">
        <v>0</v>
      </c>
      <c r="P81" s="6">
        <v>1.7396</v>
      </c>
      <c r="Q81" s="6">
        <v>0</v>
      </c>
      <c r="R81" s="6">
        <v>2.149</v>
      </c>
      <c r="S81" s="6">
        <v>0</v>
      </c>
      <c r="T81" s="6">
        <v>2.482</v>
      </c>
      <c r="XDP81" s="3"/>
      <c r="XDQ81" s="3"/>
      <c r="XDR81" s="3"/>
      <c r="XDS81" s="3"/>
      <c r="XDT81" s="3"/>
      <c r="XDU81" s="3"/>
      <c r="XDV81" s="3"/>
      <c r="XDW81" s="3"/>
    </row>
    <row r="82" s="1" customFormat="1" spans="1:16351">
      <c r="A82" s="7" t="s">
        <v>27</v>
      </c>
      <c r="B82" s="7" t="s">
        <v>27</v>
      </c>
      <c r="C82" s="8" t="s">
        <v>184</v>
      </c>
      <c r="D82" s="8" t="s">
        <v>60</v>
      </c>
      <c r="E82" s="8" t="s">
        <v>60</v>
      </c>
      <c r="F82" s="8" t="s">
        <v>167</v>
      </c>
      <c r="G82" s="8" t="s">
        <v>169</v>
      </c>
      <c r="H82" s="9">
        <v>3.2038</v>
      </c>
      <c r="I82" s="6">
        <v>0</v>
      </c>
      <c r="J82" s="6">
        <v>0.3778</v>
      </c>
      <c r="K82" s="6">
        <v>0</v>
      </c>
      <c r="L82" s="6">
        <v>0</v>
      </c>
      <c r="M82" s="6">
        <v>0.2594</v>
      </c>
      <c r="N82" s="6">
        <v>0</v>
      </c>
      <c r="O82" s="6">
        <v>0</v>
      </c>
      <c r="P82" s="6">
        <v>0</v>
      </c>
      <c r="Q82" s="6">
        <v>0.2594</v>
      </c>
      <c r="R82" s="6">
        <v>0</v>
      </c>
      <c r="S82" s="6">
        <v>0.2594</v>
      </c>
      <c r="T82" s="6">
        <v>0.3778</v>
      </c>
      <c r="XDP82" s="3"/>
      <c r="XDQ82" s="3"/>
      <c r="XDR82" s="3"/>
      <c r="XDS82" s="3"/>
      <c r="XDT82" s="3"/>
      <c r="XDU82" s="3"/>
      <c r="XDV82" s="3"/>
      <c r="XDW82" s="3"/>
    </row>
    <row r="83" s="1" customFormat="1" spans="1:16351">
      <c r="A83" s="7" t="s">
        <v>27</v>
      </c>
      <c r="B83" s="7" t="s">
        <v>27</v>
      </c>
      <c r="C83" s="8" t="s">
        <v>186</v>
      </c>
      <c r="D83" s="8" t="s">
        <v>60</v>
      </c>
      <c r="E83" s="8" t="s">
        <v>60</v>
      </c>
      <c r="F83" s="8" t="s">
        <v>167</v>
      </c>
      <c r="G83" s="8" t="s">
        <v>169</v>
      </c>
      <c r="H83" s="9"/>
      <c r="I83" s="6">
        <v>0.6012</v>
      </c>
      <c r="J83" s="6">
        <v>0.4898</v>
      </c>
      <c r="K83" s="6">
        <v>0</v>
      </c>
      <c r="L83" s="6">
        <v>0</v>
      </c>
      <c r="M83" s="6">
        <v>0.3076</v>
      </c>
      <c r="N83" s="6">
        <v>0</v>
      </c>
      <c r="O83" s="6">
        <v>0.3076</v>
      </c>
      <c r="P83" s="6">
        <v>0</v>
      </c>
      <c r="Q83" s="6">
        <v>0.6152</v>
      </c>
      <c r="R83" s="6">
        <v>0</v>
      </c>
      <c r="S83" s="6">
        <v>1.2164</v>
      </c>
      <c r="T83" s="6">
        <v>0.4898</v>
      </c>
      <c r="XDP83" s="3"/>
      <c r="XDQ83" s="3"/>
      <c r="XDR83" s="3"/>
      <c r="XDS83" s="3"/>
      <c r="XDT83" s="3"/>
      <c r="XDU83" s="3"/>
      <c r="XDV83" s="3"/>
      <c r="XDW83" s="3"/>
    </row>
    <row r="84" s="1" customFormat="1" spans="1:16351">
      <c r="A84" s="7" t="s">
        <v>27</v>
      </c>
      <c r="B84" s="7" t="s">
        <v>27</v>
      </c>
      <c r="C84" s="8" t="s">
        <v>187</v>
      </c>
      <c r="D84" s="8" t="s">
        <v>87</v>
      </c>
      <c r="E84" s="8" t="s">
        <v>87</v>
      </c>
      <c r="F84" s="8" t="s">
        <v>167</v>
      </c>
      <c r="G84" s="8" t="s">
        <v>87</v>
      </c>
      <c r="H84" s="9"/>
      <c r="I84" s="6">
        <v>11.15947</v>
      </c>
      <c r="J84" s="6">
        <v>9.136842</v>
      </c>
      <c r="K84" s="6">
        <v>7.58984</v>
      </c>
      <c r="L84" s="6">
        <v>1.849296</v>
      </c>
      <c r="M84" s="6">
        <v>1.595</v>
      </c>
      <c r="N84" s="6">
        <v>9.85163</v>
      </c>
      <c r="O84" s="6">
        <v>2.42451</v>
      </c>
      <c r="P84" s="6">
        <v>8.26732</v>
      </c>
      <c r="Q84" s="6">
        <v>11.60935</v>
      </c>
      <c r="R84" s="6">
        <v>19.968246</v>
      </c>
      <c r="S84" s="6">
        <v>22.76882</v>
      </c>
      <c r="T84" s="6">
        <v>29.105088</v>
      </c>
      <c r="XDP84" s="3"/>
      <c r="XDQ84" s="3"/>
      <c r="XDR84" s="3"/>
      <c r="XDS84" s="3"/>
      <c r="XDT84" s="3"/>
      <c r="XDU84" s="3"/>
      <c r="XDV84" s="3"/>
      <c r="XDW84" s="3"/>
    </row>
    <row r="85" s="1" customFormat="1" spans="1:16351">
      <c r="A85" s="7" t="s">
        <v>27</v>
      </c>
      <c r="B85" s="7" t="s">
        <v>27</v>
      </c>
      <c r="C85" s="8" t="s">
        <v>188</v>
      </c>
      <c r="D85" s="8" t="s">
        <v>60</v>
      </c>
      <c r="E85" s="8" t="s">
        <v>60</v>
      </c>
      <c r="F85" s="283" t="s">
        <v>180</v>
      </c>
      <c r="G85" s="10" t="s">
        <v>173</v>
      </c>
      <c r="H85" s="9">
        <v>3</v>
      </c>
      <c r="I85" s="6">
        <v>0</v>
      </c>
      <c r="J85" s="6">
        <v>0</v>
      </c>
      <c r="K85" s="6">
        <v>0</v>
      </c>
      <c r="L85" s="6">
        <v>0</v>
      </c>
      <c r="M85" s="6">
        <v>1.2524</v>
      </c>
      <c r="N85" s="6">
        <v>0</v>
      </c>
      <c r="O85" s="6">
        <v>0</v>
      </c>
      <c r="P85" s="6">
        <v>0</v>
      </c>
      <c r="Q85" s="6">
        <v>1.2524</v>
      </c>
      <c r="R85" s="6">
        <v>0</v>
      </c>
      <c r="S85" s="6">
        <v>1.2524</v>
      </c>
      <c r="T85" s="6">
        <v>0</v>
      </c>
      <c r="XDP85" s="3"/>
      <c r="XDQ85" s="3"/>
      <c r="XDR85" s="3"/>
      <c r="XDS85" s="3"/>
      <c r="XDT85" s="3"/>
      <c r="XDU85" s="3"/>
      <c r="XDV85" s="3"/>
      <c r="XDW85" s="3"/>
    </row>
    <row r="86" s="1" customFormat="1" spans="1:16351">
      <c r="A86" s="7" t="s">
        <v>27</v>
      </c>
      <c r="B86" s="7" t="s">
        <v>27</v>
      </c>
      <c r="C86" s="8" t="s">
        <v>189</v>
      </c>
      <c r="D86" s="8" t="s">
        <v>60</v>
      </c>
      <c r="E86" s="8" t="s">
        <v>60</v>
      </c>
      <c r="F86" s="8" t="s">
        <v>176</v>
      </c>
      <c r="G86" s="8" t="s">
        <v>164</v>
      </c>
      <c r="H86" s="9">
        <v>1</v>
      </c>
      <c r="I86" s="6">
        <v>0</v>
      </c>
      <c r="J86" s="6">
        <v>1.6948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1.6948</v>
      </c>
      <c r="XDP86" s="3"/>
      <c r="XDQ86" s="3"/>
      <c r="XDR86" s="3"/>
      <c r="XDS86" s="3"/>
      <c r="XDT86" s="3"/>
      <c r="XDU86" s="3"/>
      <c r="XDV86" s="3"/>
      <c r="XDW86" s="3"/>
    </row>
    <row r="87" s="1" customFormat="1" spans="1:16351">
      <c r="A87" s="7" t="s">
        <v>27</v>
      </c>
      <c r="B87" s="7" t="s">
        <v>27</v>
      </c>
      <c r="C87" s="8" t="s">
        <v>190</v>
      </c>
      <c r="D87" s="8" t="s">
        <v>101</v>
      </c>
      <c r="E87" s="8" t="s">
        <v>101</v>
      </c>
      <c r="F87" s="8" t="s">
        <v>167</v>
      </c>
      <c r="G87" s="8" t="s">
        <v>169</v>
      </c>
      <c r="H87" s="9"/>
      <c r="I87" s="6">
        <v>1.8329</v>
      </c>
      <c r="J87" s="6">
        <v>0</v>
      </c>
      <c r="K87" s="6">
        <v>0</v>
      </c>
      <c r="L87" s="6">
        <v>0</v>
      </c>
      <c r="M87" s="6">
        <v>0</v>
      </c>
      <c r="N87" s="6">
        <v>0.7953</v>
      </c>
      <c r="O87" s="6">
        <v>0</v>
      </c>
      <c r="P87" s="6">
        <v>0</v>
      </c>
      <c r="Q87" s="6">
        <v>0</v>
      </c>
      <c r="R87" s="6">
        <v>0.7953</v>
      </c>
      <c r="S87" s="6">
        <v>1.8329</v>
      </c>
      <c r="T87" s="6">
        <v>0.7953</v>
      </c>
      <c r="XDP87" s="3"/>
      <c r="XDQ87" s="3"/>
      <c r="XDR87" s="3"/>
      <c r="XDS87" s="3"/>
      <c r="XDT87" s="3"/>
      <c r="XDU87" s="3"/>
      <c r="XDV87" s="3"/>
      <c r="XDW87" s="3"/>
    </row>
    <row r="88" s="1" customFormat="1" spans="1:16351">
      <c r="A88" s="7" t="s">
        <v>27</v>
      </c>
      <c r="B88" s="7" t="s">
        <v>27</v>
      </c>
      <c r="C88" s="8" t="s">
        <v>191</v>
      </c>
      <c r="D88" s="8" t="s">
        <v>101</v>
      </c>
      <c r="E88" s="8" t="s">
        <v>101</v>
      </c>
      <c r="F88" s="8" t="s">
        <v>167</v>
      </c>
      <c r="G88" s="8" t="s">
        <v>169</v>
      </c>
      <c r="H88" s="9">
        <v>20</v>
      </c>
      <c r="I88" s="6">
        <v>12.446</v>
      </c>
      <c r="J88" s="6">
        <v>3.81329</v>
      </c>
      <c r="K88" s="6">
        <v>2.9545</v>
      </c>
      <c r="L88" s="6">
        <v>1.202</v>
      </c>
      <c r="M88" s="6">
        <v>2.48195</v>
      </c>
      <c r="N88" s="6">
        <v>5.08305</v>
      </c>
      <c r="O88" s="6">
        <v>9.64705</v>
      </c>
      <c r="P88" s="6">
        <v>3.80013</v>
      </c>
      <c r="Q88" s="6">
        <v>15.0835</v>
      </c>
      <c r="R88" s="6">
        <v>10.08518</v>
      </c>
      <c r="S88" s="6">
        <v>27.5295</v>
      </c>
      <c r="T88" s="6">
        <v>13.89847</v>
      </c>
      <c r="XDP88" s="3"/>
      <c r="XDQ88" s="3"/>
      <c r="XDR88" s="3"/>
      <c r="XDS88" s="3"/>
      <c r="XDT88" s="3"/>
      <c r="XDU88" s="3"/>
      <c r="XDV88" s="3"/>
      <c r="XDW88" s="3"/>
    </row>
    <row r="89" s="1" customFormat="1" spans="1:16351">
      <c r="A89" s="7" t="s">
        <v>27</v>
      </c>
      <c r="B89" s="7" t="s">
        <v>27</v>
      </c>
      <c r="C89" s="8" t="s">
        <v>192</v>
      </c>
      <c r="D89" s="8" t="s">
        <v>101</v>
      </c>
      <c r="E89" s="8" t="s">
        <v>101</v>
      </c>
      <c r="F89" s="283" t="s">
        <v>182</v>
      </c>
      <c r="G89" s="10" t="s">
        <v>173</v>
      </c>
      <c r="H89" s="9">
        <v>10</v>
      </c>
      <c r="I89" s="6">
        <v>2.1714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2.1714</v>
      </c>
      <c r="T89" s="6">
        <v>0</v>
      </c>
      <c r="XDP89" s="3"/>
      <c r="XDQ89" s="3"/>
      <c r="XDR89" s="3"/>
      <c r="XDS89" s="3"/>
      <c r="XDT89" s="3"/>
      <c r="XDU89" s="3"/>
      <c r="XDV89" s="3"/>
      <c r="XDW89" s="3"/>
    </row>
    <row r="90" s="1" customFormat="1" spans="1:16351">
      <c r="A90" s="7" t="s">
        <v>27</v>
      </c>
      <c r="B90" s="7" t="s">
        <v>27</v>
      </c>
      <c r="C90" s="8" t="s">
        <v>193</v>
      </c>
      <c r="D90" s="8" t="s">
        <v>60</v>
      </c>
      <c r="E90" s="8" t="s">
        <v>60</v>
      </c>
      <c r="F90" s="8" t="s">
        <v>163</v>
      </c>
      <c r="G90" s="8" t="s">
        <v>164</v>
      </c>
      <c r="H90" s="9"/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XDP90" s="3"/>
      <c r="XDQ90" s="3"/>
      <c r="XDR90" s="3"/>
      <c r="XDS90" s="3"/>
      <c r="XDT90" s="3"/>
      <c r="XDU90" s="3"/>
      <c r="XDV90" s="3"/>
      <c r="XDW90" s="3"/>
    </row>
    <row r="91" s="1" customFormat="1" spans="1:16351">
      <c r="A91" s="7" t="s">
        <v>27</v>
      </c>
      <c r="B91" s="7" t="s">
        <v>27</v>
      </c>
      <c r="C91" s="8" t="s">
        <v>194</v>
      </c>
      <c r="D91" s="8" t="s">
        <v>60</v>
      </c>
      <c r="E91" s="8" t="s">
        <v>60</v>
      </c>
      <c r="F91" s="8" t="s">
        <v>176</v>
      </c>
      <c r="G91" s="8" t="s">
        <v>164</v>
      </c>
      <c r="H91" s="9">
        <v>10</v>
      </c>
      <c r="I91" s="6">
        <v>2.9432</v>
      </c>
      <c r="J91" s="6">
        <v>1.328</v>
      </c>
      <c r="K91" s="6">
        <v>3.1886</v>
      </c>
      <c r="L91" s="6">
        <v>0.6935</v>
      </c>
      <c r="M91" s="6">
        <v>0.176</v>
      </c>
      <c r="N91" s="6">
        <v>0.2212</v>
      </c>
      <c r="O91" s="6">
        <v>0.2992</v>
      </c>
      <c r="P91" s="6">
        <v>0</v>
      </c>
      <c r="Q91" s="6">
        <v>3.6638</v>
      </c>
      <c r="R91" s="6">
        <v>0.9147</v>
      </c>
      <c r="S91" s="6">
        <v>6.607</v>
      </c>
      <c r="T91" s="6">
        <v>2.2427</v>
      </c>
      <c r="XDP91" s="3"/>
      <c r="XDQ91" s="3"/>
      <c r="XDR91" s="3"/>
      <c r="XDS91" s="3"/>
      <c r="XDT91" s="3"/>
      <c r="XDU91" s="3"/>
      <c r="XDV91" s="3"/>
      <c r="XDW91" s="3"/>
    </row>
    <row r="92" s="1" customFormat="1" spans="1:16351">
      <c r="A92" s="7" t="s">
        <v>27</v>
      </c>
      <c r="B92" s="7" t="s">
        <v>27</v>
      </c>
      <c r="C92" s="8" t="s">
        <v>195</v>
      </c>
      <c r="D92" s="8" t="s">
        <v>60</v>
      </c>
      <c r="E92" s="8" t="s">
        <v>55</v>
      </c>
      <c r="F92" s="8" t="s">
        <v>176</v>
      </c>
      <c r="G92" s="8" t="s">
        <v>164</v>
      </c>
      <c r="H92" s="9"/>
      <c r="I92" s="6">
        <v>14</v>
      </c>
      <c r="J92" s="6">
        <v>36.97</v>
      </c>
      <c r="K92" s="6">
        <v>17</v>
      </c>
      <c r="L92" s="6">
        <v>8</v>
      </c>
      <c r="M92" s="6">
        <v>6</v>
      </c>
      <c r="N92" s="6">
        <v>6</v>
      </c>
      <c r="O92" s="6">
        <v>14</v>
      </c>
      <c r="P92" s="6">
        <v>11</v>
      </c>
      <c r="Q92" s="6">
        <v>37</v>
      </c>
      <c r="R92" s="6">
        <v>25</v>
      </c>
      <c r="S92" s="6">
        <v>51</v>
      </c>
      <c r="T92" s="6">
        <v>61.97</v>
      </c>
      <c r="XDP92" s="3"/>
      <c r="XDQ92" s="3"/>
      <c r="XDR92" s="3"/>
      <c r="XDS92" s="3"/>
      <c r="XDT92" s="3"/>
      <c r="XDU92" s="3"/>
      <c r="XDV92" s="3"/>
      <c r="XDW92" s="3"/>
    </row>
    <row r="93" s="1" customFormat="1" spans="1:16351">
      <c r="A93" s="7" t="s">
        <v>27</v>
      </c>
      <c r="B93" s="7" t="s">
        <v>27</v>
      </c>
      <c r="C93" s="8" t="s">
        <v>196</v>
      </c>
      <c r="D93" s="8" t="s">
        <v>60</v>
      </c>
      <c r="E93" s="8" t="s">
        <v>60</v>
      </c>
      <c r="F93" s="8" t="s">
        <v>176</v>
      </c>
      <c r="G93" s="8" t="s">
        <v>164</v>
      </c>
      <c r="H93" s="9">
        <v>0</v>
      </c>
      <c r="I93" s="6">
        <v>1.9497</v>
      </c>
      <c r="J93" s="6">
        <v>0</v>
      </c>
      <c r="K93" s="6">
        <v>0.3765</v>
      </c>
      <c r="L93" s="6">
        <v>0</v>
      </c>
      <c r="M93" s="6">
        <v>0.1887</v>
      </c>
      <c r="N93" s="6">
        <v>0</v>
      </c>
      <c r="O93" s="6">
        <v>0</v>
      </c>
      <c r="P93" s="6">
        <v>0</v>
      </c>
      <c r="Q93" s="6">
        <v>0.5652</v>
      </c>
      <c r="R93" s="6">
        <v>0</v>
      </c>
      <c r="S93" s="6">
        <v>2.5149</v>
      </c>
      <c r="T93" s="6">
        <v>0</v>
      </c>
      <c r="XDP93" s="3"/>
      <c r="XDQ93" s="3"/>
      <c r="XDR93" s="3"/>
      <c r="XDS93" s="3"/>
      <c r="XDT93" s="3"/>
      <c r="XDU93" s="3"/>
      <c r="XDV93" s="3"/>
      <c r="XDW93" s="3"/>
    </row>
    <row r="94" s="1" customFormat="1" spans="1:16351">
      <c r="A94" s="7" t="s">
        <v>27</v>
      </c>
      <c r="B94" s="7" t="s">
        <v>27</v>
      </c>
      <c r="C94" s="8" t="s">
        <v>197</v>
      </c>
      <c r="D94" s="8" t="s">
        <v>101</v>
      </c>
      <c r="E94" s="8" t="s">
        <v>101</v>
      </c>
      <c r="F94" s="8" t="s">
        <v>163</v>
      </c>
      <c r="G94" s="8" t="s">
        <v>164</v>
      </c>
      <c r="H94" s="9">
        <v>4.8748</v>
      </c>
      <c r="I94" s="6">
        <v>1.0328</v>
      </c>
      <c r="J94" s="6">
        <v>0</v>
      </c>
      <c r="K94" s="6">
        <v>0.9494</v>
      </c>
      <c r="L94" s="6">
        <v>0</v>
      </c>
      <c r="M94" s="6">
        <v>1.0328</v>
      </c>
      <c r="N94" s="6">
        <v>0</v>
      </c>
      <c r="O94" s="6">
        <v>0</v>
      </c>
      <c r="P94" s="6">
        <v>0</v>
      </c>
      <c r="Q94" s="6">
        <v>1.9822</v>
      </c>
      <c r="R94" s="6">
        <v>0</v>
      </c>
      <c r="S94" s="6">
        <v>3.015</v>
      </c>
      <c r="T94" s="6">
        <v>0</v>
      </c>
      <c r="XDP94" s="3"/>
      <c r="XDQ94" s="3"/>
      <c r="XDR94" s="3"/>
      <c r="XDS94" s="3"/>
      <c r="XDT94" s="3"/>
      <c r="XDU94" s="3"/>
      <c r="XDV94" s="3"/>
      <c r="XDW94" s="3"/>
    </row>
    <row r="95" s="1" customFormat="1" spans="1:16351">
      <c r="A95" s="7" t="s">
        <v>27</v>
      </c>
      <c r="B95" s="7" t="s">
        <v>27</v>
      </c>
      <c r="C95" s="8" t="s">
        <v>198</v>
      </c>
      <c r="D95" s="8" t="s">
        <v>60</v>
      </c>
      <c r="E95" s="8" t="s">
        <v>60</v>
      </c>
      <c r="F95" s="8" t="s">
        <v>163</v>
      </c>
      <c r="G95" s="8" t="s">
        <v>164</v>
      </c>
      <c r="H95" s="9">
        <v>3</v>
      </c>
      <c r="I95" s="6">
        <v>0.8707</v>
      </c>
      <c r="J95" s="6">
        <v>0</v>
      </c>
      <c r="K95" s="6">
        <v>0.2224</v>
      </c>
      <c r="L95" s="6">
        <v>0</v>
      </c>
      <c r="M95" s="6">
        <v>0.3539</v>
      </c>
      <c r="N95" s="6">
        <v>0</v>
      </c>
      <c r="O95" s="6">
        <v>0</v>
      </c>
      <c r="P95" s="6">
        <v>0</v>
      </c>
      <c r="Q95" s="6">
        <v>0.5763</v>
      </c>
      <c r="R95" s="6">
        <v>0</v>
      </c>
      <c r="S95" s="6">
        <v>1.447</v>
      </c>
      <c r="T95" s="6">
        <v>0</v>
      </c>
      <c r="XDP95" s="3"/>
      <c r="XDQ95" s="3"/>
      <c r="XDR95" s="3"/>
      <c r="XDS95" s="3"/>
      <c r="XDT95" s="3"/>
      <c r="XDU95" s="3"/>
      <c r="XDV95" s="3"/>
      <c r="XDW95" s="3"/>
    </row>
    <row r="96" s="1" customFormat="1" spans="1:16351">
      <c r="A96" s="7" t="s">
        <v>27</v>
      </c>
      <c r="B96" s="7" t="s">
        <v>27</v>
      </c>
      <c r="C96" s="8" t="s">
        <v>199</v>
      </c>
      <c r="D96" s="8" t="s">
        <v>101</v>
      </c>
      <c r="E96" s="8" t="s">
        <v>101</v>
      </c>
      <c r="F96" s="8" t="s">
        <v>172</v>
      </c>
      <c r="G96" s="10" t="s">
        <v>173</v>
      </c>
      <c r="H96" s="9">
        <v>10</v>
      </c>
      <c r="I96" s="6">
        <v>3.5619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3.5619</v>
      </c>
      <c r="T96" s="6">
        <v>0</v>
      </c>
      <c r="XDP96" s="3"/>
      <c r="XDQ96" s="3"/>
      <c r="XDR96" s="3"/>
      <c r="XDS96" s="3"/>
      <c r="XDT96" s="3"/>
      <c r="XDU96" s="3"/>
      <c r="XDV96" s="3"/>
      <c r="XDW96" s="3"/>
    </row>
    <row r="97" s="1" customFormat="1" spans="1:16351">
      <c r="A97" s="7" t="s">
        <v>27</v>
      </c>
      <c r="B97" s="7" t="s">
        <v>27</v>
      </c>
      <c r="C97" s="11" t="s">
        <v>200</v>
      </c>
      <c r="D97" s="8" t="s">
        <v>101</v>
      </c>
      <c r="E97" s="8" t="s">
        <v>101</v>
      </c>
      <c r="F97" s="8" t="s">
        <v>180</v>
      </c>
      <c r="G97" s="8" t="s">
        <v>169</v>
      </c>
      <c r="H97" s="9">
        <v>30</v>
      </c>
      <c r="I97" s="6">
        <v>3.748</v>
      </c>
      <c r="J97" s="6">
        <v>3.6829</v>
      </c>
      <c r="K97" s="6">
        <v>6.3078</v>
      </c>
      <c r="L97" s="6">
        <v>1.0328</v>
      </c>
      <c r="M97" s="6">
        <v>0.9859</v>
      </c>
      <c r="N97" s="6">
        <v>0.4068</v>
      </c>
      <c r="O97" s="6">
        <v>0.3868</v>
      </c>
      <c r="P97" s="6">
        <v>0</v>
      </c>
      <c r="Q97" s="6">
        <v>7.6805</v>
      </c>
      <c r="R97" s="6">
        <v>1.4396</v>
      </c>
      <c r="S97" s="6">
        <v>11.4285</v>
      </c>
      <c r="T97" s="6">
        <v>5.1225</v>
      </c>
      <c r="XDP97" s="3"/>
      <c r="XDQ97" s="3"/>
      <c r="XDR97" s="3"/>
      <c r="XDS97" s="3"/>
      <c r="XDT97" s="3"/>
      <c r="XDU97" s="3"/>
      <c r="XDV97" s="3"/>
      <c r="XDW97" s="3"/>
    </row>
    <row r="98" s="1" customFormat="1" spans="1:16351">
      <c r="A98" s="7" t="s">
        <v>27</v>
      </c>
      <c r="B98" s="7" t="s">
        <v>27</v>
      </c>
      <c r="C98" s="11" t="s">
        <v>201</v>
      </c>
      <c r="D98" s="8" t="s">
        <v>101</v>
      </c>
      <c r="E98" s="8" t="s">
        <v>101</v>
      </c>
      <c r="F98" s="8" t="s">
        <v>167</v>
      </c>
      <c r="G98" s="8" t="s">
        <v>169</v>
      </c>
      <c r="H98" s="9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XDP98" s="3"/>
      <c r="XDQ98" s="3"/>
      <c r="XDR98" s="3"/>
      <c r="XDS98" s="3"/>
      <c r="XDT98" s="3"/>
      <c r="XDU98" s="3"/>
      <c r="XDV98" s="3"/>
      <c r="XDW98" s="3"/>
    </row>
    <row r="99" s="1" customFormat="1" spans="1:16351">
      <c r="A99" s="7" t="s">
        <v>27</v>
      </c>
      <c r="B99" s="7" t="s">
        <v>27</v>
      </c>
      <c r="C99" s="11" t="s">
        <v>202</v>
      </c>
      <c r="D99" s="8" t="s">
        <v>113</v>
      </c>
      <c r="E99" s="8" t="s">
        <v>113</v>
      </c>
      <c r="F99" s="8" t="s">
        <v>167</v>
      </c>
      <c r="G99" s="8" t="s">
        <v>169</v>
      </c>
      <c r="H99" s="9">
        <v>0</v>
      </c>
      <c r="I99" s="6">
        <v>0.278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0.2594</v>
      </c>
      <c r="P99" s="6">
        <v>0</v>
      </c>
      <c r="Q99" s="6">
        <v>0.2594</v>
      </c>
      <c r="R99" s="6">
        <v>0</v>
      </c>
      <c r="S99" s="6">
        <v>0.5374</v>
      </c>
      <c r="T99" s="6">
        <v>0</v>
      </c>
      <c r="XDP99" s="3"/>
      <c r="XDQ99" s="3"/>
      <c r="XDR99" s="3"/>
      <c r="XDS99" s="3"/>
      <c r="XDT99" s="3"/>
      <c r="XDU99" s="3"/>
      <c r="XDV99" s="3"/>
      <c r="XDW99" s="3"/>
    </row>
    <row r="100" s="1" customFormat="1" spans="1:16351">
      <c r="A100" s="7" t="s">
        <v>27</v>
      </c>
      <c r="B100" s="7" t="s">
        <v>27</v>
      </c>
      <c r="C100" s="11" t="s">
        <v>203</v>
      </c>
      <c r="D100" s="8" t="s">
        <v>101</v>
      </c>
      <c r="E100" s="8" t="s">
        <v>101</v>
      </c>
      <c r="F100" s="283" t="s">
        <v>180</v>
      </c>
      <c r="G100" s="10" t="s">
        <v>173</v>
      </c>
      <c r="H100" s="9">
        <v>10</v>
      </c>
      <c r="I100" s="6">
        <v>1.6642</v>
      </c>
      <c r="J100" s="6">
        <v>0.1857</v>
      </c>
      <c r="K100" s="6">
        <v>1.0388</v>
      </c>
      <c r="L100" s="6">
        <v>0</v>
      </c>
      <c r="M100" s="6">
        <v>0.2624</v>
      </c>
      <c r="N100" s="6">
        <v>0</v>
      </c>
      <c r="O100" s="6">
        <v>0</v>
      </c>
      <c r="P100" s="6">
        <v>0</v>
      </c>
      <c r="Q100" s="6">
        <v>1.3012</v>
      </c>
      <c r="R100" s="6">
        <v>0</v>
      </c>
      <c r="S100" s="6">
        <v>2.9654</v>
      </c>
      <c r="T100" s="6">
        <v>0.1857</v>
      </c>
      <c r="XDP100" s="3"/>
      <c r="XDQ100" s="3"/>
      <c r="XDR100" s="3"/>
      <c r="XDS100" s="3"/>
      <c r="XDT100" s="3"/>
      <c r="XDU100" s="3"/>
      <c r="XDV100" s="3"/>
      <c r="XDW100" s="3"/>
    </row>
    <row r="101" s="1" customFormat="1" spans="1:16351">
      <c r="A101" s="7" t="s">
        <v>27</v>
      </c>
      <c r="B101" s="7" t="s">
        <v>27</v>
      </c>
      <c r="C101" s="11" t="s">
        <v>204</v>
      </c>
      <c r="D101" s="8" t="s">
        <v>60</v>
      </c>
      <c r="E101" s="8" t="s">
        <v>60</v>
      </c>
      <c r="F101" s="8" t="s">
        <v>167</v>
      </c>
      <c r="G101" s="8" t="s">
        <v>169</v>
      </c>
      <c r="H101" s="9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XDP101" s="3"/>
      <c r="XDQ101" s="3"/>
      <c r="XDR101" s="3"/>
      <c r="XDS101" s="3"/>
      <c r="XDT101" s="3"/>
      <c r="XDU101" s="3"/>
      <c r="XDV101" s="3"/>
      <c r="XDW101" s="3"/>
    </row>
    <row r="102" s="1" customFormat="1" spans="1:16351">
      <c r="A102" s="7" t="s">
        <v>27</v>
      </c>
      <c r="B102" s="7" t="s">
        <v>27</v>
      </c>
      <c r="C102" s="11" t="s">
        <v>205</v>
      </c>
      <c r="D102" s="8" t="s">
        <v>113</v>
      </c>
      <c r="E102" s="8" t="s">
        <v>113</v>
      </c>
      <c r="F102" s="8" t="s">
        <v>163</v>
      </c>
      <c r="G102" s="8" t="s">
        <v>164</v>
      </c>
      <c r="H102" s="9">
        <v>10</v>
      </c>
      <c r="I102" s="6">
        <v>0</v>
      </c>
      <c r="J102" s="6">
        <v>-0.408</v>
      </c>
      <c r="K102" s="6">
        <v>0</v>
      </c>
      <c r="L102" s="6">
        <v>0</v>
      </c>
      <c r="M102" s="6">
        <v>0</v>
      </c>
      <c r="N102" s="6">
        <v>-0.072</v>
      </c>
      <c r="O102" s="6">
        <v>0.8991</v>
      </c>
      <c r="P102" s="6">
        <v>0</v>
      </c>
      <c r="Q102" s="6">
        <v>0.8991</v>
      </c>
      <c r="R102" s="6">
        <v>-0.072</v>
      </c>
      <c r="S102" s="6">
        <v>0.8991</v>
      </c>
      <c r="T102" s="6">
        <v>-0.48</v>
      </c>
      <c r="XDP102" s="3"/>
      <c r="XDQ102" s="3"/>
      <c r="XDR102" s="3"/>
      <c r="XDS102" s="3"/>
      <c r="XDT102" s="3"/>
      <c r="XDU102" s="3"/>
      <c r="XDV102" s="3"/>
      <c r="XDW102" s="3"/>
    </row>
    <row r="103" s="1" customFormat="1" spans="1:16351">
      <c r="A103" s="7" t="s">
        <v>27</v>
      </c>
      <c r="B103" s="7" t="s">
        <v>27</v>
      </c>
      <c r="C103" s="11" t="s">
        <v>206</v>
      </c>
      <c r="D103" s="8" t="s">
        <v>60</v>
      </c>
      <c r="E103" s="8" t="s">
        <v>60</v>
      </c>
      <c r="F103" s="8" t="s">
        <v>176</v>
      </c>
      <c r="G103" s="8" t="s">
        <v>164</v>
      </c>
      <c r="H103" s="9">
        <v>0</v>
      </c>
      <c r="I103" s="6">
        <v>10.4292</v>
      </c>
      <c r="J103" s="6">
        <v>0</v>
      </c>
      <c r="K103" s="6">
        <v>0.5831</v>
      </c>
      <c r="L103" s="6">
        <v>0</v>
      </c>
      <c r="M103" s="6">
        <v>0</v>
      </c>
      <c r="N103" s="6">
        <v>0</v>
      </c>
      <c r="O103" s="6">
        <v>0.0605</v>
      </c>
      <c r="P103" s="6">
        <v>0</v>
      </c>
      <c r="Q103" s="6">
        <v>0.6436</v>
      </c>
      <c r="R103" s="6">
        <v>0</v>
      </c>
      <c r="S103" s="6">
        <v>11.0728</v>
      </c>
      <c r="T103" s="6">
        <v>0</v>
      </c>
      <c r="XDP103" s="3"/>
      <c r="XDQ103" s="3"/>
      <c r="XDR103" s="3"/>
      <c r="XDS103" s="3"/>
      <c r="XDT103" s="3"/>
      <c r="XDU103" s="3"/>
      <c r="XDV103" s="3"/>
      <c r="XDW103" s="3"/>
    </row>
    <row r="104" s="1" customFormat="1" spans="1:16351">
      <c r="A104" s="7" t="s">
        <v>27</v>
      </c>
      <c r="B104" s="7" t="s">
        <v>27</v>
      </c>
      <c r="C104" s="11" t="s">
        <v>207</v>
      </c>
      <c r="D104" s="8" t="s">
        <v>101</v>
      </c>
      <c r="E104" s="8" t="s">
        <v>101</v>
      </c>
      <c r="F104" s="8" t="s">
        <v>167</v>
      </c>
      <c r="G104" s="8" t="s">
        <v>169</v>
      </c>
      <c r="H104" s="9">
        <v>0</v>
      </c>
      <c r="I104" s="6">
        <v>0</v>
      </c>
      <c r="J104" s="6">
        <v>0</v>
      </c>
      <c r="K104" s="6">
        <v>0.9523</v>
      </c>
      <c r="L104" s="6">
        <v>0</v>
      </c>
      <c r="M104" s="6">
        <v>0</v>
      </c>
      <c r="N104" s="6">
        <v>0</v>
      </c>
      <c r="O104" s="6">
        <v>1.5368</v>
      </c>
      <c r="P104" s="6">
        <v>0</v>
      </c>
      <c r="Q104" s="6">
        <v>2.4891</v>
      </c>
      <c r="R104" s="6">
        <v>0</v>
      </c>
      <c r="S104" s="6">
        <v>2.4891</v>
      </c>
      <c r="T104" s="6">
        <v>0</v>
      </c>
      <c r="XDP104" s="3"/>
      <c r="XDQ104" s="3"/>
      <c r="XDR104" s="3"/>
      <c r="XDS104" s="3"/>
      <c r="XDT104" s="3"/>
      <c r="XDU104" s="3"/>
      <c r="XDV104" s="3"/>
      <c r="XDW104" s="3"/>
    </row>
    <row r="105" s="1" customFormat="1" spans="1:16351">
      <c r="A105" s="7" t="s">
        <v>27</v>
      </c>
      <c r="B105" s="7" t="s">
        <v>27</v>
      </c>
      <c r="C105" s="11" t="s">
        <v>208</v>
      </c>
      <c r="D105" s="8" t="s">
        <v>60</v>
      </c>
      <c r="E105" s="8" t="s">
        <v>60</v>
      </c>
      <c r="F105" s="8" t="s">
        <v>176</v>
      </c>
      <c r="G105" s="8" t="s">
        <v>164</v>
      </c>
      <c r="H105" s="9">
        <v>1</v>
      </c>
      <c r="I105" s="6">
        <v>0.321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0.321</v>
      </c>
      <c r="T105" s="6">
        <v>0</v>
      </c>
      <c r="XDP105" s="3"/>
      <c r="XDQ105" s="3"/>
      <c r="XDR105" s="3"/>
      <c r="XDS105" s="3"/>
      <c r="XDT105" s="3"/>
      <c r="XDU105" s="3"/>
      <c r="XDV105" s="3"/>
      <c r="XDW105" s="3"/>
    </row>
    <row r="106" s="1" customFormat="1" spans="1:16351">
      <c r="A106" s="7" t="s">
        <v>27</v>
      </c>
      <c r="B106" s="7" t="s">
        <v>27</v>
      </c>
      <c r="C106" s="11" t="s">
        <v>209</v>
      </c>
      <c r="D106" s="8" t="s">
        <v>101</v>
      </c>
      <c r="E106" s="8" t="s">
        <v>101</v>
      </c>
      <c r="F106" s="8" t="s">
        <v>176</v>
      </c>
      <c r="G106" s="8" t="s">
        <v>164</v>
      </c>
      <c r="H106" s="9">
        <v>2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XDP106" s="3"/>
      <c r="XDQ106" s="3"/>
      <c r="XDR106" s="3"/>
      <c r="XDS106" s="3"/>
      <c r="XDT106" s="3"/>
      <c r="XDU106" s="3"/>
      <c r="XDV106" s="3"/>
      <c r="XDW106" s="3"/>
    </row>
    <row r="107" s="1" customFormat="1" spans="1:16351">
      <c r="A107" s="7" t="s">
        <v>27</v>
      </c>
      <c r="B107" s="7" t="s">
        <v>27</v>
      </c>
      <c r="C107" s="11" t="s">
        <v>210</v>
      </c>
      <c r="D107" s="8" t="s">
        <v>101</v>
      </c>
      <c r="E107" s="8" t="s">
        <v>101</v>
      </c>
      <c r="F107" s="8" t="s">
        <v>167</v>
      </c>
      <c r="G107" s="8" t="s">
        <v>169</v>
      </c>
      <c r="H107" s="9">
        <v>4</v>
      </c>
      <c r="I107" s="6">
        <v>0</v>
      </c>
      <c r="J107" s="6">
        <v>3.6394</v>
      </c>
      <c r="K107" s="6">
        <v>2.072</v>
      </c>
      <c r="L107" s="6">
        <v>0</v>
      </c>
      <c r="M107" s="6">
        <v>-0.11</v>
      </c>
      <c r="N107" s="6">
        <v>0</v>
      </c>
      <c r="O107" s="6">
        <v>0</v>
      </c>
      <c r="P107" s="6">
        <v>0</v>
      </c>
      <c r="Q107" s="6">
        <v>1.962</v>
      </c>
      <c r="R107" s="6">
        <v>0</v>
      </c>
      <c r="S107" s="6">
        <v>1.962</v>
      </c>
      <c r="T107" s="6">
        <v>3.6394</v>
      </c>
      <c r="XDP107" s="3"/>
      <c r="XDQ107" s="3"/>
      <c r="XDR107" s="3"/>
      <c r="XDS107" s="3"/>
      <c r="XDT107" s="3"/>
      <c r="XDU107" s="3"/>
      <c r="XDV107" s="3"/>
      <c r="XDW107" s="3"/>
    </row>
    <row r="108" s="1" customFormat="1" spans="1:16351">
      <c r="A108" s="7" t="s">
        <v>27</v>
      </c>
      <c r="B108" s="7" t="s">
        <v>27</v>
      </c>
      <c r="C108" s="11" t="s">
        <v>211</v>
      </c>
      <c r="D108" s="8" t="s">
        <v>60</v>
      </c>
      <c r="E108" s="8" t="s">
        <v>60</v>
      </c>
      <c r="F108" s="8" t="s">
        <v>167</v>
      </c>
      <c r="G108" s="8" t="s">
        <v>169</v>
      </c>
      <c r="H108" s="9">
        <v>0</v>
      </c>
      <c r="I108" s="6">
        <v>1.019</v>
      </c>
      <c r="J108" s="6">
        <v>0.4898</v>
      </c>
      <c r="K108" s="6">
        <v>0.207</v>
      </c>
      <c r="L108" s="6">
        <v>0</v>
      </c>
      <c r="M108" s="6">
        <v>0</v>
      </c>
      <c r="N108" s="6">
        <v>0.2691</v>
      </c>
      <c r="O108" s="6">
        <v>0.66</v>
      </c>
      <c r="P108" s="6">
        <v>0.8324</v>
      </c>
      <c r="Q108" s="6">
        <v>0.867</v>
      </c>
      <c r="R108" s="6">
        <v>1.1015</v>
      </c>
      <c r="S108" s="6">
        <v>1.886</v>
      </c>
      <c r="T108" s="6">
        <v>1.5913</v>
      </c>
      <c r="XDP108" s="3"/>
      <c r="XDQ108" s="3"/>
      <c r="XDR108" s="3"/>
      <c r="XDS108" s="3"/>
      <c r="XDT108" s="3"/>
      <c r="XDU108" s="3"/>
      <c r="XDV108" s="3"/>
      <c r="XDW108" s="3"/>
    </row>
    <row r="109" s="1" customFormat="1" spans="1:16351">
      <c r="A109" s="7" t="s">
        <v>27</v>
      </c>
      <c r="B109" s="7" t="s">
        <v>27</v>
      </c>
      <c r="C109" s="11" t="s">
        <v>212</v>
      </c>
      <c r="D109" s="8" t="s">
        <v>101</v>
      </c>
      <c r="E109" s="8" t="s">
        <v>101</v>
      </c>
      <c r="F109" s="8" t="s">
        <v>167</v>
      </c>
      <c r="G109" s="8" t="s">
        <v>169</v>
      </c>
      <c r="H109" s="9">
        <v>4.8014</v>
      </c>
      <c r="I109" s="6">
        <v>0</v>
      </c>
      <c r="J109" s="6">
        <v>2.7289</v>
      </c>
      <c r="K109" s="6">
        <v>1.352</v>
      </c>
      <c r="L109" s="6">
        <v>0</v>
      </c>
      <c r="M109" s="6">
        <v>0.6598</v>
      </c>
      <c r="N109" s="6">
        <v>0</v>
      </c>
      <c r="O109" s="6">
        <v>1.1393</v>
      </c>
      <c r="P109" s="6">
        <v>0.3803</v>
      </c>
      <c r="Q109" s="6">
        <v>3.1511</v>
      </c>
      <c r="R109" s="6">
        <v>0.3803</v>
      </c>
      <c r="S109" s="6">
        <v>3.1511</v>
      </c>
      <c r="T109" s="6">
        <v>3.1092</v>
      </c>
      <c r="XDP109" s="3"/>
      <c r="XDQ109" s="3"/>
      <c r="XDR109" s="3"/>
      <c r="XDS109" s="3"/>
      <c r="XDT109" s="3"/>
      <c r="XDU109" s="3"/>
      <c r="XDV109" s="3"/>
      <c r="XDW109" s="3"/>
    </row>
    <row r="110" s="1" customFormat="1" spans="1:16351">
      <c r="A110" s="7" t="s">
        <v>27</v>
      </c>
      <c r="B110" s="7" t="s">
        <v>27</v>
      </c>
      <c r="C110" s="11" t="s">
        <v>214</v>
      </c>
      <c r="D110" s="8" t="s">
        <v>113</v>
      </c>
      <c r="E110" s="8" t="s">
        <v>113</v>
      </c>
      <c r="F110" s="8" t="s">
        <v>167</v>
      </c>
      <c r="G110" s="8" t="s">
        <v>169</v>
      </c>
      <c r="H110" s="9">
        <v>28</v>
      </c>
      <c r="I110" s="6">
        <v>0</v>
      </c>
      <c r="J110" s="6">
        <v>1.046984</v>
      </c>
      <c r="K110" s="6">
        <v>0</v>
      </c>
      <c r="L110" s="6">
        <v>2.45398</v>
      </c>
      <c r="M110" s="6">
        <v>0</v>
      </c>
      <c r="N110" s="6">
        <v>1.88275</v>
      </c>
      <c r="O110" s="6">
        <v>0</v>
      </c>
      <c r="P110" s="6">
        <v>5.184885</v>
      </c>
      <c r="Q110" s="6">
        <v>0</v>
      </c>
      <c r="R110" s="6">
        <v>9.521615</v>
      </c>
      <c r="S110" s="6">
        <v>0</v>
      </c>
      <c r="T110" s="6">
        <v>10.568599</v>
      </c>
      <c r="XDP110" s="3"/>
      <c r="XDQ110" s="3"/>
      <c r="XDR110" s="3"/>
      <c r="XDS110" s="3"/>
      <c r="XDT110" s="3"/>
      <c r="XDU110" s="3"/>
      <c r="XDV110" s="3"/>
      <c r="XDW110" s="3"/>
    </row>
    <row r="111" s="1" customFormat="1" spans="1:16351">
      <c r="A111" s="7" t="s">
        <v>27</v>
      </c>
      <c r="B111" s="7" t="s">
        <v>27</v>
      </c>
      <c r="C111" s="11" t="s">
        <v>215</v>
      </c>
      <c r="D111" s="8" t="s">
        <v>101</v>
      </c>
      <c r="E111" s="8" t="s">
        <v>101</v>
      </c>
      <c r="F111" s="8" t="s">
        <v>167</v>
      </c>
      <c r="G111" s="8" t="s">
        <v>169</v>
      </c>
      <c r="H111" s="9"/>
      <c r="I111" s="6">
        <v>0.3911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0.3911</v>
      </c>
      <c r="T111" s="6">
        <v>0</v>
      </c>
      <c r="XDP111" s="3"/>
      <c r="XDQ111" s="3"/>
      <c r="XDR111" s="3"/>
      <c r="XDS111" s="3"/>
      <c r="XDT111" s="3"/>
      <c r="XDU111" s="3"/>
      <c r="XDV111" s="3"/>
      <c r="XDW111" s="3"/>
    </row>
    <row r="112" s="1" customFormat="1" spans="1:16351">
      <c r="A112" s="7" t="s">
        <v>27</v>
      </c>
      <c r="B112" s="7" t="s">
        <v>27</v>
      </c>
      <c r="C112" s="11" t="s">
        <v>216</v>
      </c>
      <c r="D112" s="8" t="s">
        <v>101</v>
      </c>
      <c r="E112" s="8" t="s">
        <v>101</v>
      </c>
      <c r="F112" s="8" t="s">
        <v>163</v>
      </c>
      <c r="G112" s="8" t="s">
        <v>164</v>
      </c>
      <c r="H112" s="9"/>
      <c r="I112" s="6">
        <v>0.6431</v>
      </c>
      <c r="J112" s="6">
        <v>0</v>
      </c>
      <c r="K112" s="6">
        <v>0</v>
      </c>
      <c r="L112" s="6">
        <v>0</v>
      </c>
      <c r="M112" s="6">
        <v>0</v>
      </c>
      <c r="N112" s="6">
        <v>0.6566</v>
      </c>
      <c r="O112" s="6">
        <v>0</v>
      </c>
      <c r="P112" s="6">
        <v>0</v>
      </c>
      <c r="Q112" s="6">
        <v>0</v>
      </c>
      <c r="R112" s="6">
        <v>0.6566</v>
      </c>
      <c r="S112" s="6">
        <v>0.6431</v>
      </c>
      <c r="T112" s="6">
        <v>0.6566</v>
      </c>
      <c r="XDP112" s="3"/>
      <c r="XDQ112" s="3"/>
      <c r="XDR112" s="3"/>
      <c r="XDS112" s="3"/>
      <c r="XDT112" s="3"/>
      <c r="XDU112" s="3"/>
      <c r="XDV112" s="3"/>
      <c r="XDW112" s="3"/>
    </row>
    <row r="113" s="1" customFormat="1" spans="1:16351">
      <c r="A113" s="7" t="s">
        <v>27</v>
      </c>
      <c r="B113" s="7" t="s">
        <v>27</v>
      </c>
      <c r="C113" s="11" t="s">
        <v>217</v>
      </c>
      <c r="D113" s="8" t="s">
        <v>60</v>
      </c>
      <c r="E113" s="8" t="s">
        <v>60</v>
      </c>
      <c r="F113" s="8" t="s">
        <v>167</v>
      </c>
      <c r="G113" s="8" t="s">
        <v>169</v>
      </c>
      <c r="H113" s="9">
        <v>0</v>
      </c>
      <c r="I113" s="6">
        <v>2</v>
      </c>
      <c r="J113" s="6">
        <v>0.7105</v>
      </c>
      <c r="K113" s="6">
        <v>0</v>
      </c>
      <c r="L113" s="6">
        <v>0</v>
      </c>
      <c r="M113" s="6">
        <v>0</v>
      </c>
      <c r="N113" s="6">
        <v>0</v>
      </c>
      <c r="O113" s="6">
        <v>0.231</v>
      </c>
      <c r="P113" s="6">
        <v>0</v>
      </c>
      <c r="Q113" s="6">
        <v>0.231</v>
      </c>
      <c r="R113" s="6">
        <v>0</v>
      </c>
      <c r="S113" s="6">
        <v>2.231</v>
      </c>
      <c r="T113" s="6">
        <v>0.7105</v>
      </c>
      <c r="XDP113" s="3"/>
      <c r="XDQ113" s="3"/>
      <c r="XDR113" s="3"/>
      <c r="XDS113" s="3"/>
      <c r="XDT113" s="3"/>
      <c r="XDU113" s="3"/>
      <c r="XDV113" s="3"/>
      <c r="XDW113" s="3"/>
    </row>
    <row r="114" s="1" customFormat="1" spans="1:16351">
      <c r="A114" s="7" t="s">
        <v>27</v>
      </c>
      <c r="B114" s="7" t="s">
        <v>27</v>
      </c>
      <c r="C114" s="10" t="s">
        <v>218</v>
      </c>
      <c r="D114" s="10" t="s">
        <v>60</v>
      </c>
      <c r="E114" s="8" t="s">
        <v>60</v>
      </c>
      <c r="F114" s="8" t="s">
        <v>176</v>
      </c>
      <c r="G114" s="10" t="s">
        <v>164</v>
      </c>
      <c r="H114" s="9"/>
      <c r="I114" s="6">
        <v>0</v>
      </c>
      <c r="J114" s="6">
        <v>1</v>
      </c>
      <c r="K114" s="6">
        <v>1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1</v>
      </c>
      <c r="R114" s="6">
        <v>0</v>
      </c>
      <c r="S114" s="6">
        <v>1</v>
      </c>
      <c r="T114" s="6">
        <v>1</v>
      </c>
      <c r="XDP114" s="3"/>
      <c r="XDQ114" s="3"/>
      <c r="XDR114" s="3"/>
      <c r="XDS114" s="3"/>
      <c r="XDT114" s="3"/>
      <c r="XDU114" s="3"/>
      <c r="XDV114" s="3"/>
      <c r="XDW114" s="3"/>
    </row>
    <row r="115" s="1" customFormat="1" spans="1:16351">
      <c r="A115" s="7" t="s">
        <v>27</v>
      </c>
      <c r="B115" s="7" t="s">
        <v>27</v>
      </c>
      <c r="C115" s="10" t="s">
        <v>219</v>
      </c>
      <c r="D115" s="10" t="s">
        <v>60</v>
      </c>
      <c r="E115" s="8" t="s">
        <v>60</v>
      </c>
      <c r="F115" s="10" t="s">
        <v>182</v>
      </c>
      <c r="G115" s="10" t="s">
        <v>173</v>
      </c>
      <c r="H115" s="9">
        <v>5</v>
      </c>
      <c r="I115" s="6">
        <v>0</v>
      </c>
      <c r="J115" s="6">
        <v>0</v>
      </c>
      <c r="K115" s="6">
        <v>0.5382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0.5382</v>
      </c>
      <c r="R115" s="6">
        <v>0</v>
      </c>
      <c r="S115" s="6">
        <v>0.5382</v>
      </c>
      <c r="T115" s="6">
        <v>0</v>
      </c>
      <c r="XDP115" s="3"/>
      <c r="XDQ115" s="3"/>
      <c r="XDR115" s="3"/>
      <c r="XDS115" s="3"/>
      <c r="XDT115" s="3"/>
      <c r="XDU115" s="3"/>
      <c r="XDV115" s="3"/>
      <c r="XDW115" s="3"/>
    </row>
    <row r="116" s="1" customFormat="1" spans="1:16351">
      <c r="A116" s="7" t="s">
        <v>27</v>
      </c>
      <c r="B116" s="7" t="s">
        <v>27</v>
      </c>
      <c r="C116" s="10" t="s">
        <v>220</v>
      </c>
      <c r="D116" s="10" t="s">
        <v>60</v>
      </c>
      <c r="E116" s="8" t="s">
        <v>60</v>
      </c>
      <c r="F116" s="8" t="s">
        <v>163</v>
      </c>
      <c r="G116" s="10" t="s">
        <v>164</v>
      </c>
      <c r="H116" s="9"/>
      <c r="I116" s="6">
        <v>0</v>
      </c>
      <c r="J116" s="6">
        <v>0.2992</v>
      </c>
      <c r="K116" s="6">
        <v>0</v>
      </c>
      <c r="L116" s="6">
        <v>0</v>
      </c>
      <c r="M116" s="6">
        <v>0.537</v>
      </c>
      <c r="N116" s="6">
        <v>0</v>
      </c>
      <c r="O116" s="6">
        <v>0</v>
      </c>
      <c r="P116" s="6">
        <v>0</v>
      </c>
      <c r="Q116" s="6">
        <v>0.537</v>
      </c>
      <c r="R116" s="6">
        <v>0</v>
      </c>
      <c r="S116" s="6">
        <v>0.537</v>
      </c>
      <c r="T116" s="6">
        <v>0.2992</v>
      </c>
      <c r="XDP116" s="3"/>
      <c r="XDQ116" s="3"/>
      <c r="XDR116" s="3"/>
      <c r="XDS116" s="3"/>
      <c r="XDT116" s="3"/>
      <c r="XDU116" s="3"/>
      <c r="XDV116" s="3"/>
      <c r="XDW116" s="3"/>
    </row>
    <row r="117" s="1" customFormat="1" spans="1:16351">
      <c r="A117" s="7" t="s">
        <v>27</v>
      </c>
      <c r="B117" s="7" t="s">
        <v>27</v>
      </c>
      <c r="C117" s="10" t="s">
        <v>221</v>
      </c>
      <c r="D117" s="10" t="s">
        <v>60</v>
      </c>
      <c r="E117" s="8" t="s">
        <v>60</v>
      </c>
      <c r="F117" s="8" t="s">
        <v>163</v>
      </c>
      <c r="G117" s="10" t="s">
        <v>164</v>
      </c>
      <c r="H117" s="9"/>
      <c r="I117" s="6">
        <v>0</v>
      </c>
      <c r="J117" s="6">
        <v>0</v>
      </c>
      <c r="K117" s="6">
        <v>0</v>
      </c>
      <c r="L117" s="6">
        <v>0</v>
      </c>
      <c r="M117" s="6">
        <v>0.759</v>
      </c>
      <c r="N117" s="6">
        <v>0</v>
      </c>
      <c r="O117" s="6">
        <v>1.12</v>
      </c>
      <c r="P117" s="6">
        <v>0</v>
      </c>
      <c r="Q117" s="6">
        <v>1.879</v>
      </c>
      <c r="R117" s="6">
        <v>0</v>
      </c>
      <c r="S117" s="6">
        <v>1.879</v>
      </c>
      <c r="T117" s="6">
        <v>0</v>
      </c>
      <c r="XDP117" s="3"/>
      <c r="XDQ117" s="3"/>
      <c r="XDR117" s="3"/>
      <c r="XDS117" s="3"/>
      <c r="XDT117" s="3"/>
      <c r="XDU117" s="3"/>
      <c r="XDV117" s="3"/>
      <c r="XDW117" s="3"/>
    </row>
    <row r="118" s="1" customFormat="1" spans="1:16351">
      <c r="A118" s="7" t="s">
        <v>27</v>
      </c>
      <c r="B118" s="7" t="s">
        <v>27</v>
      </c>
      <c r="C118" s="10" t="s">
        <v>222</v>
      </c>
      <c r="D118" s="10" t="s">
        <v>60</v>
      </c>
      <c r="E118" s="8" t="s">
        <v>60</v>
      </c>
      <c r="F118" s="10" t="s">
        <v>180</v>
      </c>
      <c r="G118" s="10" t="s">
        <v>173</v>
      </c>
      <c r="H118" s="9"/>
      <c r="I118" s="6">
        <v>0</v>
      </c>
      <c r="J118" s="6">
        <v>0.64</v>
      </c>
      <c r="K118" s="6">
        <v>0</v>
      </c>
      <c r="L118" s="6">
        <v>0.3934</v>
      </c>
      <c r="M118" s="6">
        <v>0.2388</v>
      </c>
      <c r="N118" s="6">
        <v>0.24</v>
      </c>
      <c r="O118" s="6">
        <v>0</v>
      </c>
      <c r="P118" s="6">
        <v>0</v>
      </c>
      <c r="Q118" s="6">
        <v>0.2388</v>
      </c>
      <c r="R118" s="6">
        <v>0.6334</v>
      </c>
      <c r="S118" s="6">
        <v>0.2388</v>
      </c>
      <c r="T118" s="6">
        <v>1.2734</v>
      </c>
      <c r="XDP118" s="3"/>
      <c r="XDQ118" s="3"/>
      <c r="XDR118" s="3"/>
      <c r="XDS118" s="3"/>
      <c r="XDT118" s="3"/>
      <c r="XDU118" s="3"/>
      <c r="XDV118" s="3"/>
      <c r="XDW118" s="3"/>
    </row>
    <row r="119" s="1" customFormat="1" spans="1:16351">
      <c r="A119" s="7" t="s">
        <v>27</v>
      </c>
      <c r="B119" s="7" t="s">
        <v>27</v>
      </c>
      <c r="C119" s="10" t="s">
        <v>223</v>
      </c>
      <c r="D119" s="10" t="s">
        <v>60</v>
      </c>
      <c r="E119" s="8" t="s">
        <v>60</v>
      </c>
      <c r="F119" s="10" t="s">
        <v>180</v>
      </c>
      <c r="G119" s="10" t="s">
        <v>173</v>
      </c>
      <c r="H119" s="9"/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0.2594</v>
      </c>
      <c r="P119" s="6">
        <v>0</v>
      </c>
      <c r="Q119" s="6">
        <v>0.2594</v>
      </c>
      <c r="R119" s="6">
        <v>0</v>
      </c>
      <c r="S119" s="6">
        <v>0.2594</v>
      </c>
      <c r="T119" s="6">
        <v>0</v>
      </c>
      <c r="XDP119" s="3"/>
      <c r="XDQ119" s="3"/>
      <c r="XDR119" s="3"/>
      <c r="XDS119" s="3"/>
      <c r="XDT119" s="3"/>
      <c r="XDU119" s="3"/>
      <c r="XDV119" s="3"/>
      <c r="XDW119" s="3"/>
    </row>
    <row r="120" s="1" customFormat="1" spans="1:16351">
      <c r="A120" s="7" t="s">
        <v>27</v>
      </c>
      <c r="B120" s="7" t="s">
        <v>27</v>
      </c>
      <c r="C120" s="10" t="s">
        <v>224</v>
      </c>
      <c r="D120" s="10" t="s">
        <v>60</v>
      </c>
      <c r="E120" s="8" t="s">
        <v>60</v>
      </c>
      <c r="F120" s="8" t="s">
        <v>163</v>
      </c>
      <c r="G120" s="10" t="s">
        <v>164</v>
      </c>
      <c r="H120" s="9"/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XDP120" s="3"/>
      <c r="XDQ120" s="3"/>
      <c r="XDR120" s="3"/>
      <c r="XDS120" s="3"/>
      <c r="XDT120" s="3"/>
      <c r="XDU120" s="3"/>
      <c r="XDV120" s="3"/>
      <c r="XDW120" s="3"/>
    </row>
    <row r="121" s="1" customFormat="1" spans="1:16351">
      <c r="A121" s="7" t="s">
        <v>27</v>
      </c>
      <c r="B121" s="7" t="s">
        <v>27</v>
      </c>
      <c r="C121" s="10" t="s">
        <v>225</v>
      </c>
      <c r="D121" s="10" t="s">
        <v>60</v>
      </c>
      <c r="E121" s="8" t="s">
        <v>60</v>
      </c>
      <c r="F121" s="8" t="s">
        <v>163</v>
      </c>
      <c r="G121" s="10" t="s">
        <v>164</v>
      </c>
      <c r="H121" s="9"/>
      <c r="I121" s="6">
        <v>0</v>
      </c>
      <c r="J121" s="6">
        <v>0.2644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0.2644</v>
      </c>
      <c r="XDP121" s="3"/>
      <c r="XDQ121" s="3"/>
      <c r="XDR121" s="3"/>
      <c r="XDS121" s="3"/>
      <c r="XDT121" s="3"/>
      <c r="XDU121" s="3"/>
      <c r="XDV121" s="3"/>
      <c r="XDW121" s="3"/>
    </row>
    <row r="122" s="1" customFormat="1" spans="1:16351">
      <c r="A122" s="7" t="s">
        <v>27</v>
      </c>
      <c r="B122" s="7" t="s">
        <v>27</v>
      </c>
      <c r="C122" s="10" t="s">
        <v>226</v>
      </c>
      <c r="D122" s="10" t="s">
        <v>101</v>
      </c>
      <c r="E122" s="8" t="s">
        <v>101</v>
      </c>
      <c r="F122" s="8" t="s">
        <v>167</v>
      </c>
      <c r="G122" s="8" t="s">
        <v>169</v>
      </c>
      <c r="H122" s="9"/>
      <c r="I122" s="6">
        <v>0</v>
      </c>
      <c r="J122" s="6">
        <v>0.9328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0.9328</v>
      </c>
      <c r="XDP122" s="3"/>
      <c r="XDQ122" s="3"/>
      <c r="XDR122" s="3"/>
      <c r="XDS122" s="3"/>
      <c r="XDT122" s="3"/>
      <c r="XDU122" s="3"/>
      <c r="XDV122" s="3"/>
      <c r="XDW122" s="3"/>
    </row>
    <row r="123" s="1" customFormat="1" spans="1:16351">
      <c r="A123" s="7" t="s">
        <v>27</v>
      </c>
      <c r="B123" s="7" t="s">
        <v>27</v>
      </c>
      <c r="C123" s="10" t="s">
        <v>227</v>
      </c>
      <c r="D123" s="10" t="s">
        <v>60</v>
      </c>
      <c r="E123" s="8" t="s">
        <v>60</v>
      </c>
      <c r="F123" s="8" t="s">
        <v>182</v>
      </c>
      <c r="G123" s="10" t="s">
        <v>173</v>
      </c>
      <c r="H123" s="9"/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XDP123" s="3"/>
      <c r="XDQ123" s="3"/>
      <c r="XDR123" s="3"/>
      <c r="XDS123" s="3"/>
      <c r="XDT123" s="3"/>
      <c r="XDU123" s="3"/>
      <c r="XDV123" s="3"/>
      <c r="XDW123" s="3"/>
    </row>
    <row r="124" s="1" customFormat="1" spans="1:16351">
      <c r="A124" s="7" t="s">
        <v>27</v>
      </c>
      <c r="B124" s="7" t="s">
        <v>27</v>
      </c>
      <c r="C124" s="10" t="s">
        <v>118</v>
      </c>
      <c r="D124" s="10" t="s">
        <v>60</v>
      </c>
      <c r="E124" s="8" t="s">
        <v>60</v>
      </c>
      <c r="F124" s="8" t="s">
        <v>167</v>
      </c>
      <c r="G124" s="10" t="s">
        <v>173</v>
      </c>
      <c r="H124" s="9"/>
      <c r="I124" s="6">
        <v>0</v>
      </c>
      <c r="J124" s="6">
        <v>0.5704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0.5704</v>
      </c>
      <c r="XDP124" s="3"/>
      <c r="XDQ124" s="3"/>
      <c r="XDR124" s="3"/>
      <c r="XDS124" s="3"/>
      <c r="XDT124" s="3"/>
      <c r="XDU124" s="3"/>
      <c r="XDV124" s="3"/>
      <c r="XDW124" s="3"/>
    </row>
    <row r="125" s="1" customFormat="1" spans="1:16351">
      <c r="A125" s="7" t="s">
        <v>27</v>
      </c>
      <c r="B125" s="7" t="s">
        <v>27</v>
      </c>
      <c r="C125" s="10" t="s">
        <v>228</v>
      </c>
      <c r="D125" s="10" t="s">
        <v>60</v>
      </c>
      <c r="E125" s="8" t="s">
        <v>60</v>
      </c>
      <c r="F125" s="283" t="s">
        <v>182</v>
      </c>
      <c r="G125" s="10" t="s">
        <v>173</v>
      </c>
      <c r="H125" s="9">
        <v>30</v>
      </c>
      <c r="I125" s="6">
        <v>0</v>
      </c>
      <c r="J125" s="6">
        <v>5.071</v>
      </c>
      <c r="K125" s="6">
        <v>0</v>
      </c>
      <c r="L125" s="6">
        <v>0.9073</v>
      </c>
      <c r="M125" s="6">
        <v>0</v>
      </c>
      <c r="N125" s="6">
        <v>2.5484</v>
      </c>
      <c r="O125" s="6">
        <v>0</v>
      </c>
      <c r="P125" s="6">
        <v>0.62</v>
      </c>
      <c r="Q125" s="6">
        <v>0</v>
      </c>
      <c r="R125" s="6">
        <v>4.0757</v>
      </c>
      <c r="S125" s="6">
        <v>0</v>
      </c>
      <c r="T125" s="6">
        <v>9.1467</v>
      </c>
      <c r="XDP125" s="3"/>
      <c r="XDQ125" s="3"/>
      <c r="XDR125" s="3"/>
      <c r="XDS125" s="3"/>
      <c r="XDT125" s="3"/>
      <c r="XDU125" s="3"/>
      <c r="XDV125" s="3"/>
      <c r="XDW125" s="3"/>
    </row>
    <row r="126" s="1" customFormat="1" spans="1:16351">
      <c r="A126" s="7" t="s">
        <v>27</v>
      </c>
      <c r="B126" s="7" t="s">
        <v>27</v>
      </c>
      <c r="C126" s="10" t="s">
        <v>229</v>
      </c>
      <c r="D126" s="10" t="s">
        <v>60</v>
      </c>
      <c r="E126" s="8" t="s">
        <v>60</v>
      </c>
      <c r="F126" s="8" t="s">
        <v>163</v>
      </c>
      <c r="G126" s="10" t="s">
        <v>164</v>
      </c>
      <c r="H126" s="9"/>
      <c r="I126" s="6">
        <v>0</v>
      </c>
      <c r="J126" s="6">
        <v>0.5096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0.4347</v>
      </c>
      <c r="Q126" s="6">
        <v>0</v>
      </c>
      <c r="R126" s="6">
        <v>0.4347</v>
      </c>
      <c r="S126" s="6">
        <v>0</v>
      </c>
      <c r="T126" s="6">
        <v>0.9443</v>
      </c>
      <c r="XDP126" s="3"/>
      <c r="XDQ126" s="3"/>
      <c r="XDR126" s="3"/>
      <c r="XDS126" s="3"/>
      <c r="XDT126" s="3"/>
      <c r="XDU126" s="3"/>
      <c r="XDV126" s="3"/>
      <c r="XDW126" s="3"/>
    </row>
    <row r="127" s="1" customFormat="1" spans="1:16351">
      <c r="A127" s="7" t="s">
        <v>27</v>
      </c>
      <c r="B127" s="7" t="s">
        <v>27</v>
      </c>
      <c r="C127" s="10" t="s">
        <v>230</v>
      </c>
      <c r="D127" s="10" t="s">
        <v>60</v>
      </c>
      <c r="E127" s="8" t="s">
        <v>60</v>
      </c>
      <c r="F127" s="8" t="s">
        <v>176</v>
      </c>
      <c r="G127" s="10" t="s">
        <v>164</v>
      </c>
      <c r="H127" s="9">
        <v>11</v>
      </c>
      <c r="I127" s="6">
        <v>0</v>
      </c>
      <c r="J127" s="6">
        <v>8.0946</v>
      </c>
      <c r="K127" s="6">
        <v>0</v>
      </c>
      <c r="L127" s="6">
        <v>0.7652</v>
      </c>
      <c r="M127" s="6">
        <v>0</v>
      </c>
      <c r="N127" s="6">
        <v>2.2404</v>
      </c>
      <c r="O127" s="6">
        <v>0</v>
      </c>
      <c r="P127" s="6">
        <v>0.8108</v>
      </c>
      <c r="Q127" s="6">
        <v>0</v>
      </c>
      <c r="R127" s="6">
        <v>3.8164</v>
      </c>
      <c r="S127" s="6">
        <v>0</v>
      </c>
      <c r="T127" s="6">
        <v>11.911</v>
      </c>
      <c r="XDP127" s="3"/>
      <c r="XDQ127" s="3"/>
      <c r="XDR127" s="3"/>
      <c r="XDS127" s="3"/>
      <c r="XDT127" s="3"/>
      <c r="XDU127" s="3"/>
      <c r="XDV127" s="3"/>
      <c r="XDW127" s="3"/>
    </row>
    <row r="128" s="1" customFormat="1" spans="1:16351">
      <c r="A128" s="7" t="s">
        <v>27</v>
      </c>
      <c r="B128" s="7" t="s">
        <v>27</v>
      </c>
      <c r="C128" s="12" t="s">
        <v>231</v>
      </c>
      <c r="D128" s="10" t="s">
        <v>60</v>
      </c>
      <c r="E128" s="8" t="s">
        <v>60</v>
      </c>
      <c r="F128" s="10" t="s">
        <v>180</v>
      </c>
      <c r="G128" s="10" t="s">
        <v>173</v>
      </c>
      <c r="H128" s="9"/>
      <c r="I128" s="6">
        <v>0</v>
      </c>
      <c r="J128" s="6">
        <v>0.398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0.398</v>
      </c>
      <c r="XDP128" s="3"/>
      <c r="XDQ128" s="3"/>
      <c r="XDR128" s="3"/>
      <c r="XDS128" s="3"/>
      <c r="XDT128" s="3"/>
      <c r="XDU128" s="3"/>
      <c r="XDV128" s="3"/>
      <c r="XDW128" s="3"/>
    </row>
    <row r="129" s="1" customFormat="1" spans="1:16351">
      <c r="A129" s="7" t="s">
        <v>27</v>
      </c>
      <c r="B129" s="7" t="s">
        <v>27</v>
      </c>
      <c r="C129" s="12" t="s">
        <v>232</v>
      </c>
      <c r="D129" s="10" t="s">
        <v>60</v>
      </c>
      <c r="E129" s="8" t="s">
        <v>60</v>
      </c>
      <c r="F129" s="8" t="s">
        <v>167</v>
      </c>
      <c r="G129" s="8" t="s">
        <v>169</v>
      </c>
      <c r="H129" s="9"/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XDP129" s="3"/>
      <c r="XDQ129" s="3"/>
      <c r="XDR129" s="3"/>
      <c r="XDS129" s="3"/>
      <c r="XDT129" s="3"/>
      <c r="XDU129" s="3"/>
      <c r="XDV129" s="3"/>
      <c r="XDW129" s="3"/>
    </row>
    <row r="130" s="1" customFormat="1" spans="1:16351">
      <c r="A130" s="7" t="s">
        <v>27</v>
      </c>
      <c r="B130" s="7" t="s">
        <v>27</v>
      </c>
      <c r="C130" s="12" t="s">
        <v>233</v>
      </c>
      <c r="D130" s="10" t="s">
        <v>60</v>
      </c>
      <c r="E130" s="8" t="s">
        <v>60</v>
      </c>
      <c r="F130" s="8" t="s">
        <v>167</v>
      </c>
      <c r="G130" s="8" t="s">
        <v>169</v>
      </c>
      <c r="H130" s="9">
        <v>0</v>
      </c>
      <c r="I130" s="6">
        <v>0</v>
      </c>
      <c r="J130" s="6">
        <v>0.2196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0.2196</v>
      </c>
      <c r="XDP130" s="3"/>
      <c r="XDQ130" s="3"/>
      <c r="XDR130" s="3"/>
      <c r="XDS130" s="3"/>
      <c r="XDT130" s="3"/>
      <c r="XDU130" s="3"/>
      <c r="XDV130" s="3"/>
      <c r="XDW130" s="3"/>
    </row>
    <row r="131" s="1" customFormat="1" spans="1:16351">
      <c r="A131" s="7" t="s">
        <v>27</v>
      </c>
      <c r="B131" s="7" t="s">
        <v>27</v>
      </c>
      <c r="C131" s="12" t="s">
        <v>234</v>
      </c>
      <c r="D131" s="10" t="s">
        <v>60</v>
      </c>
      <c r="E131" s="8" t="s">
        <v>60</v>
      </c>
      <c r="F131" s="8" t="s">
        <v>172</v>
      </c>
      <c r="G131" s="10" t="s">
        <v>173</v>
      </c>
      <c r="H131" s="9"/>
      <c r="I131" s="6">
        <v>0</v>
      </c>
      <c r="J131" s="6">
        <v>2</v>
      </c>
      <c r="K131" s="6">
        <v>0</v>
      </c>
      <c r="L131" s="6">
        <v>0</v>
      </c>
      <c r="M131" s="6">
        <v>0</v>
      </c>
      <c r="N131" s="6">
        <v>1</v>
      </c>
      <c r="O131" s="6">
        <v>0</v>
      </c>
      <c r="P131" s="6">
        <v>5</v>
      </c>
      <c r="Q131" s="6">
        <v>0</v>
      </c>
      <c r="R131" s="6">
        <v>6</v>
      </c>
      <c r="S131" s="6">
        <v>0</v>
      </c>
      <c r="T131" s="6">
        <v>8</v>
      </c>
      <c r="XDP131" s="3"/>
      <c r="XDQ131" s="3"/>
      <c r="XDR131" s="3"/>
      <c r="XDS131" s="3"/>
      <c r="XDT131" s="3"/>
      <c r="XDU131" s="3"/>
      <c r="XDV131" s="3"/>
      <c r="XDW131" s="3"/>
    </row>
    <row r="132" s="1" customFormat="1" spans="1:16351">
      <c r="A132" s="7" t="s">
        <v>27</v>
      </c>
      <c r="B132" s="7" t="s">
        <v>27</v>
      </c>
      <c r="C132" s="12" t="s">
        <v>235</v>
      </c>
      <c r="D132" s="10" t="s">
        <v>60</v>
      </c>
      <c r="E132" s="8" t="s">
        <v>60</v>
      </c>
      <c r="F132" s="8" t="s">
        <v>167</v>
      </c>
      <c r="G132" s="10" t="s">
        <v>169</v>
      </c>
      <c r="H132" s="9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XDP132" s="3"/>
      <c r="XDQ132" s="3"/>
      <c r="XDR132" s="3"/>
      <c r="XDS132" s="3"/>
      <c r="XDT132" s="3"/>
      <c r="XDU132" s="3"/>
      <c r="XDV132" s="3"/>
      <c r="XDW132" s="3"/>
    </row>
    <row r="133" s="1" customFormat="1" spans="1:16351">
      <c r="A133" s="7" t="s">
        <v>27</v>
      </c>
      <c r="B133" s="7" t="s">
        <v>27</v>
      </c>
      <c r="C133" s="12" t="s">
        <v>236</v>
      </c>
      <c r="D133" s="10" t="s">
        <v>237</v>
      </c>
      <c r="E133" s="8" t="s">
        <v>60</v>
      </c>
      <c r="F133" s="8" t="s">
        <v>176</v>
      </c>
      <c r="G133" s="10" t="s">
        <v>164</v>
      </c>
      <c r="H133" s="9"/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XDP133" s="3"/>
      <c r="XDQ133" s="3"/>
      <c r="XDR133" s="3"/>
      <c r="XDS133" s="3"/>
      <c r="XDT133" s="3"/>
      <c r="XDU133" s="3"/>
      <c r="XDV133" s="3"/>
      <c r="XDW133" s="3"/>
    </row>
    <row r="134" s="1" customFormat="1" spans="1:16351">
      <c r="A134" s="7" t="s">
        <v>27</v>
      </c>
      <c r="B134" s="7" t="s">
        <v>27</v>
      </c>
      <c r="C134" s="12" t="s">
        <v>238</v>
      </c>
      <c r="D134" s="10" t="s">
        <v>60</v>
      </c>
      <c r="E134" s="8" t="s">
        <v>60</v>
      </c>
      <c r="F134" s="8" t="s">
        <v>180</v>
      </c>
      <c r="G134" s="10" t="s">
        <v>173</v>
      </c>
      <c r="H134" s="9">
        <v>0</v>
      </c>
      <c r="I134" s="6">
        <v>0</v>
      </c>
      <c r="J134" s="6">
        <v>2.3457</v>
      </c>
      <c r="K134" s="6">
        <v>0</v>
      </c>
      <c r="L134" s="6">
        <v>0.009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0.009</v>
      </c>
      <c r="S134" s="6">
        <v>0</v>
      </c>
      <c r="T134" s="6">
        <v>2.3547</v>
      </c>
      <c r="XDP134" s="3"/>
      <c r="XDQ134" s="3"/>
      <c r="XDR134" s="3"/>
      <c r="XDS134" s="3"/>
      <c r="XDT134" s="3"/>
      <c r="XDU134" s="3"/>
      <c r="XDV134" s="3"/>
      <c r="XDW134" s="3"/>
    </row>
    <row r="135" s="1" customFormat="1" spans="1:16351">
      <c r="A135" s="7" t="s">
        <v>27</v>
      </c>
      <c r="B135" s="7" t="s">
        <v>27</v>
      </c>
      <c r="C135" s="12" t="s">
        <v>239</v>
      </c>
      <c r="D135" s="10" t="s">
        <v>237</v>
      </c>
      <c r="E135" s="8" t="s">
        <v>60</v>
      </c>
      <c r="F135" s="8" t="s">
        <v>176</v>
      </c>
      <c r="G135" s="10" t="s">
        <v>164</v>
      </c>
      <c r="H135" s="9"/>
      <c r="I135" s="6">
        <v>0</v>
      </c>
      <c r="J135" s="6">
        <v>0.3081</v>
      </c>
      <c r="K135" s="6">
        <v>0</v>
      </c>
      <c r="L135" s="6">
        <v>1.8653</v>
      </c>
      <c r="M135" s="6">
        <v>0</v>
      </c>
      <c r="N135" s="6">
        <v>0.7102</v>
      </c>
      <c r="O135" s="6">
        <v>0</v>
      </c>
      <c r="P135" s="6">
        <v>2.4314</v>
      </c>
      <c r="Q135" s="6">
        <v>0</v>
      </c>
      <c r="R135" s="6">
        <v>5.0069</v>
      </c>
      <c r="S135" s="6">
        <v>0</v>
      </c>
      <c r="T135" s="6">
        <v>5.315</v>
      </c>
      <c r="XDP135" s="3"/>
      <c r="XDQ135" s="3"/>
      <c r="XDR135" s="3"/>
      <c r="XDS135" s="3"/>
      <c r="XDT135" s="3"/>
      <c r="XDU135" s="3"/>
      <c r="XDV135" s="3"/>
      <c r="XDW135" s="3"/>
    </row>
    <row r="136" s="1" customFormat="1" spans="1:16351">
      <c r="A136" s="10" t="s">
        <v>27</v>
      </c>
      <c r="B136" s="10" t="s">
        <v>27</v>
      </c>
      <c r="C136" s="12" t="s">
        <v>240</v>
      </c>
      <c r="D136" s="10" t="s">
        <v>113</v>
      </c>
      <c r="E136" s="10" t="s">
        <v>113</v>
      </c>
      <c r="F136" s="277" t="s">
        <v>182</v>
      </c>
      <c r="G136" s="10" t="s">
        <v>173</v>
      </c>
      <c r="H136" s="9"/>
      <c r="I136" s="6">
        <v>0</v>
      </c>
      <c r="J136" s="6">
        <v>2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2</v>
      </c>
      <c r="XDP136" s="3"/>
      <c r="XDQ136" s="3"/>
      <c r="XDR136" s="3"/>
      <c r="XDS136" s="3"/>
      <c r="XDT136" s="3"/>
      <c r="XDU136" s="3"/>
      <c r="XDV136" s="3"/>
      <c r="XDW136" s="3"/>
    </row>
    <row r="137" s="1" customFormat="1" spans="1:16351">
      <c r="A137" s="10" t="s">
        <v>27</v>
      </c>
      <c r="B137" s="10" t="s">
        <v>27</v>
      </c>
      <c r="C137" s="12" t="s">
        <v>241</v>
      </c>
      <c r="D137" s="10" t="s">
        <v>60</v>
      </c>
      <c r="E137" s="10" t="s">
        <v>60</v>
      </c>
      <c r="F137" s="10" t="s">
        <v>176</v>
      </c>
      <c r="G137" s="10" t="s">
        <v>164</v>
      </c>
      <c r="H137" s="9"/>
      <c r="I137" s="6">
        <v>0</v>
      </c>
      <c r="J137" s="6">
        <v>0.4305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0.4305</v>
      </c>
      <c r="XDP137" s="3"/>
      <c r="XDQ137" s="3"/>
      <c r="XDR137" s="3"/>
      <c r="XDS137" s="3"/>
      <c r="XDT137" s="3"/>
      <c r="XDU137" s="3"/>
      <c r="XDV137" s="3"/>
      <c r="XDW137" s="3"/>
    </row>
    <row r="138" s="1" customFormat="1" spans="1:16351">
      <c r="A138" s="10" t="s">
        <v>27</v>
      </c>
      <c r="B138" s="10" t="s">
        <v>27</v>
      </c>
      <c r="C138" s="12" t="s">
        <v>242</v>
      </c>
      <c r="D138" s="10" t="s">
        <v>78</v>
      </c>
      <c r="E138" s="10" t="s">
        <v>78</v>
      </c>
      <c r="F138" s="10" t="s">
        <v>167</v>
      </c>
      <c r="G138" s="10" t="s">
        <v>169</v>
      </c>
      <c r="H138" s="9"/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19.492935</v>
      </c>
      <c r="O138" s="6">
        <v>0</v>
      </c>
      <c r="P138" s="6">
        <v>21.438654</v>
      </c>
      <c r="Q138" s="6">
        <v>0</v>
      </c>
      <c r="R138" s="6">
        <v>40.931589</v>
      </c>
      <c r="S138" s="6">
        <v>0</v>
      </c>
      <c r="T138" s="6">
        <v>40.931589</v>
      </c>
      <c r="XDP138" s="3"/>
      <c r="XDQ138" s="3"/>
      <c r="XDR138" s="3"/>
      <c r="XDS138" s="3"/>
      <c r="XDT138" s="3"/>
      <c r="XDU138" s="3"/>
      <c r="XDV138" s="3"/>
      <c r="XDW138" s="3"/>
    </row>
    <row r="139" s="1" customFormat="1" spans="1:16351">
      <c r="A139" s="10" t="s">
        <v>27</v>
      </c>
      <c r="B139" s="10" t="s">
        <v>27</v>
      </c>
      <c r="C139" s="12" t="s">
        <v>243</v>
      </c>
      <c r="D139" s="10" t="s">
        <v>244</v>
      </c>
      <c r="E139" s="10" t="s">
        <v>60</v>
      </c>
      <c r="F139" s="10" t="s">
        <v>167</v>
      </c>
      <c r="G139" s="10" t="s">
        <v>169</v>
      </c>
      <c r="H139" s="9"/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0.2196</v>
      </c>
      <c r="O139" s="6">
        <v>0</v>
      </c>
      <c r="P139" s="6">
        <v>0</v>
      </c>
      <c r="Q139" s="6">
        <v>0</v>
      </c>
      <c r="R139" s="6">
        <v>0.2196</v>
      </c>
      <c r="S139" s="6">
        <v>0</v>
      </c>
      <c r="T139" s="6">
        <v>0.2196</v>
      </c>
      <c r="XDP139" s="3"/>
      <c r="XDQ139" s="3"/>
      <c r="XDR139" s="3"/>
      <c r="XDS139" s="3"/>
      <c r="XDT139" s="3"/>
      <c r="XDU139" s="3"/>
      <c r="XDV139" s="3"/>
      <c r="XDW139" s="3"/>
    </row>
    <row r="140" s="1" customFormat="1" spans="1:16351">
      <c r="A140" s="10" t="s">
        <v>27</v>
      </c>
      <c r="B140" s="10" t="s">
        <v>27</v>
      </c>
      <c r="C140" s="12" t="s">
        <v>245</v>
      </c>
      <c r="D140" s="10" t="s">
        <v>60</v>
      </c>
      <c r="E140" s="10" t="s">
        <v>60</v>
      </c>
      <c r="F140" s="10" t="s">
        <v>176</v>
      </c>
      <c r="G140" s="10" t="s">
        <v>164</v>
      </c>
      <c r="H140" s="9"/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0.6252</v>
      </c>
      <c r="O140" s="6">
        <v>0</v>
      </c>
      <c r="P140" s="6">
        <v>0</v>
      </c>
      <c r="Q140" s="6">
        <v>0</v>
      </c>
      <c r="R140" s="6">
        <v>0.6252</v>
      </c>
      <c r="S140" s="6">
        <v>0</v>
      </c>
      <c r="T140" s="6">
        <v>0.6252</v>
      </c>
      <c r="XDP140" s="3"/>
      <c r="XDQ140" s="3"/>
      <c r="XDR140" s="3"/>
      <c r="XDS140" s="3"/>
      <c r="XDT140" s="3"/>
      <c r="XDU140" s="3"/>
      <c r="XDV140" s="3"/>
      <c r="XDW140" s="3"/>
    </row>
    <row r="141" s="1" customFormat="1" spans="1:16351">
      <c r="A141" s="10" t="s">
        <v>27</v>
      </c>
      <c r="B141" s="10" t="s">
        <v>27</v>
      </c>
      <c r="C141" s="12" t="s">
        <v>246</v>
      </c>
      <c r="D141" s="10" t="s">
        <v>237</v>
      </c>
      <c r="E141" s="10" t="s">
        <v>60</v>
      </c>
      <c r="F141" s="10" t="s">
        <v>176</v>
      </c>
      <c r="G141" s="10" t="s">
        <v>164</v>
      </c>
      <c r="H141" s="9"/>
      <c r="I141" s="6">
        <v>0</v>
      </c>
      <c r="J141" s="6">
        <v>0</v>
      </c>
      <c r="K141" s="6">
        <v>0</v>
      </c>
      <c r="L141" s="6">
        <v>0.3364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0.3364</v>
      </c>
      <c r="S141" s="6">
        <v>0</v>
      </c>
      <c r="T141" s="6">
        <v>0.3364</v>
      </c>
      <c r="XDP141" s="3"/>
      <c r="XDQ141" s="3"/>
      <c r="XDR141" s="3"/>
      <c r="XDS141" s="3"/>
      <c r="XDT141" s="3"/>
      <c r="XDU141" s="3"/>
      <c r="XDV141" s="3"/>
      <c r="XDW141" s="3"/>
    </row>
    <row r="142" spans="1:20">
      <c r="A142" s="4" t="s">
        <v>252</v>
      </c>
      <c r="B142" s="4" t="s">
        <v>252</v>
      </c>
      <c r="C142" s="4" t="s">
        <v>253</v>
      </c>
      <c r="D142" s="4" t="s">
        <v>64</v>
      </c>
      <c r="E142" s="4" t="s">
        <v>64</v>
      </c>
      <c r="F142" s="4" t="s">
        <v>254</v>
      </c>
      <c r="G142" s="4" t="s">
        <v>255</v>
      </c>
      <c r="H142" s="4">
        <v>220</v>
      </c>
      <c r="I142" s="6">
        <v>54.3</v>
      </c>
      <c r="J142" s="6">
        <v>23.594954</v>
      </c>
      <c r="K142" s="6">
        <v>11.5</v>
      </c>
      <c r="L142" s="6">
        <v>15.6103</v>
      </c>
      <c r="M142" s="6">
        <v>17.16</v>
      </c>
      <c r="N142" s="6">
        <v>5.1953</v>
      </c>
      <c r="O142" s="6">
        <v>16.54303</v>
      </c>
      <c r="P142" s="6">
        <v>11.3309</v>
      </c>
      <c r="Q142" s="6">
        <v>45.20303</v>
      </c>
      <c r="R142" s="6">
        <v>32.1365</v>
      </c>
      <c r="S142" s="6">
        <v>99.50303</v>
      </c>
      <c r="T142" s="6">
        <v>55.731454</v>
      </c>
    </row>
    <row r="143" spans="1:20">
      <c r="A143" s="4" t="s">
        <v>252</v>
      </c>
      <c r="B143" s="4" t="s">
        <v>256</v>
      </c>
      <c r="C143" s="4" t="s">
        <v>257</v>
      </c>
      <c r="D143" s="4" t="s">
        <v>55</v>
      </c>
      <c r="E143" s="4" t="s">
        <v>55</v>
      </c>
      <c r="F143" s="4" t="s">
        <v>258</v>
      </c>
      <c r="G143" s="4" t="s">
        <v>260</v>
      </c>
      <c r="H143" s="4">
        <v>200</v>
      </c>
      <c r="I143" s="6">
        <v>37.55594</v>
      </c>
      <c r="J143" s="6">
        <v>50.2381</v>
      </c>
      <c r="K143" s="6">
        <v>6.6218</v>
      </c>
      <c r="L143" s="6">
        <v>10.3867</v>
      </c>
      <c r="M143" s="6">
        <v>6.2805</v>
      </c>
      <c r="N143" s="6">
        <v>13.6346</v>
      </c>
      <c r="O143" s="6">
        <v>10.974</v>
      </c>
      <c r="P143" s="6">
        <v>20.8633</v>
      </c>
      <c r="Q143" s="6">
        <v>23.8763</v>
      </c>
      <c r="R143" s="6">
        <v>44.8846</v>
      </c>
      <c r="S143" s="6">
        <v>61.43224</v>
      </c>
      <c r="T143" s="6">
        <v>95.1227</v>
      </c>
    </row>
    <row r="144" spans="1:20">
      <c r="A144" s="4" t="s">
        <v>252</v>
      </c>
      <c r="B144" s="4" t="s">
        <v>252</v>
      </c>
      <c r="C144" s="4" t="s">
        <v>261</v>
      </c>
      <c r="D144" s="4" t="s">
        <v>78</v>
      </c>
      <c r="E144" s="4" t="s">
        <v>78</v>
      </c>
      <c r="F144" s="4" t="s">
        <v>262</v>
      </c>
      <c r="G144" s="4" t="s">
        <v>263</v>
      </c>
      <c r="H144" s="4"/>
      <c r="I144" s="6">
        <v>9.756731</v>
      </c>
      <c r="J144" s="6">
        <v>54.152766</v>
      </c>
      <c r="K144" s="6">
        <v>24.058345</v>
      </c>
      <c r="L144" s="6">
        <v>24.45131</v>
      </c>
      <c r="M144" s="6">
        <v>10.083581</v>
      </c>
      <c r="N144" s="6">
        <v>19.301903</v>
      </c>
      <c r="O144" s="6">
        <v>6.433791</v>
      </c>
      <c r="P144" s="6">
        <v>24.175698</v>
      </c>
      <c r="Q144" s="6">
        <v>40.575717</v>
      </c>
      <c r="R144" s="6">
        <v>67.928911</v>
      </c>
      <c r="S144" s="6">
        <v>50.332448</v>
      </c>
      <c r="T144" s="6">
        <v>122.081677</v>
      </c>
    </row>
    <row r="145" spans="1:20">
      <c r="A145" s="4" t="s">
        <v>252</v>
      </c>
      <c r="B145" s="4" t="s">
        <v>252</v>
      </c>
      <c r="C145" s="4" t="s">
        <v>264</v>
      </c>
      <c r="D145" s="4" t="s">
        <v>83</v>
      </c>
      <c r="E145" s="4" t="s">
        <v>83</v>
      </c>
      <c r="F145" s="4" t="s">
        <v>262</v>
      </c>
      <c r="G145" s="4" t="s">
        <v>266</v>
      </c>
      <c r="H145" s="4"/>
      <c r="I145" s="6">
        <v>2.8724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2.8724</v>
      </c>
      <c r="T145" s="6">
        <v>0</v>
      </c>
    </row>
    <row r="146" spans="1:20">
      <c r="A146" s="4" t="s">
        <v>252</v>
      </c>
      <c r="B146" s="4" t="s">
        <v>256</v>
      </c>
      <c r="C146" s="4" t="s">
        <v>267</v>
      </c>
      <c r="D146" s="4" t="s">
        <v>64</v>
      </c>
      <c r="E146" s="4" t="s">
        <v>64</v>
      </c>
      <c r="F146" s="4" t="s">
        <v>258</v>
      </c>
      <c r="G146" s="4" t="s">
        <v>260</v>
      </c>
      <c r="H146" s="4">
        <v>80</v>
      </c>
      <c r="I146" s="6">
        <v>6.67</v>
      </c>
      <c r="J146" s="6">
        <v>6.2582</v>
      </c>
      <c r="K146" s="6">
        <v>3.29</v>
      </c>
      <c r="L146" s="6">
        <v>3.9671</v>
      </c>
      <c r="M146" s="6">
        <v>6.5953</v>
      </c>
      <c r="N146" s="6">
        <v>4.8396</v>
      </c>
      <c r="O146" s="6">
        <v>1.46</v>
      </c>
      <c r="P146" s="6">
        <v>7.9258</v>
      </c>
      <c r="Q146" s="6">
        <v>11.3453</v>
      </c>
      <c r="R146" s="6">
        <v>16.7325</v>
      </c>
      <c r="S146" s="6">
        <v>18.0153</v>
      </c>
      <c r="T146" s="6">
        <v>22.9907</v>
      </c>
    </row>
    <row r="147" spans="1:20">
      <c r="A147" s="4" t="s">
        <v>252</v>
      </c>
      <c r="B147" s="4" t="s">
        <v>252</v>
      </c>
      <c r="C147" s="4" t="s">
        <v>269</v>
      </c>
      <c r="D147" s="4" t="s">
        <v>60</v>
      </c>
      <c r="E147" s="4" t="s">
        <v>60</v>
      </c>
      <c r="F147" s="4" t="s">
        <v>270</v>
      </c>
      <c r="G147" s="4" t="s">
        <v>255</v>
      </c>
      <c r="H147" s="4">
        <v>20</v>
      </c>
      <c r="I147" s="6">
        <v>2.5</v>
      </c>
      <c r="J147" s="6">
        <v>0.9484</v>
      </c>
      <c r="K147" s="6">
        <v>0.08</v>
      </c>
      <c r="L147" s="6">
        <v>0.2766</v>
      </c>
      <c r="M147" s="6">
        <v>1.8078</v>
      </c>
      <c r="N147" s="6">
        <v>0</v>
      </c>
      <c r="O147" s="6">
        <v>0</v>
      </c>
      <c r="P147" s="6">
        <v>0</v>
      </c>
      <c r="Q147" s="6">
        <v>1.8878</v>
      </c>
      <c r="R147" s="6">
        <v>0.2766</v>
      </c>
      <c r="S147" s="6">
        <v>4.3878</v>
      </c>
      <c r="T147" s="6">
        <v>1.225</v>
      </c>
    </row>
    <row r="148" spans="1:20">
      <c r="A148" s="4" t="s">
        <v>252</v>
      </c>
      <c r="B148" s="4" t="s">
        <v>252</v>
      </c>
      <c r="C148" s="4" t="s">
        <v>271</v>
      </c>
      <c r="D148" s="4" t="s">
        <v>64</v>
      </c>
      <c r="E148" s="4" t="s">
        <v>64</v>
      </c>
      <c r="F148" s="4" t="s">
        <v>272</v>
      </c>
      <c r="G148" s="4" t="s">
        <v>263</v>
      </c>
      <c r="H148" s="4"/>
      <c r="I148" s="6">
        <v>17.1365</v>
      </c>
      <c r="J148" s="6">
        <v>0</v>
      </c>
      <c r="K148" s="6">
        <v>1.3493</v>
      </c>
      <c r="L148" s="6">
        <v>0</v>
      </c>
      <c r="M148" s="6">
        <v>3.6809</v>
      </c>
      <c r="N148" s="6">
        <v>0</v>
      </c>
      <c r="O148" s="6">
        <v>3.4615</v>
      </c>
      <c r="P148" s="6">
        <v>0</v>
      </c>
      <c r="Q148" s="6">
        <v>8.4917</v>
      </c>
      <c r="R148" s="6">
        <v>0</v>
      </c>
      <c r="S148" s="6">
        <v>25.6282</v>
      </c>
      <c r="T148" s="6">
        <v>0</v>
      </c>
    </row>
    <row r="149" spans="1:20">
      <c r="A149" s="4" t="s">
        <v>252</v>
      </c>
      <c r="B149" s="4" t="s">
        <v>252</v>
      </c>
      <c r="C149" s="4" t="s">
        <v>273</v>
      </c>
      <c r="D149" s="4" t="s">
        <v>83</v>
      </c>
      <c r="E149" s="4" t="s">
        <v>83</v>
      </c>
      <c r="F149" s="4" t="s">
        <v>262</v>
      </c>
      <c r="G149" s="4" t="s">
        <v>266</v>
      </c>
      <c r="H149" s="4">
        <v>200</v>
      </c>
      <c r="I149" s="6">
        <v>14.0557</v>
      </c>
      <c r="J149" s="6">
        <v>65.7324</v>
      </c>
      <c r="K149" s="6">
        <v>9.517</v>
      </c>
      <c r="L149" s="6">
        <v>14.4687</v>
      </c>
      <c r="M149" s="6">
        <v>6.6978</v>
      </c>
      <c r="N149" s="6">
        <v>20.1219</v>
      </c>
      <c r="O149" s="6">
        <v>18.7833</v>
      </c>
      <c r="P149" s="6">
        <v>31.0376</v>
      </c>
      <c r="Q149" s="6">
        <v>34.9981</v>
      </c>
      <c r="R149" s="6">
        <v>65.6282</v>
      </c>
      <c r="S149" s="6">
        <v>49.0538</v>
      </c>
      <c r="T149" s="6">
        <v>131.3606</v>
      </c>
    </row>
    <row r="150" spans="1:20">
      <c r="A150" s="4" t="s">
        <v>252</v>
      </c>
      <c r="B150" s="4" t="s">
        <v>252</v>
      </c>
      <c r="C150" s="4" t="s">
        <v>274</v>
      </c>
      <c r="D150" s="4" t="s">
        <v>60</v>
      </c>
      <c r="E150" s="4" t="s">
        <v>60</v>
      </c>
      <c r="F150" s="4" t="s">
        <v>272</v>
      </c>
      <c r="G150" s="4" t="s">
        <v>263</v>
      </c>
      <c r="H150" s="4">
        <v>30</v>
      </c>
      <c r="I150" s="6">
        <v>4.0876</v>
      </c>
      <c r="J150" s="6">
        <v>3.3367</v>
      </c>
      <c r="K150" s="6">
        <v>0.7276</v>
      </c>
      <c r="L150" s="6">
        <v>0.1479</v>
      </c>
      <c r="M150" s="6">
        <v>2.1993</v>
      </c>
      <c r="N150" s="6">
        <v>0</v>
      </c>
      <c r="O150" s="6">
        <v>0</v>
      </c>
      <c r="P150" s="6">
        <v>0</v>
      </c>
      <c r="Q150" s="6">
        <v>2.9269</v>
      </c>
      <c r="R150" s="6">
        <v>0.1479</v>
      </c>
      <c r="S150" s="6">
        <v>7.0145</v>
      </c>
      <c r="T150" s="6">
        <v>3.4846</v>
      </c>
    </row>
    <row r="151" spans="1:20">
      <c r="A151" s="4" t="s">
        <v>252</v>
      </c>
      <c r="B151" s="4" t="s">
        <v>252</v>
      </c>
      <c r="C151" s="4" t="s">
        <v>275</v>
      </c>
      <c r="D151" s="4" t="s">
        <v>87</v>
      </c>
      <c r="E151" s="4" t="s">
        <v>87</v>
      </c>
      <c r="F151" s="4" t="s">
        <v>262</v>
      </c>
      <c r="G151" s="4" t="s">
        <v>266</v>
      </c>
      <c r="H151" s="4"/>
      <c r="I151" s="6">
        <v>1.265</v>
      </c>
      <c r="J151" s="6">
        <v>1.0313</v>
      </c>
      <c r="K151" s="6">
        <v>0</v>
      </c>
      <c r="L151" s="6">
        <v>1.2</v>
      </c>
      <c r="M151" s="6">
        <v>0.18</v>
      </c>
      <c r="N151" s="6">
        <v>0</v>
      </c>
      <c r="O151" s="6">
        <v>1.0093</v>
      </c>
      <c r="P151" s="6">
        <v>0.2502</v>
      </c>
      <c r="Q151" s="6">
        <v>1.1893</v>
      </c>
      <c r="R151" s="6">
        <v>1.4502</v>
      </c>
      <c r="S151" s="6">
        <v>2.4543</v>
      </c>
      <c r="T151" s="6">
        <v>2.4815</v>
      </c>
    </row>
    <row r="152" spans="1:20">
      <c r="A152" s="4" t="s">
        <v>252</v>
      </c>
      <c r="B152" s="4" t="s">
        <v>252</v>
      </c>
      <c r="C152" s="4" t="s">
        <v>276</v>
      </c>
      <c r="D152" s="4" t="s">
        <v>60</v>
      </c>
      <c r="E152" s="4" t="s">
        <v>60</v>
      </c>
      <c r="F152" s="4" t="s">
        <v>277</v>
      </c>
      <c r="G152" s="4" t="s">
        <v>255</v>
      </c>
      <c r="H152" s="4"/>
      <c r="I152" s="6">
        <v>0.6649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0.6649</v>
      </c>
      <c r="T152" s="6">
        <v>0</v>
      </c>
    </row>
    <row r="153" spans="1:20">
      <c r="A153" s="4" t="s">
        <v>252</v>
      </c>
      <c r="B153" s="4" t="s">
        <v>256</v>
      </c>
      <c r="C153" s="4" t="s">
        <v>278</v>
      </c>
      <c r="D153" s="4" t="s">
        <v>60</v>
      </c>
      <c r="E153" s="4" t="s">
        <v>60</v>
      </c>
      <c r="F153" s="4" t="s">
        <v>279</v>
      </c>
      <c r="G153" s="4" t="s">
        <v>260</v>
      </c>
      <c r="H153" s="4"/>
      <c r="I153" s="6">
        <v>1.9218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1.9218</v>
      </c>
      <c r="T153" s="6">
        <v>0</v>
      </c>
    </row>
    <row r="154" spans="1:20">
      <c r="A154" s="4" t="s">
        <v>252</v>
      </c>
      <c r="B154" s="4" t="s">
        <v>252</v>
      </c>
      <c r="C154" s="4" t="s">
        <v>280</v>
      </c>
      <c r="D154" s="4" t="s">
        <v>64</v>
      </c>
      <c r="E154" s="4" t="s">
        <v>64</v>
      </c>
      <c r="F154" s="4" t="s">
        <v>254</v>
      </c>
      <c r="G154" s="4" t="s">
        <v>255</v>
      </c>
      <c r="H154" s="4"/>
      <c r="I154" s="6">
        <v>14.6322</v>
      </c>
      <c r="J154" s="6">
        <v>0</v>
      </c>
      <c r="K154" s="6">
        <v>4.8756</v>
      </c>
      <c r="L154" s="6">
        <v>0</v>
      </c>
      <c r="M154" s="6">
        <v>5.7457</v>
      </c>
      <c r="N154" s="6">
        <v>0</v>
      </c>
      <c r="O154" s="6">
        <v>3.4276</v>
      </c>
      <c r="P154" s="6">
        <v>0</v>
      </c>
      <c r="Q154" s="6">
        <v>14.0489</v>
      </c>
      <c r="R154" s="6">
        <v>0</v>
      </c>
      <c r="S154" s="6">
        <v>28.6811</v>
      </c>
      <c r="T154" s="6">
        <v>0</v>
      </c>
    </row>
    <row r="155" spans="1:20">
      <c r="A155" s="4" t="s">
        <v>252</v>
      </c>
      <c r="B155" s="4" t="s">
        <v>252</v>
      </c>
      <c r="C155" s="4" t="s">
        <v>281</v>
      </c>
      <c r="D155" s="4" t="s">
        <v>60</v>
      </c>
      <c r="E155" s="4" t="s">
        <v>60</v>
      </c>
      <c r="F155" s="4" t="s">
        <v>270</v>
      </c>
      <c r="G155" s="4" t="s">
        <v>255</v>
      </c>
      <c r="H155" s="4"/>
      <c r="I155" s="6">
        <v>0.169</v>
      </c>
      <c r="J155" s="6">
        <v>0</v>
      </c>
      <c r="K155" s="6">
        <v>0.3375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0.3375</v>
      </c>
      <c r="R155" s="6">
        <v>0</v>
      </c>
      <c r="S155" s="6">
        <v>0.5065</v>
      </c>
      <c r="T155" s="6">
        <v>0</v>
      </c>
    </row>
    <row r="156" spans="1:20">
      <c r="A156" s="4" t="s">
        <v>252</v>
      </c>
      <c r="B156" s="4" t="s">
        <v>252</v>
      </c>
      <c r="C156" s="4" t="s">
        <v>282</v>
      </c>
      <c r="D156" s="4" t="s">
        <v>60</v>
      </c>
      <c r="E156" s="4" t="s">
        <v>60</v>
      </c>
      <c r="F156" s="4" t="s">
        <v>262</v>
      </c>
      <c r="G156" s="4" t="s">
        <v>263</v>
      </c>
      <c r="H156" s="4"/>
      <c r="I156" s="6">
        <v>2.6141</v>
      </c>
      <c r="J156" s="6">
        <v>-0.1226</v>
      </c>
      <c r="K156" s="6">
        <v>0</v>
      </c>
      <c r="L156" s="6">
        <v>0</v>
      </c>
      <c r="M156" s="6">
        <v>0</v>
      </c>
      <c r="N156" s="6">
        <v>0</v>
      </c>
      <c r="O156" s="6">
        <v>4.7792</v>
      </c>
      <c r="P156" s="6">
        <v>0.3242</v>
      </c>
      <c r="Q156" s="6">
        <v>4.7792</v>
      </c>
      <c r="R156" s="6">
        <v>0.3242</v>
      </c>
      <c r="S156" s="6">
        <v>7.3933</v>
      </c>
      <c r="T156" s="6">
        <v>0.2016</v>
      </c>
    </row>
    <row r="157" spans="1:20">
      <c r="A157" s="4" t="s">
        <v>252</v>
      </c>
      <c r="B157" s="4" t="s">
        <v>256</v>
      </c>
      <c r="C157" s="4" t="s">
        <v>284</v>
      </c>
      <c r="D157" s="4" t="s">
        <v>60</v>
      </c>
      <c r="E157" s="4" t="s">
        <v>60</v>
      </c>
      <c r="F157" s="4" t="s">
        <v>285</v>
      </c>
      <c r="G157" s="4" t="s">
        <v>260</v>
      </c>
      <c r="H157" s="4">
        <v>5</v>
      </c>
      <c r="I157" s="6">
        <v>0</v>
      </c>
      <c r="J157" s="6">
        <v>0.5612</v>
      </c>
      <c r="K157" s="6">
        <v>0.2998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0.2998</v>
      </c>
      <c r="R157" s="6">
        <v>0</v>
      </c>
      <c r="S157" s="6">
        <v>0.2998</v>
      </c>
      <c r="T157" s="6">
        <v>0.5612</v>
      </c>
    </row>
    <row r="158" spans="1:20">
      <c r="A158" s="4" t="s">
        <v>252</v>
      </c>
      <c r="B158" s="4" t="s">
        <v>256</v>
      </c>
      <c r="C158" s="4" t="s">
        <v>286</v>
      </c>
      <c r="D158" s="4" t="s">
        <v>60</v>
      </c>
      <c r="E158" s="4" t="s">
        <v>60</v>
      </c>
      <c r="F158" s="4" t="s">
        <v>287</v>
      </c>
      <c r="G158" s="4" t="s">
        <v>260</v>
      </c>
      <c r="H158" s="4">
        <v>30</v>
      </c>
      <c r="I158" s="6">
        <v>0</v>
      </c>
      <c r="J158" s="6">
        <v>0</v>
      </c>
      <c r="K158" s="6">
        <v>2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2</v>
      </c>
      <c r="R158" s="6">
        <v>0</v>
      </c>
      <c r="S158" s="6">
        <v>2</v>
      </c>
      <c r="T158" s="6">
        <v>0</v>
      </c>
    </row>
    <row r="159" spans="1:20">
      <c r="A159" s="4" t="s">
        <v>252</v>
      </c>
      <c r="B159" s="4" t="s">
        <v>252</v>
      </c>
      <c r="C159" s="4" t="s">
        <v>288</v>
      </c>
      <c r="D159" s="4" t="s">
        <v>60</v>
      </c>
      <c r="E159" s="4" t="s">
        <v>60</v>
      </c>
      <c r="F159" s="4" t="s">
        <v>262</v>
      </c>
      <c r="G159" s="4" t="s">
        <v>263</v>
      </c>
      <c r="H159" s="4">
        <v>10</v>
      </c>
      <c r="I159" s="6">
        <v>0</v>
      </c>
      <c r="J159" s="6">
        <v>1.4414</v>
      </c>
      <c r="K159" s="6">
        <v>0.181</v>
      </c>
      <c r="L159" s="6">
        <v>0</v>
      </c>
      <c r="M159" s="6">
        <v>0.4787</v>
      </c>
      <c r="N159" s="6">
        <v>0</v>
      </c>
      <c r="O159" s="6">
        <v>0.8454</v>
      </c>
      <c r="P159" s="6">
        <v>0</v>
      </c>
      <c r="Q159" s="6">
        <v>1.5051</v>
      </c>
      <c r="R159" s="6">
        <v>0</v>
      </c>
      <c r="S159" s="6">
        <v>1.5051</v>
      </c>
      <c r="T159" s="6">
        <v>1.4414</v>
      </c>
    </row>
    <row r="160" spans="1:20">
      <c r="A160" s="4" t="s">
        <v>252</v>
      </c>
      <c r="B160" s="4" t="s">
        <v>252</v>
      </c>
      <c r="C160" s="4" t="s">
        <v>289</v>
      </c>
      <c r="D160" s="4" t="s">
        <v>60</v>
      </c>
      <c r="E160" s="4" t="s">
        <v>60</v>
      </c>
      <c r="F160" s="4" t="s">
        <v>272</v>
      </c>
      <c r="G160" s="4" t="s">
        <v>263</v>
      </c>
      <c r="H160" s="4"/>
      <c r="I160" s="6">
        <v>0</v>
      </c>
      <c r="J160" s="6">
        <v>0</v>
      </c>
      <c r="K160" s="6">
        <v>0</v>
      </c>
      <c r="L160" s="6">
        <v>0</v>
      </c>
      <c r="M160" s="6">
        <v>3</v>
      </c>
      <c r="N160" s="6">
        <v>0</v>
      </c>
      <c r="O160" s="6">
        <v>0</v>
      </c>
      <c r="P160" s="6">
        <v>0</v>
      </c>
      <c r="Q160" s="6">
        <v>3</v>
      </c>
      <c r="R160" s="6">
        <v>0</v>
      </c>
      <c r="S160" s="6">
        <v>3</v>
      </c>
      <c r="T160" s="6">
        <v>0</v>
      </c>
    </row>
    <row r="161" spans="1:20">
      <c r="A161" s="4" t="s">
        <v>252</v>
      </c>
      <c r="B161" s="4" t="s">
        <v>252</v>
      </c>
      <c r="C161" s="4" t="s">
        <v>114</v>
      </c>
      <c r="D161" s="4" t="s">
        <v>113</v>
      </c>
      <c r="E161" s="4" t="s">
        <v>113</v>
      </c>
      <c r="F161" s="4" t="s">
        <v>262</v>
      </c>
      <c r="G161" s="4" t="s">
        <v>263</v>
      </c>
      <c r="H161" s="4"/>
      <c r="I161" s="6">
        <v>0</v>
      </c>
      <c r="J161" s="6">
        <v>0.1732</v>
      </c>
      <c r="K161" s="6">
        <v>0</v>
      </c>
      <c r="L161" s="6">
        <v>0.2701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0.2701</v>
      </c>
      <c r="S161" s="6">
        <v>0</v>
      </c>
      <c r="T161" s="6">
        <v>0.4433</v>
      </c>
    </row>
    <row r="162" spans="1:20">
      <c r="A162" s="4" t="s">
        <v>252</v>
      </c>
      <c r="B162" s="4" t="s">
        <v>252</v>
      </c>
      <c r="C162" s="4" t="s">
        <v>118</v>
      </c>
      <c r="D162" s="4" t="s">
        <v>60</v>
      </c>
      <c r="E162" s="4" t="s">
        <v>60</v>
      </c>
      <c r="F162" s="4" t="s">
        <v>262</v>
      </c>
      <c r="G162" s="4" t="s">
        <v>263</v>
      </c>
      <c r="H162" s="4"/>
      <c r="I162" s="6">
        <v>0</v>
      </c>
      <c r="J162" s="6">
        <v>1.634012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1.634012</v>
      </c>
    </row>
    <row r="163" spans="1:20">
      <c r="A163" s="4" t="s">
        <v>252</v>
      </c>
      <c r="B163" s="4" t="s">
        <v>256</v>
      </c>
      <c r="C163" s="4" t="s">
        <v>290</v>
      </c>
      <c r="D163" s="4" t="s">
        <v>60</v>
      </c>
      <c r="E163" s="4" t="s">
        <v>60</v>
      </c>
      <c r="F163" s="4" t="s">
        <v>258</v>
      </c>
      <c r="G163" s="4" t="s">
        <v>260</v>
      </c>
      <c r="H163" s="4"/>
      <c r="I163" s="6">
        <v>0</v>
      </c>
      <c r="J163" s="6">
        <v>0.7988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0.7988</v>
      </c>
    </row>
    <row r="164" spans="1:20">
      <c r="A164" s="4" t="s">
        <v>252</v>
      </c>
      <c r="B164" s="4" t="s">
        <v>252</v>
      </c>
      <c r="C164" s="4" t="s">
        <v>291</v>
      </c>
      <c r="D164" s="4" t="s">
        <v>60</v>
      </c>
      <c r="E164" s="4" t="s">
        <v>60</v>
      </c>
      <c r="F164" s="4" t="s">
        <v>262</v>
      </c>
      <c r="G164" s="4" t="s">
        <v>263</v>
      </c>
      <c r="H164" s="4"/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</row>
    <row r="165" spans="1:20">
      <c r="A165" s="4" t="s">
        <v>252</v>
      </c>
      <c r="B165" s="4" t="s">
        <v>252</v>
      </c>
      <c r="C165" s="4" t="s">
        <v>292</v>
      </c>
      <c r="D165" s="4" t="s">
        <v>60</v>
      </c>
      <c r="E165" s="4" t="s">
        <v>60</v>
      </c>
      <c r="F165" s="4" t="s">
        <v>262</v>
      </c>
      <c r="G165" s="4" t="s">
        <v>263</v>
      </c>
      <c r="H165" s="4"/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1.0781</v>
      </c>
      <c r="O165" s="6">
        <v>0</v>
      </c>
      <c r="P165" s="6">
        <v>1.1769</v>
      </c>
      <c r="Q165" s="6">
        <v>0</v>
      </c>
      <c r="R165" s="6">
        <v>2.255</v>
      </c>
      <c r="S165" s="6">
        <v>0</v>
      </c>
      <c r="T165" s="6">
        <v>2.255</v>
      </c>
    </row>
    <row r="166" spans="1:20">
      <c r="A166" s="4" t="s">
        <v>252</v>
      </c>
      <c r="B166" s="4" t="s">
        <v>252</v>
      </c>
      <c r="C166" s="4" t="s">
        <v>293</v>
      </c>
      <c r="D166" s="4" t="s">
        <v>60</v>
      </c>
      <c r="E166" s="4" t="s">
        <v>60</v>
      </c>
      <c r="F166" s="4" t="s">
        <v>254</v>
      </c>
      <c r="G166" s="4" t="s">
        <v>255</v>
      </c>
      <c r="H166" s="4">
        <v>10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2</v>
      </c>
      <c r="O166" s="6">
        <v>0</v>
      </c>
      <c r="P166" s="6">
        <v>0</v>
      </c>
      <c r="Q166" s="6">
        <v>0</v>
      </c>
      <c r="R166" s="6">
        <v>2</v>
      </c>
      <c r="S166" s="6">
        <v>0</v>
      </c>
      <c r="T166" s="6">
        <v>2</v>
      </c>
    </row>
    <row r="167" spans="1:20">
      <c r="A167" s="4" t="s">
        <v>252</v>
      </c>
      <c r="B167" s="4" t="s">
        <v>252</v>
      </c>
      <c r="C167" s="4" t="s">
        <v>294</v>
      </c>
      <c r="D167" s="4" t="s">
        <v>60</v>
      </c>
      <c r="E167" s="4" t="s">
        <v>60</v>
      </c>
      <c r="F167" s="4" t="s">
        <v>262</v>
      </c>
      <c r="G167" s="4" t="s">
        <v>263</v>
      </c>
      <c r="H167" s="4">
        <v>10</v>
      </c>
      <c r="I167" s="6">
        <v>0</v>
      </c>
      <c r="J167" s="6">
        <v>2.7267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2.7267</v>
      </c>
    </row>
    <row r="168" spans="1:20">
      <c r="A168" s="4" t="s">
        <v>252</v>
      </c>
      <c r="B168" s="4" t="s">
        <v>252</v>
      </c>
      <c r="C168" s="4" t="s">
        <v>295</v>
      </c>
      <c r="D168" s="4" t="s">
        <v>60</v>
      </c>
      <c r="E168" s="4" t="s">
        <v>60</v>
      </c>
      <c r="F168" s="4" t="s">
        <v>262</v>
      </c>
      <c r="G168" s="4" t="s">
        <v>263</v>
      </c>
      <c r="H168" s="4">
        <v>54</v>
      </c>
      <c r="I168" s="6">
        <v>0</v>
      </c>
      <c r="J168" s="6">
        <v>0</v>
      </c>
      <c r="K168" s="6">
        <v>0</v>
      </c>
      <c r="L168" s="6">
        <v>15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15</v>
      </c>
      <c r="S168" s="6">
        <v>0</v>
      </c>
      <c r="T168" s="6">
        <v>15</v>
      </c>
    </row>
    <row r="169" spans="1:20">
      <c r="A169" s="4" t="s">
        <v>31</v>
      </c>
      <c r="B169" s="4" t="s">
        <v>31</v>
      </c>
      <c r="C169" s="284" t="s">
        <v>297</v>
      </c>
      <c r="D169" s="4" t="s">
        <v>55</v>
      </c>
      <c r="E169" s="4" t="s">
        <v>55</v>
      </c>
      <c r="F169" s="284" t="s">
        <v>298</v>
      </c>
      <c r="G169" s="4" t="s">
        <v>299</v>
      </c>
      <c r="H169" s="4">
        <v>350</v>
      </c>
      <c r="I169" s="6">
        <v>17</v>
      </c>
      <c r="J169" s="6">
        <v>137</v>
      </c>
      <c r="K169" s="6">
        <v>9</v>
      </c>
      <c r="L169" s="6">
        <v>26</v>
      </c>
      <c r="M169" s="6">
        <v>30</v>
      </c>
      <c r="N169" s="6">
        <v>17</v>
      </c>
      <c r="O169" s="6">
        <v>17</v>
      </c>
      <c r="P169" s="6">
        <v>57</v>
      </c>
      <c r="Q169" s="6">
        <v>56</v>
      </c>
      <c r="R169" s="6">
        <v>100</v>
      </c>
      <c r="S169" s="6">
        <v>73</v>
      </c>
      <c r="T169" s="6">
        <v>237</v>
      </c>
    </row>
    <row r="170" spans="1:20">
      <c r="A170" s="4" t="s">
        <v>31</v>
      </c>
      <c r="B170" s="4" t="s">
        <v>31</v>
      </c>
      <c r="C170" s="4" t="s">
        <v>300</v>
      </c>
      <c r="D170" s="4" t="s">
        <v>60</v>
      </c>
      <c r="E170" s="4" t="s">
        <v>60</v>
      </c>
      <c r="F170" s="284" t="s">
        <v>298</v>
      </c>
      <c r="G170" s="4" t="s">
        <v>299</v>
      </c>
      <c r="H170" s="4">
        <v>40</v>
      </c>
      <c r="I170" s="6">
        <v>0</v>
      </c>
      <c r="J170" s="6">
        <v>1.7</v>
      </c>
      <c r="K170" s="6">
        <v>3</v>
      </c>
      <c r="L170" s="6">
        <v>0</v>
      </c>
      <c r="M170" s="6">
        <v>0</v>
      </c>
      <c r="N170" s="6">
        <v>0</v>
      </c>
      <c r="O170" s="6">
        <v>3</v>
      </c>
      <c r="P170" s="6">
        <v>0</v>
      </c>
      <c r="Q170" s="6">
        <v>6</v>
      </c>
      <c r="R170" s="6">
        <v>0</v>
      </c>
      <c r="S170" s="6">
        <v>6</v>
      </c>
      <c r="T170" s="6">
        <v>1.7</v>
      </c>
    </row>
    <row r="171" spans="1:20">
      <c r="A171" s="4" t="s">
        <v>31</v>
      </c>
      <c r="B171" s="4" t="s">
        <v>31</v>
      </c>
      <c r="C171" s="284" t="s">
        <v>301</v>
      </c>
      <c r="D171" s="4" t="s">
        <v>60</v>
      </c>
      <c r="E171" s="4" t="s">
        <v>55</v>
      </c>
      <c r="F171" s="4" t="s">
        <v>302</v>
      </c>
      <c r="G171" s="4" t="s">
        <v>303</v>
      </c>
      <c r="H171" s="4">
        <v>50</v>
      </c>
      <c r="I171" s="6">
        <v>11</v>
      </c>
      <c r="J171" s="6">
        <v>22</v>
      </c>
      <c r="K171" s="6">
        <v>3</v>
      </c>
      <c r="L171" s="6">
        <v>8</v>
      </c>
      <c r="M171" s="6">
        <v>8</v>
      </c>
      <c r="N171" s="6">
        <v>11</v>
      </c>
      <c r="O171" s="6">
        <v>11.8042</v>
      </c>
      <c r="P171" s="6">
        <v>8</v>
      </c>
      <c r="Q171" s="6">
        <v>22.8042</v>
      </c>
      <c r="R171" s="6">
        <v>27</v>
      </c>
      <c r="S171" s="6">
        <v>33.8042</v>
      </c>
      <c r="T171" s="6">
        <v>49</v>
      </c>
    </row>
    <row r="172" spans="1:20">
      <c r="A172" s="4" t="s">
        <v>31</v>
      </c>
      <c r="B172" s="4" t="s">
        <v>31</v>
      </c>
      <c r="C172" s="284" t="s">
        <v>304</v>
      </c>
      <c r="D172" s="4" t="s">
        <v>60</v>
      </c>
      <c r="E172" s="4" t="s">
        <v>60</v>
      </c>
      <c r="F172" s="284" t="s">
        <v>298</v>
      </c>
      <c r="G172" s="4" t="s">
        <v>299</v>
      </c>
      <c r="H172" s="4">
        <v>40</v>
      </c>
      <c r="I172" s="6">
        <v>4.2291</v>
      </c>
      <c r="J172" s="6">
        <v>0.3953</v>
      </c>
      <c r="K172" s="6">
        <v>2.906</v>
      </c>
      <c r="L172" s="6">
        <v>0.4074</v>
      </c>
      <c r="M172" s="6">
        <v>3.5379</v>
      </c>
      <c r="N172" s="6">
        <v>0</v>
      </c>
      <c r="O172" s="6">
        <v>1.3721</v>
      </c>
      <c r="P172" s="6">
        <v>1.2739</v>
      </c>
      <c r="Q172" s="6">
        <v>7.816</v>
      </c>
      <c r="R172" s="6">
        <v>1.6813</v>
      </c>
      <c r="S172" s="6">
        <v>12.0451</v>
      </c>
      <c r="T172" s="6">
        <v>2.0766</v>
      </c>
    </row>
    <row r="173" spans="1:20">
      <c r="A173" s="4" t="s">
        <v>31</v>
      </c>
      <c r="B173" s="4" t="s">
        <v>31</v>
      </c>
      <c r="C173" s="284" t="s">
        <v>305</v>
      </c>
      <c r="D173" s="4" t="s">
        <v>60</v>
      </c>
      <c r="E173" s="4" t="s">
        <v>60</v>
      </c>
      <c r="F173" s="284" t="s">
        <v>302</v>
      </c>
      <c r="G173" s="4" t="s">
        <v>303</v>
      </c>
      <c r="H173" s="4">
        <v>15</v>
      </c>
      <c r="I173" s="6">
        <v>0</v>
      </c>
      <c r="J173" s="6">
        <v>5</v>
      </c>
      <c r="K173" s="6">
        <v>0</v>
      </c>
      <c r="L173" s="6">
        <v>0</v>
      </c>
      <c r="M173" s="6">
        <v>5</v>
      </c>
      <c r="N173" s="6">
        <v>0</v>
      </c>
      <c r="O173" s="6">
        <v>0</v>
      </c>
      <c r="P173" s="6">
        <v>5</v>
      </c>
      <c r="Q173" s="6">
        <v>5</v>
      </c>
      <c r="R173" s="6">
        <v>5</v>
      </c>
      <c r="S173" s="6">
        <v>5</v>
      </c>
      <c r="T173" s="6">
        <v>10</v>
      </c>
    </row>
    <row r="174" spans="1:20">
      <c r="A174" s="4" t="s">
        <v>31</v>
      </c>
      <c r="B174" s="4" t="s">
        <v>31</v>
      </c>
      <c r="C174" s="284" t="s">
        <v>306</v>
      </c>
      <c r="D174" s="4" t="s">
        <v>60</v>
      </c>
      <c r="E174" s="4" t="s">
        <v>60</v>
      </c>
      <c r="F174" s="284" t="s">
        <v>307</v>
      </c>
      <c r="G174" s="4" t="s">
        <v>303</v>
      </c>
      <c r="H174" s="4">
        <v>25</v>
      </c>
      <c r="I174" s="6">
        <v>4</v>
      </c>
      <c r="J174" s="6">
        <v>7</v>
      </c>
      <c r="K174" s="6">
        <v>2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2</v>
      </c>
      <c r="R174" s="6">
        <v>0</v>
      </c>
      <c r="S174" s="6">
        <v>6</v>
      </c>
      <c r="T174" s="6">
        <v>7</v>
      </c>
    </row>
    <row r="175" spans="1:20">
      <c r="A175" s="4" t="s">
        <v>31</v>
      </c>
      <c r="B175" s="4" t="s">
        <v>31</v>
      </c>
      <c r="C175" s="4" t="s">
        <v>308</v>
      </c>
      <c r="D175" s="4" t="s">
        <v>60</v>
      </c>
      <c r="E175" s="4" t="s">
        <v>60</v>
      </c>
      <c r="F175" s="284" t="s">
        <v>302</v>
      </c>
      <c r="G175" s="4" t="s">
        <v>303</v>
      </c>
      <c r="H175" s="4"/>
      <c r="I175" s="6">
        <v>1.5731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1.5731</v>
      </c>
      <c r="T175" s="6">
        <v>0</v>
      </c>
    </row>
    <row r="176" spans="1:20">
      <c r="A176" s="4" t="s">
        <v>31</v>
      </c>
      <c r="B176" s="4" t="s">
        <v>31</v>
      </c>
      <c r="C176" s="4" t="s">
        <v>309</v>
      </c>
      <c r="D176" s="4" t="s">
        <v>78</v>
      </c>
      <c r="E176" s="4" t="s">
        <v>78</v>
      </c>
      <c r="F176" s="4" t="s">
        <v>310</v>
      </c>
      <c r="G176" s="4" t="s">
        <v>311</v>
      </c>
      <c r="H176" s="4">
        <v>255</v>
      </c>
      <c r="I176" s="6">
        <v>74.231631</v>
      </c>
      <c r="J176" s="6">
        <v>49.922999</v>
      </c>
      <c r="K176" s="6">
        <v>8.896362</v>
      </c>
      <c r="L176" s="6">
        <v>18.091035</v>
      </c>
      <c r="M176" s="6">
        <v>19.085041</v>
      </c>
      <c r="N176" s="6">
        <v>47.003953</v>
      </c>
      <c r="O176" s="6">
        <v>9.827344</v>
      </c>
      <c r="P176" s="6">
        <v>40.272313</v>
      </c>
      <c r="Q176" s="6">
        <v>37.808747</v>
      </c>
      <c r="R176" s="6">
        <v>105.367301</v>
      </c>
      <c r="S176" s="6">
        <v>112.040378</v>
      </c>
      <c r="T176" s="6">
        <v>155.2903</v>
      </c>
    </row>
    <row r="177" spans="1:20">
      <c r="A177" s="4" t="s">
        <v>31</v>
      </c>
      <c r="B177" s="4" t="s">
        <v>31</v>
      </c>
      <c r="C177" s="4" t="s">
        <v>312</v>
      </c>
      <c r="D177" s="4" t="s">
        <v>60</v>
      </c>
      <c r="E177" s="4" t="s">
        <v>55</v>
      </c>
      <c r="F177" s="284" t="s">
        <v>302</v>
      </c>
      <c r="G177" s="4" t="s">
        <v>303</v>
      </c>
      <c r="H177" s="4">
        <v>80</v>
      </c>
      <c r="I177" s="6">
        <v>18.545</v>
      </c>
      <c r="J177" s="6">
        <v>12.2332</v>
      </c>
      <c r="K177" s="6">
        <v>6.4458</v>
      </c>
      <c r="L177" s="6">
        <v>3.83</v>
      </c>
      <c r="M177" s="6">
        <v>3.412</v>
      </c>
      <c r="N177" s="6">
        <v>2.0125</v>
      </c>
      <c r="O177" s="6">
        <v>4.4233</v>
      </c>
      <c r="P177" s="6">
        <v>2.3218</v>
      </c>
      <c r="Q177" s="6">
        <v>14.2811</v>
      </c>
      <c r="R177" s="6">
        <v>8.1643</v>
      </c>
      <c r="S177" s="6">
        <v>32.8261</v>
      </c>
      <c r="T177" s="6">
        <v>20.3975</v>
      </c>
    </row>
    <row r="178" spans="1:20">
      <c r="A178" s="4" t="s">
        <v>31</v>
      </c>
      <c r="B178" s="4" t="s">
        <v>31</v>
      </c>
      <c r="C178" s="4" t="s">
        <v>313</v>
      </c>
      <c r="D178" s="4" t="s">
        <v>60</v>
      </c>
      <c r="E178" s="4" t="s">
        <v>60</v>
      </c>
      <c r="F178" s="284" t="s">
        <v>302</v>
      </c>
      <c r="G178" s="4" t="s">
        <v>303</v>
      </c>
      <c r="H178" s="4">
        <v>15</v>
      </c>
      <c r="I178" s="6">
        <v>8</v>
      </c>
      <c r="J178" s="6">
        <v>5</v>
      </c>
      <c r="K178" s="6">
        <v>0</v>
      </c>
      <c r="L178" s="6">
        <v>0</v>
      </c>
      <c r="M178" s="6">
        <v>0</v>
      </c>
      <c r="N178" s="6">
        <v>5</v>
      </c>
      <c r="O178" s="6">
        <v>0</v>
      </c>
      <c r="P178" s="6">
        <v>0</v>
      </c>
      <c r="Q178" s="6">
        <v>0</v>
      </c>
      <c r="R178" s="6">
        <v>5</v>
      </c>
      <c r="S178" s="6">
        <v>8</v>
      </c>
      <c r="T178" s="6">
        <v>10</v>
      </c>
    </row>
    <row r="179" spans="1:20">
      <c r="A179" s="4" t="s">
        <v>31</v>
      </c>
      <c r="B179" s="4" t="s">
        <v>31</v>
      </c>
      <c r="C179" s="4" t="s">
        <v>314</v>
      </c>
      <c r="D179" s="4" t="s">
        <v>83</v>
      </c>
      <c r="E179" s="4" t="s">
        <v>83</v>
      </c>
      <c r="F179" s="4" t="s">
        <v>310</v>
      </c>
      <c r="G179" s="4" t="s">
        <v>311</v>
      </c>
      <c r="H179" s="4">
        <v>300</v>
      </c>
      <c r="I179" s="6">
        <v>28.67444</v>
      </c>
      <c r="J179" s="6">
        <v>28.89223</v>
      </c>
      <c r="K179" s="6">
        <v>6.7882</v>
      </c>
      <c r="L179" s="6">
        <v>12.217</v>
      </c>
      <c r="M179" s="6">
        <v>7.9008</v>
      </c>
      <c r="N179" s="6">
        <v>10.714796</v>
      </c>
      <c r="O179" s="6">
        <v>14.1634</v>
      </c>
      <c r="P179" s="6">
        <v>16.06865</v>
      </c>
      <c r="Q179" s="6">
        <v>28.8524</v>
      </c>
      <c r="R179" s="6">
        <v>39.000446</v>
      </c>
      <c r="S179" s="6">
        <v>57.52684</v>
      </c>
      <c r="T179" s="6">
        <v>67.892676</v>
      </c>
    </row>
    <row r="180" spans="1:20">
      <c r="A180" s="4" t="s">
        <v>31</v>
      </c>
      <c r="B180" s="4" t="s">
        <v>31</v>
      </c>
      <c r="C180" s="4" t="s">
        <v>316</v>
      </c>
      <c r="D180" s="4" t="s">
        <v>60</v>
      </c>
      <c r="E180" s="4" t="s">
        <v>60</v>
      </c>
      <c r="F180" s="4" t="s">
        <v>317</v>
      </c>
      <c r="G180" s="4" t="s">
        <v>311</v>
      </c>
      <c r="H180" s="4">
        <v>10</v>
      </c>
      <c r="I180" s="6">
        <v>3.0976</v>
      </c>
      <c r="J180" s="6">
        <v>2.4348</v>
      </c>
      <c r="K180" s="6">
        <v>1.1897</v>
      </c>
      <c r="L180" s="6">
        <v>0</v>
      </c>
      <c r="M180" s="6">
        <v>0</v>
      </c>
      <c r="N180" s="6">
        <v>0.2243</v>
      </c>
      <c r="O180" s="6">
        <v>0.4395</v>
      </c>
      <c r="P180" s="6">
        <v>0.4682</v>
      </c>
      <c r="Q180" s="6">
        <v>1.6292</v>
      </c>
      <c r="R180" s="6">
        <v>0.6925</v>
      </c>
      <c r="S180" s="6">
        <v>4.7268</v>
      </c>
      <c r="T180" s="6">
        <v>3.1273</v>
      </c>
    </row>
    <row r="181" spans="1:20">
      <c r="A181" s="4" t="s">
        <v>31</v>
      </c>
      <c r="B181" s="4" t="s">
        <v>31</v>
      </c>
      <c r="C181" s="4" t="s">
        <v>318</v>
      </c>
      <c r="D181" s="4" t="s">
        <v>64</v>
      </c>
      <c r="E181" s="4" t="s">
        <v>64</v>
      </c>
      <c r="F181" s="284" t="s">
        <v>298</v>
      </c>
      <c r="G181" s="4" t="s">
        <v>299</v>
      </c>
      <c r="H181" s="4">
        <v>450</v>
      </c>
      <c r="I181" s="6">
        <v>99.7398</v>
      </c>
      <c r="J181" s="6">
        <v>67.9564</v>
      </c>
      <c r="K181" s="6">
        <v>25.0795</v>
      </c>
      <c r="L181" s="6">
        <v>32.95</v>
      </c>
      <c r="M181" s="6">
        <v>20.03</v>
      </c>
      <c r="N181" s="6">
        <v>15.5</v>
      </c>
      <c r="O181" s="6">
        <v>15.1</v>
      </c>
      <c r="P181" s="6">
        <v>44.5</v>
      </c>
      <c r="Q181" s="6">
        <v>60.2095</v>
      </c>
      <c r="R181" s="6">
        <v>92.95</v>
      </c>
      <c r="S181" s="6">
        <v>159.9493</v>
      </c>
      <c r="T181" s="6">
        <v>160.9064</v>
      </c>
    </row>
    <row r="182" spans="1:20">
      <c r="A182" s="4" t="s">
        <v>31</v>
      </c>
      <c r="B182" s="4" t="s">
        <v>31</v>
      </c>
      <c r="C182" s="4" t="s">
        <v>319</v>
      </c>
      <c r="D182" s="4" t="s">
        <v>87</v>
      </c>
      <c r="E182" s="4" t="s">
        <v>87</v>
      </c>
      <c r="F182" s="4" t="s">
        <v>310</v>
      </c>
      <c r="G182" s="4" t="s">
        <v>87</v>
      </c>
      <c r="H182" s="4"/>
      <c r="I182" s="6">
        <v>51.280926</v>
      </c>
      <c r="J182" s="6">
        <v>39.38567</v>
      </c>
      <c r="K182" s="6">
        <v>19.340914</v>
      </c>
      <c r="L182" s="6">
        <v>15.03439</v>
      </c>
      <c r="M182" s="6">
        <v>27.39528</v>
      </c>
      <c r="N182" s="6">
        <v>33.39817</v>
      </c>
      <c r="O182" s="6">
        <v>19.47754</v>
      </c>
      <c r="P182" s="6">
        <v>14.878246</v>
      </c>
      <c r="Q182" s="6">
        <v>66.213734</v>
      </c>
      <c r="R182" s="6">
        <v>63.310806</v>
      </c>
      <c r="S182" s="6">
        <v>117.49466</v>
      </c>
      <c r="T182" s="6">
        <v>102.696476</v>
      </c>
    </row>
    <row r="183" spans="1:20">
      <c r="A183" s="4" t="s">
        <v>31</v>
      </c>
      <c r="B183" s="4" t="s">
        <v>31</v>
      </c>
      <c r="C183" s="4" t="s">
        <v>320</v>
      </c>
      <c r="D183" s="4" t="s">
        <v>64</v>
      </c>
      <c r="E183" s="4" t="s">
        <v>64</v>
      </c>
      <c r="F183" s="4" t="s">
        <v>317</v>
      </c>
      <c r="G183" s="4" t="s">
        <v>311</v>
      </c>
      <c r="H183" s="4">
        <v>180</v>
      </c>
      <c r="I183" s="6">
        <v>47.6115</v>
      </c>
      <c r="J183" s="6">
        <v>22.8817</v>
      </c>
      <c r="K183" s="6">
        <v>13.354501</v>
      </c>
      <c r="L183" s="6">
        <v>11.6884</v>
      </c>
      <c r="M183" s="6">
        <v>13.7247</v>
      </c>
      <c r="N183" s="6">
        <v>8.3303</v>
      </c>
      <c r="O183" s="6">
        <v>7.311</v>
      </c>
      <c r="P183" s="6">
        <v>13.0252</v>
      </c>
      <c r="Q183" s="6">
        <v>34.390201</v>
      </c>
      <c r="R183" s="6">
        <v>33.0439</v>
      </c>
      <c r="S183" s="6">
        <v>82.001701</v>
      </c>
      <c r="T183" s="6">
        <v>55.9256</v>
      </c>
    </row>
    <row r="184" spans="1:20">
      <c r="A184" s="4" t="s">
        <v>31</v>
      </c>
      <c r="B184" s="4" t="s">
        <v>31</v>
      </c>
      <c r="C184" s="4" t="s">
        <v>321</v>
      </c>
      <c r="D184" s="4" t="s">
        <v>60</v>
      </c>
      <c r="E184" s="4" t="s">
        <v>60</v>
      </c>
      <c r="F184" s="4" t="s">
        <v>302</v>
      </c>
      <c r="G184" s="4" t="s">
        <v>303</v>
      </c>
      <c r="H184" s="4">
        <v>6</v>
      </c>
      <c r="I184" s="6">
        <v>1.0179</v>
      </c>
      <c r="J184" s="6">
        <v>0.4482</v>
      </c>
      <c r="K184" s="6">
        <v>0.2182</v>
      </c>
      <c r="L184" s="6">
        <v>0</v>
      </c>
      <c r="M184" s="6">
        <v>0.962</v>
      </c>
      <c r="N184" s="6">
        <v>0.229</v>
      </c>
      <c r="O184" s="6">
        <v>1.212</v>
      </c>
      <c r="P184" s="6">
        <v>1.0188</v>
      </c>
      <c r="Q184" s="6">
        <v>2.3922</v>
      </c>
      <c r="R184" s="6">
        <v>1.2478</v>
      </c>
      <c r="S184" s="6">
        <v>3.4101</v>
      </c>
      <c r="T184" s="6">
        <v>1.696</v>
      </c>
    </row>
    <row r="185" spans="1:20">
      <c r="A185" s="4" t="s">
        <v>31</v>
      </c>
      <c r="B185" s="4" t="s">
        <v>31</v>
      </c>
      <c r="C185" s="4" t="s">
        <v>322</v>
      </c>
      <c r="D185" s="4" t="s">
        <v>60</v>
      </c>
      <c r="E185" s="4" t="s">
        <v>60</v>
      </c>
      <c r="F185" s="4" t="s">
        <v>317</v>
      </c>
      <c r="G185" s="4" t="s">
        <v>311</v>
      </c>
      <c r="H185" s="4">
        <v>10</v>
      </c>
      <c r="I185" s="6">
        <v>1.2999</v>
      </c>
      <c r="J185" s="6">
        <v>1.5537</v>
      </c>
      <c r="K185" s="6">
        <v>0</v>
      </c>
      <c r="L185" s="6">
        <v>0</v>
      </c>
      <c r="M185" s="6">
        <v>0</v>
      </c>
      <c r="N185" s="6">
        <v>0.703</v>
      </c>
      <c r="O185" s="6">
        <v>0</v>
      </c>
      <c r="P185" s="6">
        <v>0</v>
      </c>
      <c r="Q185" s="6">
        <v>0</v>
      </c>
      <c r="R185" s="6">
        <v>0.703</v>
      </c>
      <c r="S185" s="6">
        <v>1.2999</v>
      </c>
      <c r="T185" s="6">
        <v>2.2567</v>
      </c>
    </row>
    <row r="186" spans="1:20">
      <c r="A186" s="4" t="s">
        <v>31</v>
      </c>
      <c r="B186" s="4" t="s">
        <v>31</v>
      </c>
      <c r="C186" s="4" t="s">
        <v>323</v>
      </c>
      <c r="D186" s="4" t="s">
        <v>60</v>
      </c>
      <c r="E186" s="4" t="s">
        <v>60</v>
      </c>
      <c r="F186" s="4" t="s">
        <v>317</v>
      </c>
      <c r="G186" s="4" t="s">
        <v>311</v>
      </c>
      <c r="H186" s="4">
        <v>20</v>
      </c>
      <c r="I186" s="6">
        <v>2.0746</v>
      </c>
      <c r="J186" s="6">
        <v>0.7652</v>
      </c>
      <c r="K186" s="6">
        <v>0.6511</v>
      </c>
      <c r="L186" s="6">
        <v>0.4074</v>
      </c>
      <c r="M186" s="6">
        <v>0</v>
      </c>
      <c r="N186" s="6">
        <v>0.5828</v>
      </c>
      <c r="O186" s="6">
        <v>0.3647</v>
      </c>
      <c r="P186" s="6">
        <v>0</v>
      </c>
      <c r="Q186" s="6">
        <v>1.0158</v>
      </c>
      <c r="R186" s="6">
        <v>0.9902</v>
      </c>
      <c r="S186" s="6">
        <v>3.0904</v>
      </c>
      <c r="T186" s="6">
        <v>1.7554</v>
      </c>
    </row>
    <row r="187" spans="1:20">
      <c r="A187" s="4" t="s">
        <v>31</v>
      </c>
      <c r="B187" s="4" t="s">
        <v>31</v>
      </c>
      <c r="C187" s="4" t="s">
        <v>324</v>
      </c>
      <c r="D187" s="4" t="s">
        <v>60</v>
      </c>
      <c r="E187" s="4" t="s">
        <v>60</v>
      </c>
      <c r="F187" s="4" t="s">
        <v>317</v>
      </c>
      <c r="G187" s="4" t="s">
        <v>311</v>
      </c>
      <c r="H187" s="4"/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</row>
    <row r="188" spans="1:20">
      <c r="A188" s="4" t="s">
        <v>31</v>
      </c>
      <c r="B188" s="4" t="s">
        <v>31</v>
      </c>
      <c r="C188" s="4" t="s">
        <v>325</v>
      </c>
      <c r="D188" s="4" t="s">
        <v>60</v>
      </c>
      <c r="E188" s="4" t="s">
        <v>60</v>
      </c>
      <c r="F188" s="4" t="s">
        <v>317</v>
      </c>
      <c r="G188" s="4" t="s">
        <v>311</v>
      </c>
      <c r="H188" s="4">
        <v>10</v>
      </c>
      <c r="I188" s="6">
        <v>5.27</v>
      </c>
      <c r="J188" s="6">
        <v>2.6336</v>
      </c>
      <c r="K188" s="6">
        <v>0</v>
      </c>
      <c r="L188" s="6">
        <v>1.1573</v>
      </c>
      <c r="M188" s="6">
        <v>3.5183</v>
      </c>
      <c r="N188" s="6">
        <v>0</v>
      </c>
      <c r="O188" s="6">
        <v>0</v>
      </c>
      <c r="P188" s="6">
        <v>0</v>
      </c>
      <c r="Q188" s="6">
        <v>3.5183</v>
      </c>
      <c r="R188" s="6">
        <v>1.1573</v>
      </c>
      <c r="S188" s="6">
        <v>8.7883</v>
      </c>
      <c r="T188" s="6">
        <v>3.7909</v>
      </c>
    </row>
    <row r="189" spans="1:20">
      <c r="A189" s="4" t="s">
        <v>31</v>
      </c>
      <c r="B189" s="4" t="s">
        <v>31</v>
      </c>
      <c r="C189" s="4" t="s">
        <v>326</v>
      </c>
      <c r="D189" s="4" t="s">
        <v>60</v>
      </c>
      <c r="E189" s="4" t="s">
        <v>60</v>
      </c>
      <c r="F189" s="4" t="s">
        <v>327</v>
      </c>
      <c r="G189" s="4" t="s">
        <v>311</v>
      </c>
      <c r="H189" s="4">
        <v>10</v>
      </c>
      <c r="I189" s="6">
        <v>2.0135</v>
      </c>
      <c r="J189" s="6">
        <v>0</v>
      </c>
      <c r="K189" s="6">
        <v>0</v>
      </c>
      <c r="L189" s="6">
        <v>0</v>
      </c>
      <c r="M189" s="6">
        <v>0.5156</v>
      </c>
      <c r="N189" s="6">
        <v>0</v>
      </c>
      <c r="O189" s="6">
        <v>0</v>
      </c>
      <c r="P189" s="6">
        <v>0</v>
      </c>
      <c r="Q189" s="6">
        <v>0.5156</v>
      </c>
      <c r="R189" s="6">
        <v>0</v>
      </c>
      <c r="S189" s="6">
        <v>2.5291</v>
      </c>
      <c r="T189" s="6">
        <v>0</v>
      </c>
    </row>
    <row r="190" spans="1:20">
      <c r="A190" s="4" t="s">
        <v>31</v>
      </c>
      <c r="B190" s="4" t="s">
        <v>31</v>
      </c>
      <c r="C190" s="4" t="s">
        <v>328</v>
      </c>
      <c r="D190" s="4" t="s">
        <v>60</v>
      </c>
      <c r="E190" s="4" t="s">
        <v>60</v>
      </c>
      <c r="F190" s="4" t="s">
        <v>310</v>
      </c>
      <c r="G190" s="4" t="s">
        <v>311</v>
      </c>
      <c r="H190" s="4">
        <v>10</v>
      </c>
      <c r="I190" s="6">
        <v>1.0342</v>
      </c>
      <c r="J190" s="6">
        <v>0.7884</v>
      </c>
      <c r="K190" s="6">
        <v>0.2866</v>
      </c>
      <c r="L190" s="6">
        <v>0</v>
      </c>
      <c r="M190" s="6">
        <v>1.3931</v>
      </c>
      <c r="N190" s="6">
        <v>0.229</v>
      </c>
      <c r="O190" s="6">
        <v>0.7143</v>
      </c>
      <c r="P190" s="6">
        <v>0.3236</v>
      </c>
      <c r="Q190" s="6">
        <v>2.394</v>
      </c>
      <c r="R190" s="6">
        <v>0.5526</v>
      </c>
      <c r="S190" s="6">
        <v>3.4282</v>
      </c>
      <c r="T190" s="6">
        <v>1.341</v>
      </c>
    </row>
    <row r="191" spans="1:20">
      <c r="A191" s="4" t="s">
        <v>31</v>
      </c>
      <c r="B191" s="4" t="s">
        <v>31</v>
      </c>
      <c r="C191" s="4" t="s">
        <v>329</v>
      </c>
      <c r="D191" s="4" t="s">
        <v>60</v>
      </c>
      <c r="E191" s="4" t="s">
        <v>60</v>
      </c>
      <c r="F191" s="4" t="s">
        <v>302</v>
      </c>
      <c r="G191" s="4" t="s">
        <v>303</v>
      </c>
      <c r="H191" s="4">
        <v>5</v>
      </c>
      <c r="I191" s="6">
        <v>0</v>
      </c>
      <c r="J191" s="6">
        <v>0</v>
      </c>
      <c r="K191" s="6">
        <v>0</v>
      </c>
      <c r="L191" s="6">
        <v>0</v>
      </c>
      <c r="M191" s="6">
        <v>0.6885</v>
      </c>
      <c r="N191" s="6">
        <v>0</v>
      </c>
      <c r="O191" s="6">
        <v>0</v>
      </c>
      <c r="P191" s="6">
        <v>0</v>
      </c>
      <c r="Q191" s="6">
        <v>0.6885</v>
      </c>
      <c r="R191" s="6">
        <v>0</v>
      </c>
      <c r="S191" s="6">
        <v>0.6885</v>
      </c>
      <c r="T191" s="6">
        <v>0</v>
      </c>
    </row>
    <row r="192" spans="1:20">
      <c r="A192" s="4" t="s">
        <v>31</v>
      </c>
      <c r="B192" s="4" t="s">
        <v>31</v>
      </c>
      <c r="C192" s="4" t="s">
        <v>330</v>
      </c>
      <c r="D192" s="4" t="s">
        <v>60</v>
      </c>
      <c r="E192" s="4" t="s">
        <v>60</v>
      </c>
      <c r="F192" s="4" t="s">
        <v>302</v>
      </c>
      <c r="G192" s="4" t="s">
        <v>303</v>
      </c>
      <c r="H192" s="4">
        <v>6</v>
      </c>
      <c r="I192" s="6">
        <v>0.6631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0.6631</v>
      </c>
      <c r="T192" s="6">
        <v>0</v>
      </c>
    </row>
    <row r="193" spans="1:20">
      <c r="A193" s="4" t="s">
        <v>31</v>
      </c>
      <c r="B193" s="4" t="s">
        <v>31</v>
      </c>
      <c r="C193" s="4" t="s">
        <v>331</v>
      </c>
      <c r="D193" s="4" t="s">
        <v>60</v>
      </c>
      <c r="E193" s="4" t="s">
        <v>60</v>
      </c>
      <c r="F193" s="4" t="s">
        <v>302</v>
      </c>
      <c r="G193" s="4" t="s">
        <v>303</v>
      </c>
      <c r="H193" s="4"/>
      <c r="I193" s="6">
        <v>0.7473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0.7473</v>
      </c>
      <c r="T193" s="6">
        <v>0</v>
      </c>
    </row>
    <row r="194" spans="1:20">
      <c r="A194" s="4" t="s">
        <v>31</v>
      </c>
      <c r="B194" s="4" t="s">
        <v>31</v>
      </c>
      <c r="C194" s="4" t="s">
        <v>332</v>
      </c>
      <c r="D194" s="4" t="s">
        <v>60</v>
      </c>
      <c r="E194" s="4" t="s">
        <v>60</v>
      </c>
      <c r="F194" s="4" t="s">
        <v>310</v>
      </c>
      <c r="G194" s="4" t="s">
        <v>311</v>
      </c>
      <c r="H194" s="4">
        <v>10</v>
      </c>
      <c r="I194" s="6">
        <v>0.2005</v>
      </c>
      <c r="J194" s="6">
        <v>2.608</v>
      </c>
      <c r="K194" s="6">
        <v>0</v>
      </c>
      <c r="L194" s="6">
        <v>0.7898</v>
      </c>
      <c r="M194" s="6">
        <v>0.192</v>
      </c>
      <c r="N194" s="6">
        <v>0</v>
      </c>
      <c r="O194" s="6">
        <v>0</v>
      </c>
      <c r="P194" s="6">
        <v>0.21</v>
      </c>
      <c r="Q194" s="6">
        <v>0.192</v>
      </c>
      <c r="R194" s="6">
        <v>0.9998</v>
      </c>
      <c r="S194" s="6">
        <v>0.3925</v>
      </c>
      <c r="T194" s="6">
        <v>3.6078</v>
      </c>
    </row>
    <row r="195" spans="1:20">
      <c r="A195" s="4" t="s">
        <v>31</v>
      </c>
      <c r="B195" s="4" t="s">
        <v>31</v>
      </c>
      <c r="C195" s="4" t="s">
        <v>333</v>
      </c>
      <c r="D195" s="4" t="s">
        <v>60</v>
      </c>
      <c r="E195" s="4" t="s">
        <v>60</v>
      </c>
      <c r="F195" s="4" t="s">
        <v>302</v>
      </c>
      <c r="G195" s="4" t="s">
        <v>303</v>
      </c>
      <c r="H195" s="4">
        <v>10</v>
      </c>
      <c r="I195" s="6">
        <v>0.3823</v>
      </c>
      <c r="J195" s="6">
        <v>0</v>
      </c>
      <c r="K195" s="6">
        <v>0</v>
      </c>
      <c r="L195" s="6">
        <v>2.125</v>
      </c>
      <c r="M195" s="6">
        <v>0.2182</v>
      </c>
      <c r="N195" s="6">
        <v>0.2182</v>
      </c>
      <c r="O195" s="6">
        <v>0</v>
      </c>
      <c r="P195" s="6">
        <v>0</v>
      </c>
      <c r="Q195" s="6">
        <v>0.2182</v>
      </c>
      <c r="R195" s="6">
        <v>2.3432</v>
      </c>
      <c r="S195" s="6">
        <v>0.6005</v>
      </c>
      <c r="T195" s="6">
        <v>2.3432</v>
      </c>
    </row>
    <row r="196" spans="1:20">
      <c r="A196" s="4" t="s">
        <v>31</v>
      </c>
      <c r="B196" s="4" t="s">
        <v>31</v>
      </c>
      <c r="C196" s="4" t="s">
        <v>334</v>
      </c>
      <c r="D196" s="4" t="s">
        <v>60</v>
      </c>
      <c r="E196" s="4" t="s">
        <v>60</v>
      </c>
      <c r="F196" s="4" t="s">
        <v>302</v>
      </c>
      <c r="G196" s="4" t="s">
        <v>303</v>
      </c>
      <c r="H196" s="4"/>
      <c r="I196" s="6">
        <v>0.2339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0.2339</v>
      </c>
      <c r="T196" s="6">
        <v>0</v>
      </c>
    </row>
    <row r="197" spans="1:20">
      <c r="A197" s="4" t="s">
        <v>31</v>
      </c>
      <c r="B197" s="4" t="s">
        <v>31</v>
      </c>
      <c r="C197" s="4" t="s">
        <v>335</v>
      </c>
      <c r="D197" s="4" t="s">
        <v>60</v>
      </c>
      <c r="E197" s="4" t="s">
        <v>60</v>
      </c>
      <c r="F197" s="4" t="s">
        <v>302</v>
      </c>
      <c r="G197" s="4" t="s">
        <v>303</v>
      </c>
      <c r="H197" s="4">
        <v>10</v>
      </c>
      <c r="I197" s="6">
        <v>4.3055</v>
      </c>
      <c r="J197" s="6">
        <v>0.665</v>
      </c>
      <c r="K197" s="6">
        <v>1.1237</v>
      </c>
      <c r="L197" s="6">
        <v>0.2065</v>
      </c>
      <c r="M197" s="6">
        <v>4.0792</v>
      </c>
      <c r="N197" s="6">
        <v>0</v>
      </c>
      <c r="O197" s="6">
        <v>0.6542</v>
      </c>
      <c r="P197" s="6">
        <v>0.6546</v>
      </c>
      <c r="Q197" s="6">
        <v>5.8571</v>
      </c>
      <c r="R197" s="6">
        <v>0.8611</v>
      </c>
      <c r="S197" s="6">
        <v>10.1626</v>
      </c>
      <c r="T197" s="6">
        <v>1.5261</v>
      </c>
    </row>
    <row r="198" spans="1:20">
      <c r="A198" s="4" t="s">
        <v>31</v>
      </c>
      <c r="B198" s="4" t="s">
        <v>31</v>
      </c>
      <c r="C198" s="4" t="s">
        <v>336</v>
      </c>
      <c r="D198" s="4" t="s">
        <v>60</v>
      </c>
      <c r="E198" s="4" t="s">
        <v>60</v>
      </c>
      <c r="F198" s="4" t="s">
        <v>310</v>
      </c>
      <c r="G198" s="4" t="s">
        <v>311</v>
      </c>
      <c r="H198" s="4"/>
      <c r="I198" s="6">
        <v>1.85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1.85</v>
      </c>
      <c r="T198" s="6">
        <v>0</v>
      </c>
    </row>
    <row r="199" spans="1:20">
      <c r="A199" s="4" t="s">
        <v>31</v>
      </c>
      <c r="B199" s="4" t="s">
        <v>31</v>
      </c>
      <c r="C199" s="4" t="s">
        <v>337</v>
      </c>
      <c r="D199" s="4" t="s">
        <v>60</v>
      </c>
      <c r="E199" s="4" t="s">
        <v>60</v>
      </c>
      <c r="F199" s="4" t="s">
        <v>307</v>
      </c>
      <c r="G199" s="4" t="s">
        <v>303</v>
      </c>
      <c r="H199" s="4"/>
      <c r="I199" s="6">
        <v>1.18</v>
      </c>
      <c r="J199" s="6">
        <v>0</v>
      </c>
      <c r="K199" s="6">
        <v>2.3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2.3</v>
      </c>
      <c r="R199" s="6">
        <v>0</v>
      </c>
      <c r="S199" s="6">
        <v>3.48</v>
      </c>
      <c r="T199" s="6">
        <v>0</v>
      </c>
    </row>
    <row r="200" spans="1:20">
      <c r="A200" s="4" t="s">
        <v>31</v>
      </c>
      <c r="B200" s="4" t="s">
        <v>31</v>
      </c>
      <c r="C200" s="4" t="s">
        <v>338</v>
      </c>
      <c r="D200" s="4" t="s">
        <v>60</v>
      </c>
      <c r="E200" s="4" t="s">
        <v>60</v>
      </c>
      <c r="F200" s="4" t="s">
        <v>317</v>
      </c>
      <c r="G200" s="4" t="s">
        <v>311</v>
      </c>
      <c r="H200" s="4">
        <v>15</v>
      </c>
      <c r="I200" s="6">
        <v>0.122262</v>
      </c>
      <c r="J200" s="6">
        <v>3.0398</v>
      </c>
      <c r="K200" s="6">
        <v>0.2399</v>
      </c>
      <c r="L200" s="6">
        <v>0</v>
      </c>
      <c r="M200" s="6">
        <v>2.8449</v>
      </c>
      <c r="N200" s="6">
        <v>3.4843</v>
      </c>
      <c r="O200" s="6">
        <v>1.629</v>
      </c>
      <c r="P200" s="6">
        <v>0</v>
      </c>
      <c r="Q200" s="6">
        <v>4.7138</v>
      </c>
      <c r="R200" s="6">
        <v>3.4843</v>
      </c>
      <c r="S200" s="6">
        <v>4.836062</v>
      </c>
      <c r="T200" s="6">
        <v>6.5241</v>
      </c>
    </row>
    <row r="201" spans="1:20">
      <c r="A201" s="4" t="s">
        <v>31</v>
      </c>
      <c r="B201" s="4" t="s">
        <v>31</v>
      </c>
      <c r="C201" s="4" t="s">
        <v>339</v>
      </c>
      <c r="D201" s="4" t="s">
        <v>60</v>
      </c>
      <c r="E201" s="4" t="s">
        <v>60</v>
      </c>
      <c r="F201" s="4" t="s">
        <v>327</v>
      </c>
      <c r="G201" s="4" t="s">
        <v>303</v>
      </c>
      <c r="H201" s="4">
        <v>0</v>
      </c>
      <c r="I201" s="6">
        <v>0.7491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0.7491</v>
      </c>
      <c r="T201" s="6">
        <v>0</v>
      </c>
    </row>
    <row r="202" spans="1:20">
      <c r="A202" s="4" t="s">
        <v>31</v>
      </c>
      <c r="B202" s="4" t="s">
        <v>31</v>
      </c>
      <c r="C202" s="4" t="s">
        <v>340</v>
      </c>
      <c r="D202" s="4" t="s">
        <v>60</v>
      </c>
      <c r="E202" s="4" t="s">
        <v>60</v>
      </c>
      <c r="F202" s="4" t="s">
        <v>317</v>
      </c>
      <c r="G202" s="4" t="s">
        <v>311</v>
      </c>
      <c r="H202" s="4"/>
      <c r="I202" s="6">
        <v>0</v>
      </c>
      <c r="J202" s="6">
        <v>0</v>
      </c>
      <c r="K202" s="6">
        <v>0.528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0.528</v>
      </c>
      <c r="R202" s="6">
        <v>0</v>
      </c>
      <c r="S202" s="6">
        <v>0.528</v>
      </c>
      <c r="T202" s="6">
        <v>0</v>
      </c>
    </row>
    <row r="203" spans="1:20">
      <c r="A203" s="4" t="s">
        <v>31</v>
      </c>
      <c r="B203" s="4" t="s">
        <v>31</v>
      </c>
      <c r="C203" s="4" t="s">
        <v>341</v>
      </c>
      <c r="D203" s="4" t="s">
        <v>60</v>
      </c>
      <c r="E203" s="4" t="s">
        <v>60</v>
      </c>
      <c r="F203" s="4" t="s">
        <v>327</v>
      </c>
      <c r="G203" s="4" t="s">
        <v>303</v>
      </c>
      <c r="H203" s="4"/>
      <c r="I203" s="6">
        <v>0.6699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0.6699</v>
      </c>
      <c r="T203" s="6">
        <v>0</v>
      </c>
    </row>
    <row r="204" spans="1:20">
      <c r="A204" s="4" t="s">
        <v>31</v>
      </c>
      <c r="B204" s="4" t="s">
        <v>31</v>
      </c>
      <c r="C204" s="4" t="s">
        <v>342</v>
      </c>
      <c r="D204" s="4" t="s">
        <v>60</v>
      </c>
      <c r="E204" s="4" t="s">
        <v>60</v>
      </c>
      <c r="F204" s="4" t="s">
        <v>327</v>
      </c>
      <c r="G204" s="4" t="s">
        <v>303</v>
      </c>
      <c r="H204" s="4">
        <v>20</v>
      </c>
      <c r="I204" s="6">
        <v>0</v>
      </c>
      <c r="J204" s="6">
        <v>2</v>
      </c>
      <c r="K204" s="6">
        <v>0</v>
      </c>
      <c r="L204" s="6">
        <v>2</v>
      </c>
      <c r="M204" s="6">
        <v>2</v>
      </c>
      <c r="N204" s="6">
        <v>0</v>
      </c>
      <c r="O204" s="6">
        <v>0</v>
      </c>
      <c r="P204" s="6">
        <v>0</v>
      </c>
      <c r="Q204" s="6">
        <v>2</v>
      </c>
      <c r="R204" s="6">
        <v>2</v>
      </c>
      <c r="S204" s="6">
        <v>2</v>
      </c>
      <c r="T204" s="6">
        <v>4</v>
      </c>
    </row>
    <row r="205" spans="1:20">
      <c r="A205" s="4" t="s">
        <v>31</v>
      </c>
      <c r="B205" s="4" t="s">
        <v>31</v>
      </c>
      <c r="C205" s="4" t="s">
        <v>343</v>
      </c>
      <c r="D205" s="4" t="s">
        <v>101</v>
      </c>
      <c r="E205" s="4" t="s">
        <v>101</v>
      </c>
      <c r="F205" s="4" t="s">
        <v>327</v>
      </c>
      <c r="G205" s="4" t="s">
        <v>303</v>
      </c>
      <c r="H205" s="4"/>
      <c r="I205" s="6">
        <v>1.8718</v>
      </c>
      <c r="J205" s="6">
        <v>0</v>
      </c>
      <c r="K205" s="6">
        <v>0.2309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0.2309</v>
      </c>
      <c r="R205" s="6">
        <v>0</v>
      </c>
      <c r="S205" s="6">
        <v>2.1027</v>
      </c>
      <c r="T205" s="6">
        <v>0</v>
      </c>
    </row>
    <row r="206" spans="1:20">
      <c r="A206" s="4" t="s">
        <v>31</v>
      </c>
      <c r="B206" s="4" t="s">
        <v>31</v>
      </c>
      <c r="C206" s="4" t="s">
        <v>344</v>
      </c>
      <c r="D206" s="4" t="s">
        <v>60</v>
      </c>
      <c r="E206" s="4" t="s">
        <v>60</v>
      </c>
      <c r="F206" s="4" t="s">
        <v>327</v>
      </c>
      <c r="G206" s="4" t="s">
        <v>303</v>
      </c>
      <c r="H206" s="4"/>
      <c r="I206" s="6">
        <v>2.5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2.5</v>
      </c>
      <c r="T206" s="6">
        <v>0</v>
      </c>
    </row>
    <row r="207" spans="1:20">
      <c r="A207" s="4" t="s">
        <v>31</v>
      </c>
      <c r="B207" s="4" t="s">
        <v>31</v>
      </c>
      <c r="C207" s="4" t="s">
        <v>345</v>
      </c>
      <c r="D207" s="4" t="s">
        <v>64</v>
      </c>
      <c r="E207" s="4" t="s">
        <v>64</v>
      </c>
      <c r="F207" s="4" t="s">
        <v>302</v>
      </c>
      <c r="G207" s="4" t="s">
        <v>303</v>
      </c>
      <c r="H207" s="4">
        <v>90</v>
      </c>
      <c r="I207" s="6">
        <v>14.4221</v>
      </c>
      <c r="J207" s="6">
        <v>19.3908</v>
      </c>
      <c r="K207" s="6">
        <v>3.554</v>
      </c>
      <c r="L207" s="6">
        <v>4.3229</v>
      </c>
      <c r="M207" s="6">
        <v>3.6714</v>
      </c>
      <c r="N207" s="6">
        <v>9.7365</v>
      </c>
      <c r="O207" s="6">
        <v>4.3904</v>
      </c>
      <c r="P207" s="6">
        <v>1.6592</v>
      </c>
      <c r="Q207" s="6">
        <v>11.6158</v>
      </c>
      <c r="R207" s="6">
        <v>15.7186</v>
      </c>
      <c r="S207" s="6">
        <v>26.0379</v>
      </c>
      <c r="T207" s="6">
        <v>35.1094</v>
      </c>
    </row>
    <row r="208" spans="1:20">
      <c r="A208" s="4" t="s">
        <v>31</v>
      </c>
      <c r="B208" s="4" t="s">
        <v>31</v>
      </c>
      <c r="C208" s="4" t="s">
        <v>346</v>
      </c>
      <c r="D208" s="4" t="s">
        <v>64</v>
      </c>
      <c r="E208" s="4" t="s">
        <v>64</v>
      </c>
      <c r="F208" s="4" t="s">
        <v>327</v>
      </c>
      <c r="G208" s="4" t="s">
        <v>303</v>
      </c>
      <c r="H208" s="4">
        <v>80</v>
      </c>
      <c r="I208" s="6">
        <v>17.1822</v>
      </c>
      <c r="J208" s="6">
        <v>23.5179</v>
      </c>
      <c r="K208" s="6">
        <v>8.866</v>
      </c>
      <c r="L208" s="6">
        <v>0</v>
      </c>
      <c r="M208" s="6">
        <v>6.7916</v>
      </c>
      <c r="N208" s="6">
        <v>0</v>
      </c>
      <c r="O208" s="6">
        <v>5.5674</v>
      </c>
      <c r="P208" s="6">
        <v>0</v>
      </c>
      <c r="Q208" s="6">
        <v>21.225</v>
      </c>
      <c r="R208" s="6">
        <v>0</v>
      </c>
      <c r="S208" s="6">
        <v>38.4072</v>
      </c>
      <c r="T208" s="6">
        <v>23.5179</v>
      </c>
    </row>
    <row r="209" spans="1:20">
      <c r="A209" s="4" t="s">
        <v>31</v>
      </c>
      <c r="B209" s="4" t="s">
        <v>31</v>
      </c>
      <c r="C209" s="4" t="s">
        <v>347</v>
      </c>
      <c r="D209" s="4" t="s">
        <v>60</v>
      </c>
      <c r="E209" s="4" t="s">
        <v>60</v>
      </c>
      <c r="F209" s="4" t="s">
        <v>302</v>
      </c>
      <c r="G209" s="4" t="s">
        <v>303</v>
      </c>
      <c r="H209" s="4"/>
      <c r="I209" s="6">
        <v>0.0729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0.0729</v>
      </c>
      <c r="T209" s="6">
        <v>0</v>
      </c>
    </row>
    <row r="210" spans="1:20">
      <c r="A210" s="4" t="s">
        <v>31</v>
      </c>
      <c r="B210" s="4" t="s">
        <v>31</v>
      </c>
      <c r="C210" s="4" t="s">
        <v>348</v>
      </c>
      <c r="D210" s="4" t="s">
        <v>60</v>
      </c>
      <c r="E210" s="4" t="s">
        <v>60</v>
      </c>
      <c r="F210" s="4" t="s">
        <v>302</v>
      </c>
      <c r="G210" s="4" t="s">
        <v>303</v>
      </c>
      <c r="H210" s="4">
        <v>10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1.7999</v>
      </c>
      <c r="P210" s="6">
        <v>0</v>
      </c>
      <c r="Q210" s="6">
        <v>1.7999</v>
      </c>
      <c r="R210" s="6">
        <v>0</v>
      </c>
      <c r="S210" s="6">
        <v>1.7999</v>
      </c>
      <c r="T210" s="6">
        <v>0</v>
      </c>
    </row>
    <row r="211" spans="1:20">
      <c r="A211" s="4" t="s">
        <v>31</v>
      </c>
      <c r="B211" s="4" t="s">
        <v>31</v>
      </c>
      <c r="C211" s="4" t="s">
        <v>349</v>
      </c>
      <c r="D211" s="4" t="s">
        <v>101</v>
      </c>
      <c r="E211" s="4" t="s">
        <v>101</v>
      </c>
      <c r="F211" s="4" t="s">
        <v>302</v>
      </c>
      <c r="G211" s="4" t="s">
        <v>303</v>
      </c>
      <c r="H211" s="4">
        <v>10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</row>
    <row r="212" spans="1:20">
      <c r="A212" s="4" t="s">
        <v>31</v>
      </c>
      <c r="B212" s="4" t="s">
        <v>31</v>
      </c>
      <c r="C212" s="4" t="s">
        <v>350</v>
      </c>
      <c r="D212" s="4" t="s">
        <v>60</v>
      </c>
      <c r="E212" s="4" t="s">
        <v>60</v>
      </c>
      <c r="F212" s="4" t="s">
        <v>310</v>
      </c>
      <c r="G212" s="4" t="s">
        <v>311</v>
      </c>
      <c r="H212" s="4"/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</row>
    <row r="213" spans="1:20">
      <c r="A213" s="4" t="s">
        <v>31</v>
      </c>
      <c r="B213" s="4" t="s">
        <v>31</v>
      </c>
      <c r="C213" s="4" t="s">
        <v>351</v>
      </c>
      <c r="D213" s="4" t="s">
        <v>60</v>
      </c>
      <c r="E213" s="4" t="s">
        <v>60</v>
      </c>
      <c r="F213" s="4" t="s">
        <v>310</v>
      </c>
      <c r="G213" s="4" t="s">
        <v>311</v>
      </c>
      <c r="H213" s="4">
        <v>20</v>
      </c>
      <c r="I213" s="6">
        <v>0</v>
      </c>
      <c r="J213" s="6">
        <v>2.9261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2.9261</v>
      </c>
    </row>
    <row r="214" spans="1:20">
      <c r="A214" s="4" t="s">
        <v>31</v>
      </c>
      <c r="B214" s="4" t="s">
        <v>31</v>
      </c>
      <c r="C214" s="4" t="s">
        <v>118</v>
      </c>
      <c r="D214" s="4" t="s">
        <v>60</v>
      </c>
      <c r="E214" s="4" t="s">
        <v>60</v>
      </c>
      <c r="F214" s="4" t="s">
        <v>310</v>
      </c>
      <c r="G214" s="4" t="s">
        <v>311</v>
      </c>
      <c r="H214" s="4"/>
      <c r="I214" s="6">
        <v>0</v>
      </c>
      <c r="J214" s="6">
        <v>0.742624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0.742624</v>
      </c>
    </row>
    <row r="215" spans="1:20">
      <c r="A215" s="4" t="s">
        <v>31</v>
      </c>
      <c r="B215" s="4" t="s">
        <v>31</v>
      </c>
      <c r="C215" s="4" t="s">
        <v>352</v>
      </c>
      <c r="D215" s="4" t="s">
        <v>60</v>
      </c>
      <c r="E215" s="4" t="s">
        <v>60</v>
      </c>
      <c r="F215" s="4" t="s">
        <v>302</v>
      </c>
      <c r="G215" s="4" t="s">
        <v>303</v>
      </c>
      <c r="H215" s="4"/>
      <c r="I215" s="6">
        <v>0</v>
      </c>
      <c r="J215" s="6">
        <v>0.4364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0.4364</v>
      </c>
    </row>
    <row r="216" spans="1:20">
      <c r="A216" s="4" t="s">
        <v>31</v>
      </c>
      <c r="B216" s="4" t="s">
        <v>31</v>
      </c>
      <c r="C216" s="4" t="s">
        <v>353</v>
      </c>
      <c r="D216" s="4" t="s">
        <v>60</v>
      </c>
      <c r="E216" s="4" t="s">
        <v>60</v>
      </c>
      <c r="F216" s="4" t="s">
        <v>317</v>
      </c>
      <c r="G216" s="4" t="s">
        <v>311</v>
      </c>
      <c r="H216" s="4"/>
      <c r="I216" s="6">
        <v>0</v>
      </c>
      <c r="J216" s="6">
        <v>0.1454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0.1454</v>
      </c>
    </row>
    <row r="217" spans="1:20">
      <c r="A217" s="4" t="s">
        <v>31</v>
      </c>
      <c r="B217" s="4" t="s">
        <v>31</v>
      </c>
      <c r="C217" s="4" t="s">
        <v>354</v>
      </c>
      <c r="D217" s="4" t="s">
        <v>60</v>
      </c>
      <c r="E217" s="4" t="s">
        <v>60</v>
      </c>
      <c r="F217" s="4" t="s">
        <v>302</v>
      </c>
      <c r="G217" s="4" t="s">
        <v>303</v>
      </c>
      <c r="H217" s="4">
        <v>5</v>
      </c>
      <c r="I217" s="6">
        <v>0</v>
      </c>
      <c r="J217" s="6">
        <v>0.8647</v>
      </c>
      <c r="K217" s="6">
        <v>0</v>
      </c>
      <c r="L217" s="6">
        <v>0</v>
      </c>
      <c r="M217" s="6">
        <v>0</v>
      </c>
      <c r="N217" s="6">
        <v>1.8085</v>
      </c>
      <c r="O217" s="6">
        <v>0</v>
      </c>
      <c r="P217" s="6">
        <v>1.0637</v>
      </c>
      <c r="Q217" s="6">
        <v>0</v>
      </c>
      <c r="R217" s="6">
        <v>2.8722</v>
      </c>
      <c r="S217" s="6">
        <v>0</v>
      </c>
      <c r="T217" s="6">
        <v>3.7369</v>
      </c>
    </row>
    <row r="218" spans="1:20">
      <c r="A218" s="4" t="s">
        <v>31</v>
      </c>
      <c r="B218" s="4" t="s">
        <v>31</v>
      </c>
      <c r="C218" s="4" t="s">
        <v>355</v>
      </c>
      <c r="D218" s="4" t="s">
        <v>60</v>
      </c>
      <c r="E218" s="4" t="s">
        <v>60</v>
      </c>
      <c r="F218" s="4" t="s">
        <v>317</v>
      </c>
      <c r="G218" s="4" t="s">
        <v>311</v>
      </c>
      <c r="H218" s="4"/>
      <c r="I218" s="6">
        <v>0</v>
      </c>
      <c r="J218" s="6">
        <v>0</v>
      </c>
      <c r="K218" s="6">
        <v>0</v>
      </c>
      <c r="L218" s="6">
        <v>2.5206</v>
      </c>
      <c r="M218" s="6">
        <v>0</v>
      </c>
      <c r="N218" s="6">
        <v>0</v>
      </c>
      <c r="O218" s="6">
        <v>0</v>
      </c>
      <c r="P218" s="6">
        <v>0.3149</v>
      </c>
      <c r="Q218" s="6">
        <v>0</v>
      </c>
      <c r="R218" s="6">
        <v>2.8355</v>
      </c>
      <c r="S218" s="6">
        <v>0</v>
      </c>
      <c r="T218" s="6">
        <v>2.8355</v>
      </c>
    </row>
    <row r="219" spans="1:20">
      <c r="A219" s="4" t="s">
        <v>31</v>
      </c>
      <c r="B219" s="4" t="s">
        <v>31</v>
      </c>
      <c r="C219" s="4" t="s">
        <v>356</v>
      </c>
      <c r="D219" s="4" t="s">
        <v>60</v>
      </c>
      <c r="E219" s="4" t="s">
        <v>60</v>
      </c>
      <c r="F219" s="4" t="s">
        <v>317</v>
      </c>
      <c r="G219" s="4" t="s">
        <v>311</v>
      </c>
      <c r="H219" s="4">
        <v>3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</row>
    <row r="220" spans="1:20">
      <c r="A220" s="4" t="s">
        <v>31</v>
      </c>
      <c r="B220" s="4" t="s">
        <v>31</v>
      </c>
      <c r="C220" s="4" t="s">
        <v>357</v>
      </c>
      <c r="D220" s="4" t="s">
        <v>60</v>
      </c>
      <c r="E220" s="4" t="s">
        <v>60</v>
      </c>
      <c r="F220" s="4" t="s">
        <v>317</v>
      </c>
      <c r="G220" s="4" t="s">
        <v>311</v>
      </c>
      <c r="H220" s="4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3</v>
      </c>
      <c r="O220" s="6">
        <v>0</v>
      </c>
      <c r="P220" s="6">
        <v>0</v>
      </c>
      <c r="Q220" s="6">
        <v>0</v>
      </c>
      <c r="R220" s="6">
        <v>3</v>
      </c>
      <c r="S220" s="6">
        <v>0</v>
      </c>
      <c r="T220" s="6">
        <v>3</v>
      </c>
    </row>
    <row r="221" spans="1:20">
      <c r="A221" s="4" t="s">
        <v>31</v>
      </c>
      <c r="B221" s="4" t="s">
        <v>31</v>
      </c>
      <c r="C221" s="4" t="s">
        <v>358</v>
      </c>
      <c r="D221" s="4" t="s">
        <v>60</v>
      </c>
      <c r="E221" s="4" t="s">
        <v>60</v>
      </c>
      <c r="F221" s="4" t="s">
        <v>327</v>
      </c>
      <c r="G221" s="4" t="s">
        <v>311</v>
      </c>
      <c r="H221" s="4"/>
      <c r="I221" s="6">
        <v>0</v>
      </c>
      <c r="J221" s="6">
        <v>6.1525</v>
      </c>
      <c r="K221" s="6">
        <v>0</v>
      </c>
      <c r="L221" s="6">
        <v>9.1231</v>
      </c>
      <c r="M221" s="6">
        <v>0</v>
      </c>
      <c r="N221" s="6">
        <v>3.4471</v>
      </c>
      <c r="O221" s="6">
        <v>0</v>
      </c>
      <c r="P221" s="6">
        <v>5.6029</v>
      </c>
      <c r="Q221" s="6">
        <v>0</v>
      </c>
      <c r="R221" s="6">
        <v>18.1731</v>
      </c>
      <c r="S221" s="6">
        <v>0</v>
      </c>
      <c r="T221" s="6">
        <v>24.3256</v>
      </c>
    </row>
    <row r="222" spans="1:20">
      <c r="A222" s="4" t="s">
        <v>28</v>
      </c>
      <c r="B222" s="4" t="s">
        <v>28</v>
      </c>
      <c r="C222" s="284" t="s">
        <v>365</v>
      </c>
      <c r="D222" s="4" t="s">
        <v>60</v>
      </c>
      <c r="E222" s="4" t="s">
        <v>60</v>
      </c>
      <c r="F222" s="4" t="s">
        <v>366</v>
      </c>
      <c r="G222" s="4" t="s">
        <v>368</v>
      </c>
      <c r="H222" s="4">
        <v>40</v>
      </c>
      <c r="I222" s="6">
        <v>9.2167</v>
      </c>
      <c r="J222" s="6">
        <v>7.7235</v>
      </c>
      <c r="K222" s="6">
        <v>1.0726</v>
      </c>
      <c r="L222" s="6">
        <v>1.0654</v>
      </c>
      <c r="M222" s="6">
        <v>0</v>
      </c>
      <c r="N222" s="6">
        <v>2.1384</v>
      </c>
      <c r="O222" s="6">
        <v>1.0055</v>
      </c>
      <c r="P222" s="6">
        <v>3.2633</v>
      </c>
      <c r="Q222" s="6">
        <v>2.0781</v>
      </c>
      <c r="R222" s="6">
        <v>6.4671</v>
      </c>
      <c r="S222" s="6">
        <v>11.2948</v>
      </c>
      <c r="T222" s="6">
        <v>14.1906</v>
      </c>
    </row>
    <row r="223" spans="1:20">
      <c r="A223" s="4" t="s">
        <v>28</v>
      </c>
      <c r="B223" s="4" t="s">
        <v>28</v>
      </c>
      <c r="C223" s="284" t="s">
        <v>369</v>
      </c>
      <c r="D223" s="4" t="s">
        <v>60</v>
      </c>
      <c r="E223" s="4" t="s">
        <v>60</v>
      </c>
      <c r="F223" s="4" t="s">
        <v>366</v>
      </c>
      <c r="G223" s="4" t="s">
        <v>368</v>
      </c>
      <c r="H223" s="4">
        <v>30</v>
      </c>
      <c r="I223" s="6">
        <v>3</v>
      </c>
      <c r="J223" s="6">
        <v>3</v>
      </c>
      <c r="K223" s="6">
        <v>1</v>
      </c>
      <c r="L223" s="6">
        <v>0.5763</v>
      </c>
      <c r="M223" s="6">
        <v>0</v>
      </c>
      <c r="N223" s="6">
        <v>0.2159</v>
      </c>
      <c r="O223" s="6">
        <v>0</v>
      </c>
      <c r="P223" s="6">
        <v>0</v>
      </c>
      <c r="Q223" s="6">
        <v>1</v>
      </c>
      <c r="R223" s="6">
        <v>0.7922</v>
      </c>
      <c r="S223" s="6">
        <v>4</v>
      </c>
      <c r="T223" s="6">
        <v>3.7922</v>
      </c>
    </row>
    <row r="224" spans="1:20">
      <c r="A224" s="4" t="s">
        <v>28</v>
      </c>
      <c r="B224" s="4" t="s">
        <v>28</v>
      </c>
      <c r="C224" s="4" t="s">
        <v>370</v>
      </c>
      <c r="D224" s="4" t="s">
        <v>60</v>
      </c>
      <c r="E224" s="4" t="s">
        <v>55</v>
      </c>
      <c r="F224" s="4" t="s">
        <v>371</v>
      </c>
      <c r="G224" s="4" t="s">
        <v>372</v>
      </c>
      <c r="H224" s="4">
        <v>100</v>
      </c>
      <c r="I224" s="6">
        <v>25</v>
      </c>
      <c r="J224" s="6">
        <v>42</v>
      </c>
      <c r="K224" s="6">
        <v>0</v>
      </c>
      <c r="L224" s="6">
        <v>25</v>
      </c>
      <c r="M224" s="6">
        <v>0</v>
      </c>
      <c r="N224" s="6">
        <v>0</v>
      </c>
      <c r="O224" s="6">
        <v>0</v>
      </c>
      <c r="P224" s="6">
        <v>22</v>
      </c>
      <c r="Q224" s="6">
        <v>0</v>
      </c>
      <c r="R224" s="6">
        <v>47</v>
      </c>
      <c r="S224" s="6">
        <v>25</v>
      </c>
      <c r="T224" s="6">
        <v>89</v>
      </c>
    </row>
    <row r="225" spans="1:20">
      <c r="A225" s="4" t="s">
        <v>28</v>
      </c>
      <c r="B225" s="4" t="s">
        <v>28</v>
      </c>
      <c r="C225" s="284" t="s">
        <v>373</v>
      </c>
      <c r="D225" s="4" t="s">
        <v>60</v>
      </c>
      <c r="E225" s="4" t="s">
        <v>60</v>
      </c>
      <c r="F225" s="4" t="s">
        <v>371</v>
      </c>
      <c r="G225" s="4" t="s">
        <v>372</v>
      </c>
      <c r="H225" s="4">
        <v>30</v>
      </c>
      <c r="I225" s="6">
        <v>1.2244</v>
      </c>
      <c r="J225" s="6">
        <v>1.3997</v>
      </c>
      <c r="K225" s="6">
        <v>0</v>
      </c>
      <c r="L225" s="6">
        <v>0</v>
      </c>
      <c r="M225" s="6">
        <v>0.5295</v>
      </c>
      <c r="N225" s="6">
        <v>0.1701</v>
      </c>
      <c r="O225" s="6">
        <v>0.5337</v>
      </c>
      <c r="P225" s="6">
        <v>0.9051</v>
      </c>
      <c r="Q225" s="6">
        <v>1.0632</v>
      </c>
      <c r="R225" s="6">
        <v>1.0752</v>
      </c>
      <c r="S225" s="6">
        <v>2.2876</v>
      </c>
      <c r="T225" s="6">
        <v>2.4749</v>
      </c>
    </row>
    <row r="226" spans="1:20">
      <c r="A226" s="4" t="s">
        <v>28</v>
      </c>
      <c r="B226" s="4" t="s">
        <v>28</v>
      </c>
      <c r="C226" s="4" t="s">
        <v>374</v>
      </c>
      <c r="D226" s="4" t="s">
        <v>60</v>
      </c>
      <c r="E226" s="4" t="s">
        <v>60</v>
      </c>
      <c r="F226" s="4" t="s">
        <v>375</v>
      </c>
      <c r="G226" s="4" t="s">
        <v>372</v>
      </c>
      <c r="H226" s="4">
        <v>20</v>
      </c>
      <c r="I226" s="6">
        <v>0</v>
      </c>
      <c r="J226" s="6">
        <v>6.577</v>
      </c>
      <c r="K226" s="6">
        <v>1.237</v>
      </c>
      <c r="L226" s="6">
        <v>0</v>
      </c>
      <c r="M226" s="6">
        <v>0.4996</v>
      </c>
      <c r="N226" s="6">
        <v>1.651</v>
      </c>
      <c r="O226" s="6">
        <v>0</v>
      </c>
      <c r="P226" s="6">
        <v>0</v>
      </c>
      <c r="Q226" s="6">
        <v>1.7366</v>
      </c>
      <c r="R226" s="6">
        <v>1.651</v>
      </c>
      <c r="S226" s="6">
        <v>1.7366</v>
      </c>
      <c r="T226" s="6">
        <v>8.228</v>
      </c>
    </row>
    <row r="227" spans="1:20">
      <c r="A227" s="4" t="s">
        <v>28</v>
      </c>
      <c r="B227" s="4" t="s">
        <v>28</v>
      </c>
      <c r="C227" s="4" t="s">
        <v>376</v>
      </c>
      <c r="D227" s="4" t="s">
        <v>60</v>
      </c>
      <c r="E227" s="4" t="s">
        <v>55</v>
      </c>
      <c r="F227" s="4" t="s">
        <v>366</v>
      </c>
      <c r="G227" s="4" t="s">
        <v>378</v>
      </c>
      <c r="H227" s="4">
        <v>40</v>
      </c>
      <c r="I227" s="6">
        <v>5</v>
      </c>
      <c r="J227" s="6">
        <v>21.1533</v>
      </c>
      <c r="K227" s="6">
        <v>3</v>
      </c>
      <c r="L227" s="6">
        <v>4</v>
      </c>
      <c r="M227" s="6">
        <v>2</v>
      </c>
      <c r="N227" s="6">
        <v>4</v>
      </c>
      <c r="O227" s="6">
        <v>0</v>
      </c>
      <c r="P227" s="6">
        <v>5</v>
      </c>
      <c r="Q227" s="6">
        <v>5</v>
      </c>
      <c r="R227" s="6">
        <v>13</v>
      </c>
      <c r="S227" s="6">
        <v>10</v>
      </c>
      <c r="T227" s="6">
        <v>34.1533</v>
      </c>
    </row>
    <row r="228" spans="1:20">
      <c r="A228" s="4" t="s">
        <v>28</v>
      </c>
      <c r="B228" s="4" t="s">
        <v>28</v>
      </c>
      <c r="C228" s="4" t="s">
        <v>379</v>
      </c>
      <c r="D228" s="4" t="s">
        <v>60</v>
      </c>
      <c r="E228" s="4" t="s">
        <v>60</v>
      </c>
      <c r="F228" s="4" t="s">
        <v>371</v>
      </c>
      <c r="G228" s="4" t="s">
        <v>378</v>
      </c>
      <c r="H228" s="4">
        <v>10</v>
      </c>
      <c r="I228" s="6">
        <v>3</v>
      </c>
      <c r="J228" s="6">
        <v>2.7543</v>
      </c>
      <c r="K228" s="6">
        <v>0</v>
      </c>
      <c r="L228" s="6">
        <v>0</v>
      </c>
      <c r="M228" s="6">
        <v>1</v>
      </c>
      <c r="N228" s="6">
        <v>0.6777</v>
      </c>
      <c r="O228" s="6">
        <v>0</v>
      </c>
      <c r="P228" s="6">
        <v>0</v>
      </c>
      <c r="Q228" s="6">
        <v>1</v>
      </c>
      <c r="R228" s="6">
        <v>0.6777</v>
      </c>
      <c r="S228" s="6">
        <v>4</v>
      </c>
      <c r="T228" s="6">
        <v>3.432</v>
      </c>
    </row>
    <row r="229" spans="1:20">
      <c r="A229" s="4" t="s">
        <v>28</v>
      </c>
      <c r="B229" s="4" t="s">
        <v>28</v>
      </c>
      <c r="C229" s="4" t="s">
        <v>380</v>
      </c>
      <c r="D229" s="4" t="s">
        <v>55</v>
      </c>
      <c r="E229" s="4" t="s">
        <v>55</v>
      </c>
      <c r="F229" s="4" t="s">
        <v>366</v>
      </c>
      <c r="G229" s="4" t="s">
        <v>378</v>
      </c>
      <c r="H229" s="4">
        <v>180</v>
      </c>
      <c r="I229" s="6">
        <v>24.6787</v>
      </c>
      <c r="J229" s="6">
        <v>36.4785</v>
      </c>
      <c r="K229" s="6">
        <v>18.8927</v>
      </c>
      <c r="L229" s="6">
        <v>42.8097</v>
      </c>
      <c r="M229" s="6">
        <v>9.7716</v>
      </c>
      <c r="N229" s="6">
        <v>31.2244</v>
      </c>
      <c r="O229" s="6">
        <v>8.0416</v>
      </c>
      <c r="P229" s="6">
        <v>19.603</v>
      </c>
      <c r="Q229" s="6">
        <v>36.7059</v>
      </c>
      <c r="R229" s="6">
        <v>93.6371</v>
      </c>
      <c r="S229" s="6">
        <v>61.3846</v>
      </c>
      <c r="T229" s="6">
        <v>130.1156</v>
      </c>
    </row>
    <row r="230" spans="1:20">
      <c r="A230" s="4" t="s">
        <v>28</v>
      </c>
      <c r="B230" s="4" t="s">
        <v>28</v>
      </c>
      <c r="C230" s="4" t="s">
        <v>382</v>
      </c>
      <c r="D230" s="4" t="s">
        <v>83</v>
      </c>
      <c r="E230" s="4" t="s">
        <v>83</v>
      </c>
      <c r="F230" s="4" t="s">
        <v>366</v>
      </c>
      <c r="G230" s="4" t="s">
        <v>378</v>
      </c>
      <c r="H230" s="4">
        <v>60</v>
      </c>
      <c r="I230" s="6">
        <v>11.2194</v>
      </c>
      <c r="J230" s="6">
        <v>12.0917</v>
      </c>
      <c r="K230" s="6">
        <v>2.213</v>
      </c>
      <c r="L230" s="6">
        <v>4.112925</v>
      </c>
      <c r="M230" s="6">
        <v>6.749</v>
      </c>
      <c r="N230" s="6">
        <v>2.86852</v>
      </c>
      <c r="O230" s="6">
        <v>4.525</v>
      </c>
      <c r="P230" s="6">
        <v>6.61057</v>
      </c>
      <c r="Q230" s="6">
        <v>13.487</v>
      </c>
      <c r="R230" s="6">
        <v>13.592015</v>
      </c>
      <c r="S230" s="6">
        <v>24.7064</v>
      </c>
      <c r="T230" s="6">
        <v>25.683715</v>
      </c>
    </row>
    <row r="231" spans="1:20">
      <c r="A231" s="4" t="s">
        <v>28</v>
      </c>
      <c r="B231" s="4" t="s">
        <v>28</v>
      </c>
      <c r="C231" s="4" t="s">
        <v>383</v>
      </c>
      <c r="D231" s="4" t="s">
        <v>83</v>
      </c>
      <c r="E231" s="4" t="s">
        <v>83</v>
      </c>
      <c r="F231" s="4" t="s">
        <v>366</v>
      </c>
      <c r="G231" s="4" t="s">
        <v>378</v>
      </c>
      <c r="H231" s="4"/>
      <c r="I231" s="6">
        <v>-0.41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-0.41</v>
      </c>
      <c r="T231" s="6">
        <v>0</v>
      </c>
    </row>
    <row r="232" spans="1:20">
      <c r="A232" s="4" t="s">
        <v>28</v>
      </c>
      <c r="B232" s="4" t="s">
        <v>28</v>
      </c>
      <c r="C232" s="4" t="s">
        <v>384</v>
      </c>
      <c r="D232" s="4" t="s">
        <v>64</v>
      </c>
      <c r="E232" s="4" t="s">
        <v>64</v>
      </c>
      <c r="F232" s="4" t="s">
        <v>385</v>
      </c>
      <c r="G232" s="4" t="s">
        <v>372</v>
      </c>
      <c r="H232" s="4">
        <v>80</v>
      </c>
      <c r="I232" s="6">
        <v>13.5359</v>
      </c>
      <c r="J232" s="6">
        <v>6.8919</v>
      </c>
      <c r="K232" s="6">
        <v>0</v>
      </c>
      <c r="L232" s="6">
        <v>0</v>
      </c>
      <c r="M232" s="6">
        <v>1.8721</v>
      </c>
      <c r="N232" s="6">
        <v>3.4862</v>
      </c>
      <c r="O232" s="6">
        <v>0</v>
      </c>
      <c r="P232" s="6">
        <v>0</v>
      </c>
      <c r="Q232" s="6">
        <v>1.8721</v>
      </c>
      <c r="R232" s="6">
        <v>3.4862</v>
      </c>
      <c r="S232" s="6">
        <v>15.408</v>
      </c>
      <c r="T232" s="6">
        <v>10.3781</v>
      </c>
    </row>
    <row r="233" spans="1:20">
      <c r="A233" s="4" t="s">
        <v>28</v>
      </c>
      <c r="B233" s="4" t="s">
        <v>28</v>
      </c>
      <c r="C233" s="4" t="s">
        <v>386</v>
      </c>
      <c r="D233" s="4" t="s">
        <v>60</v>
      </c>
      <c r="E233" s="4" t="s">
        <v>60</v>
      </c>
      <c r="F233" s="4" t="s">
        <v>371</v>
      </c>
      <c r="G233" s="4" t="s">
        <v>372</v>
      </c>
      <c r="H233" s="4">
        <v>30</v>
      </c>
      <c r="I233" s="6">
        <v>1.1054</v>
      </c>
      <c r="J233" s="6">
        <v>0</v>
      </c>
      <c r="K233" s="6">
        <v>0.965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0.965</v>
      </c>
      <c r="R233" s="6">
        <v>0</v>
      </c>
      <c r="S233" s="6">
        <v>2.0704</v>
      </c>
      <c r="T233" s="6">
        <v>0</v>
      </c>
    </row>
    <row r="234" spans="1:20">
      <c r="A234" s="4" t="s">
        <v>28</v>
      </c>
      <c r="B234" s="4" t="s">
        <v>28</v>
      </c>
      <c r="C234" s="4" t="s">
        <v>387</v>
      </c>
      <c r="D234" s="4" t="s">
        <v>87</v>
      </c>
      <c r="E234" s="4" t="s">
        <v>87</v>
      </c>
      <c r="F234" s="4" t="s">
        <v>366</v>
      </c>
      <c r="G234" s="4"/>
      <c r="H234" s="4"/>
      <c r="I234" s="6">
        <v>29.097</v>
      </c>
      <c r="J234" s="6">
        <v>38.288972</v>
      </c>
      <c r="K234" s="6">
        <v>10.6839</v>
      </c>
      <c r="L234" s="6">
        <v>2.6001</v>
      </c>
      <c r="M234" s="6">
        <v>10.4179</v>
      </c>
      <c r="N234" s="6">
        <v>14.5162</v>
      </c>
      <c r="O234" s="6">
        <v>9.41994</v>
      </c>
      <c r="P234" s="6">
        <v>11.701956</v>
      </c>
      <c r="Q234" s="6">
        <v>30.52174</v>
      </c>
      <c r="R234" s="6">
        <v>28.818256</v>
      </c>
      <c r="S234" s="6">
        <v>59.61874</v>
      </c>
      <c r="T234" s="6">
        <v>67.107228</v>
      </c>
    </row>
    <row r="235" spans="1:20">
      <c r="A235" s="4" t="s">
        <v>28</v>
      </c>
      <c r="B235" s="4" t="s">
        <v>28</v>
      </c>
      <c r="C235" s="4" t="s">
        <v>388</v>
      </c>
      <c r="D235" s="4" t="s">
        <v>64</v>
      </c>
      <c r="E235" s="4" t="s">
        <v>64</v>
      </c>
      <c r="F235" s="4" t="s">
        <v>375</v>
      </c>
      <c r="G235" s="4" t="s">
        <v>372</v>
      </c>
      <c r="H235" s="4">
        <v>80</v>
      </c>
      <c r="I235" s="6">
        <v>23.8252</v>
      </c>
      <c r="J235" s="6">
        <v>6.3905</v>
      </c>
      <c r="K235" s="6">
        <v>3.7539</v>
      </c>
      <c r="L235" s="6">
        <v>1.4479</v>
      </c>
      <c r="M235" s="6">
        <v>9.8292</v>
      </c>
      <c r="N235" s="6">
        <v>5.1613</v>
      </c>
      <c r="O235" s="6">
        <v>0</v>
      </c>
      <c r="P235" s="6">
        <v>1.2263</v>
      </c>
      <c r="Q235" s="6">
        <v>13.5831</v>
      </c>
      <c r="R235" s="6">
        <v>7.8355</v>
      </c>
      <c r="S235" s="6">
        <v>37.4083</v>
      </c>
      <c r="T235" s="6">
        <v>14.226</v>
      </c>
    </row>
    <row r="236" spans="1:20">
      <c r="A236" s="4" t="s">
        <v>28</v>
      </c>
      <c r="B236" s="4" t="s">
        <v>28</v>
      </c>
      <c r="C236" s="4" t="s">
        <v>389</v>
      </c>
      <c r="D236" s="4" t="s">
        <v>101</v>
      </c>
      <c r="E236" s="4" t="s">
        <v>101</v>
      </c>
      <c r="F236" s="4" t="s">
        <v>375</v>
      </c>
      <c r="G236" s="4" t="s">
        <v>372</v>
      </c>
      <c r="H236" s="4">
        <v>30</v>
      </c>
      <c r="I236" s="6">
        <v>2.8785</v>
      </c>
      <c r="J236" s="6">
        <v>0</v>
      </c>
      <c r="K236" s="6">
        <v>0</v>
      </c>
      <c r="L236" s="6">
        <v>0</v>
      </c>
      <c r="M236" s="6">
        <v>2.45</v>
      </c>
      <c r="N236" s="6">
        <v>0</v>
      </c>
      <c r="O236" s="6">
        <v>0.532</v>
      </c>
      <c r="P236" s="6">
        <v>0.57</v>
      </c>
      <c r="Q236" s="6">
        <v>2.982</v>
      </c>
      <c r="R236" s="6">
        <v>0.57</v>
      </c>
      <c r="S236" s="6">
        <v>5.8605</v>
      </c>
      <c r="T236" s="6">
        <v>0.57</v>
      </c>
    </row>
    <row r="237" spans="1:20">
      <c r="A237" s="4" t="s">
        <v>28</v>
      </c>
      <c r="B237" s="4" t="s">
        <v>28</v>
      </c>
      <c r="C237" s="4" t="s">
        <v>390</v>
      </c>
      <c r="D237" s="4" t="s">
        <v>101</v>
      </c>
      <c r="E237" s="4" t="s">
        <v>101</v>
      </c>
      <c r="F237" s="4" t="s">
        <v>371</v>
      </c>
      <c r="G237" s="4" t="s">
        <v>378</v>
      </c>
      <c r="H237" s="4">
        <v>30</v>
      </c>
      <c r="I237" s="6">
        <v>4</v>
      </c>
      <c r="J237" s="6">
        <v>3</v>
      </c>
      <c r="K237" s="6">
        <v>0</v>
      </c>
      <c r="L237" s="6">
        <v>0</v>
      </c>
      <c r="M237" s="6">
        <v>2</v>
      </c>
      <c r="N237" s="6">
        <v>2</v>
      </c>
      <c r="O237" s="6">
        <v>0</v>
      </c>
      <c r="P237" s="6">
        <v>1</v>
      </c>
      <c r="Q237" s="6">
        <v>2</v>
      </c>
      <c r="R237" s="6">
        <v>3</v>
      </c>
      <c r="S237" s="6">
        <v>6</v>
      </c>
      <c r="T237" s="6">
        <v>6</v>
      </c>
    </row>
    <row r="238" spans="1:20">
      <c r="A238" s="4" t="s">
        <v>28</v>
      </c>
      <c r="B238" s="4" t="s">
        <v>28</v>
      </c>
      <c r="C238" s="4" t="s">
        <v>391</v>
      </c>
      <c r="D238" s="4" t="s">
        <v>101</v>
      </c>
      <c r="E238" s="4" t="s">
        <v>101</v>
      </c>
      <c r="F238" s="4" t="s">
        <v>366</v>
      </c>
      <c r="G238" s="4" t="s">
        <v>378</v>
      </c>
      <c r="H238" s="4">
        <v>30</v>
      </c>
      <c r="I238" s="6">
        <v>6</v>
      </c>
      <c r="J238" s="6">
        <v>6</v>
      </c>
      <c r="K238" s="6">
        <v>1</v>
      </c>
      <c r="L238" s="6">
        <v>3</v>
      </c>
      <c r="M238" s="6">
        <v>0</v>
      </c>
      <c r="N238" s="6">
        <v>6.0568</v>
      </c>
      <c r="O238" s="6">
        <v>0</v>
      </c>
      <c r="P238" s="6">
        <v>0</v>
      </c>
      <c r="Q238" s="6">
        <v>1</v>
      </c>
      <c r="R238" s="6">
        <v>9.0568</v>
      </c>
      <c r="S238" s="6">
        <v>7</v>
      </c>
      <c r="T238" s="6">
        <v>15.0568</v>
      </c>
    </row>
    <row r="239" spans="1:20">
      <c r="A239" s="4" t="s">
        <v>28</v>
      </c>
      <c r="B239" s="4" t="s">
        <v>28</v>
      </c>
      <c r="C239" s="4" t="s">
        <v>392</v>
      </c>
      <c r="D239" s="4" t="s">
        <v>78</v>
      </c>
      <c r="E239" s="4" t="s">
        <v>78</v>
      </c>
      <c r="F239" s="4" t="s">
        <v>366</v>
      </c>
      <c r="G239" s="4" t="s">
        <v>378</v>
      </c>
      <c r="H239" s="4"/>
      <c r="I239" s="6">
        <v>6.762104</v>
      </c>
      <c r="J239" s="6">
        <v>8.740551</v>
      </c>
      <c r="K239" s="6">
        <v>1.4596</v>
      </c>
      <c r="L239" s="6">
        <v>1.140376</v>
      </c>
      <c r="M239" s="6">
        <v>4.166041</v>
      </c>
      <c r="N239" s="6">
        <v>6.124395</v>
      </c>
      <c r="O239" s="6">
        <v>9.255298</v>
      </c>
      <c r="P239" s="6">
        <v>4.633806</v>
      </c>
      <c r="Q239" s="6">
        <v>14.880939</v>
      </c>
      <c r="R239" s="6">
        <v>11.898577</v>
      </c>
      <c r="S239" s="6">
        <v>21.643043</v>
      </c>
      <c r="T239" s="6">
        <v>20.639128</v>
      </c>
    </row>
    <row r="240" spans="1:20">
      <c r="A240" s="4" t="s">
        <v>28</v>
      </c>
      <c r="B240" s="4" t="s">
        <v>28</v>
      </c>
      <c r="C240" s="4" t="s">
        <v>393</v>
      </c>
      <c r="D240" s="4" t="s">
        <v>64</v>
      </c>
      <c r="E240" s="4" t="s">
        <v>64</v>
      </c>
      <c r="F240" s="4" t="s">
        <v>385</v>
      </c>
      <c r="G240" s="4" t="s">
        <v>372</v>
      </c>
      <c r="H240" s="4">
        <v>0</v>
      </c>
      <c r="I240" s="6">
        <v>0</v>
      </c>
      <c r="J240" s="6">
        <v>0</v>
      </c>
      <c r="K240" s="6">
        <v>0</v>
      </c>
      <c r="L240" s="6">
        <v>0</v>
      </c>
      <c r="M240" s="6">
        <v>4.8949</v>
      </c>
      <c r="N240" s="6">
        <v>0</v>
      </c>
      <c r="O240" s="6">
        <v>0</v>
      </c>
      <c r="P240" s="6">
        <v>0</v>
      </c>
      <c r="Q240" s="6">
        <v>4.8949</v>
      </c>
      <c r="R240" s="6">
        <v>0</v>
      </c>
      <c r="S240" s="6">
        <v>4.8949</v>
      </c>
      <c r="T240" s="6">
        <v>0</v>
      </c>
    </row>
    <row r="241" spans="1:20">
      <c r="A241" s="4" t="s">
        <v>28</v>
      </c>
      <c r="B241" s="4" t="s">
        <v>28</v>
      </c>
      <c r="C241" s="4" t="s">
        <v>394</v>
      </c>
      <c r="D241" s="4" t="s">
        <v>64</v>
      </c>
      <c r="E241" s="4" t="s">
        <v>64</v>
      </c>
      <c r="F241" s="4" t="s">
        <v>395</v>
      </c>
      <c r="G241" s="4" t="s">
        <v>368</v>
      </c>
      <c r="H241" s="4">
        <v>80</v>
      </c>
      <c r="I241" s="6">
        <v>23.4642</v>
      </c>
      <c r="J241" s="6">
        <v>15.1983</v>
      </c>
      <c r="K241" s="6">
        <v>3.7102</v>
      </c>
      <c r="L241" s="6">
        <v>2.6004</v>
      </c>
      <c r="M241" s="6">
        <v>9.201</v>
      </c>
      <c r="N241" s="6">
        <v>8.1089</v>
      </c>
      <c r="O241" s="6">
        <v>0.3173</v>
      </c>
      <c r="P241" s="6">
        <v>15.7049</v>
      </c>
      <c r="Q241" s="6">
        <v>13.2285</v>
      </c>
      <c r="R241" s="6">
        <v>26.4142</v>
      </c>
      <c r="S241" s="6">
        <v>36.6927</v>
      </c>
      <c r="T241" s="6">
        <v>41.6125</v>
      </c>
    </row>
    <row r="242" spans="1:20">
      <c r="A242" s="4" t="s">
        <v>28</v>
      </c>
      <c r="B242" s="4" t="s">
        <v>28</v>
      </c>
      <c r="C242" s="4" t="s">
        <v>396</v>
      </c>
      <c r="D242" s="4" t="s">
        <v>60</v>
      </c>
      <c r="E242" s="4" t="s">
        <v>60</v>
      </c>
      <c r="F242" s="4" t="s">
        <v>371</v>
      </c>
      <c r="G242" s="4" t="s">
        <v>372</v>
      </c>
      <c r="H242" s="4">
        <v>30</v>
      </c>
      <c r="I242" s="6">
        <v>3.5419</v>
      </c>
      <c r="J242" s="6">
        <v>0.8054</v>
      </c>
      <c r="K242" s="6">
        <v>0.9194</v>
      </c>
      <c r="L242" s="6">
        <v>0</v>
      </c>
      <c r="M242" s="6">
        <v>1.6472</v>
      </c>
      <c r="N242" s="6">
        <v>0</v>
      </c>
      <c r="O242" s="6">
        <v>2.3766</v>
      </c>
      <c r="P242" s="6">
        <v>0</v>
      </c>
      <c r="Q242" s="6">
        <v>4.9432</v>
      </c>
      <c r="R242" s="6">
        <v>0</v>
      </c>
      <c r="S242" s="6">
        <v>8.4851</v>
      </c>
      <c r="T242" s="6">
        <v>0.8054</v>
      </c>
    </row>
    <row r="243" spans="1:20">
      <c r="A243" s="4" t="s">
        <v>28</v>
      </c>
      <c r="B243" s="4" t="s">
        <v>28</v>
      </c>
      <c r="C243" s="4" t="s">
        <v>397</v>
      </c>
      <c r="D243" s="4" t="s">
        <v>60</v>
      </c>
      <c r="E243" s="4" t="s">
        <v>60</v>
      </c>
      <c r="F243" s="4" t="s">
        <v>371</v>
      </c>
      <c r="G243" s="4" t="s">
        <v>372</v>
      </c>
      <c r="H243" s="4">
        <v>30</v>
      </c>
      <c r="I243" s="6">
        <v>5.5774</v>
      </c>
      <c r="J243" s="6">
        <v>0.9</v>
      </c>
      <c r="K243" s="6">
        <v>0.3652</v>
      </c>
      <c r="L243" s="6">
        <v>0</v>
      </c>
      <c r="M243" s="6">
        <v>0</v>
      </c>
      <c r="N243" s="6">
        <v>1.7704</v>
      </c>
      <c r="O243" s="6">
        <v>0.6319</v>
      </c>
      <c r="P243" s="6">
        <v>0</v>
      </c>
      <c r="Q243" s="6">
        <v>0.9971</v>
      </c>
      <c r="R243" s="6">
        <v>1.7704</v>
      </c>
      <c r="S243" s="6">
        <v>6.5745</v>
      </c>
      <c r="T243" s="6">
        <v>2.6704</v>
      </c>
    </row>
    <row r="244" spans="1:20">
      <c r="A244" s="4" t="s">
        <v>28</v>
      </c>
      <c r="B244" s="4" t="s">
        <v>28</v>
      </c>
      <c r="C244" s="4" t="s">
        <v>398</v>
      </c>
      <c r="D244" s="4" t="s">
        <v>64</v>
      </c>
      <c r="E244" s="4" t="s">
        <v>64</v>
      </c>
      <c r="F244" s="4" t="s">
        <v>366</v>
      </c>
      <c r="G244" s="4" t="s">
        <v>378</v>
      </c>
      <c r="H244" s="4">
        <v>30</v>
      </c>
      <c r="I244" s="6">
        <v>3.4745</v>
      </c>
      <c r="J244" s="6">
        <v>2.1655</v>
      </c>
      <c r="K244" s="6">
        <v>0.5384</v>
      </c>
      <c r="L244" s="6">
        <v>1.3951</v>
      </c>
      <c r="M244" s="6">
        <v>2.922</v>
      </c>
      <c r="N244" s="6">
        <v>5.4175</v>
      </c>
      <c r="O244" s="6">
        <v>1.8804</v>
      </c>
      <c r="P244" s="6">
        <v>4.2855</v>
      </c>
      <c r="Q244" s="6">
        <v>5.3408</v>
      </c>
      <c r="R244" s="6">
        <v>11.0981</v>
      </c>
      <c r="S244" s="6">
        <v>8.8153</v>
      </c>
      <c r="T244" s="6">
        <v>13.2636</v>
      </c>
    </row>
    <row r="245" spans="1:20">
      <c r="A245" s="4" t="s">
        <v>28</v>
      </c>
      <c r="B245" s="4" t="s">
        <v>28</v>
      </c>
      <c r="C245" s="4" t="s">
        <v>399</v>
      </c>
      <c r="D245" s="4" t="s">
        <v>101</v>
      </c>
      <c r="E245" s="4" t="s">
        <v>101</v>
      </c>
      <c r="F245" s="4" t="s">
        <v>400</v>
      </c>
      <c r="G245" s="4" t="s">
        <v>368</v>
      </c>
      <c r="H245" s="4">
        <v>120</v>
      </c>
      <c r="I245" s="6">
        <v>4.1589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4.1589</v>
      </c>
      <c r="T245" s="6">
        <v>0</v>
      </c>
    </row>
    <row r="246" spans="1:20">
      <c r="A246" s="4" t="s">
        <v>28</v>
      </c>
      <c r="B246" s="4" t="s">
        <v>28</v>
      </c>
      <c r="C246" s="4" t="s">
        <v>401</v>
      </c>
      <c r="D246" s="4" t="s">
        <v>101</v>
      </c>
      <c r="E246" s="4" t="s">
        <v>101</v>
      </c>
      <c r="F246" s="4" t="s">
        <v>400</v>
      </c>
      <c r="G246" s="4" t="s">
        <v>368</v>
      </c>
      <c r="H246" s="4">
        <v>0</v>
      </c>
      <c r="I246" s="6">
        <v>3.5462</v>
      </c>
      <c r="J246" s="6">
        <v>1.9172</v>
      </c>
      <c r="K246" s="6">
        <v>0</v>
      </c>
      <c r="L246" s="6">
        <v>0.516</v>
      </c>
      <c r="M246" s="6">
        <v>0</v>
      </c>
      <c r="N246" s="6">
        <v>0</v>
      </c>
      <c r="O246" s="6">
        <v>0.3173</v>
      </c>
      <c r="P246" s="6">
        <v>1.0808</v>
      </c>
      <c r="Q246" s="6">
        <v>0.3173</v>
      </c>
      <c r="R246" s="6">
        <v>1.5968</v>
      </c>
      <c r="S246" s="6">
        <v>3.8635</v>
      </c>
      <c r="T246" s="6">
        <v>3.514</v>
      </c>
    </row>
    <row r="247" spans="1:20">
      <c r="A247" s="4" t="s">
        <v>28</v>
      </c>
      <c r="B247" s="4" t="s">
        <v>28</v>
      </c>
      <c r="C247" s="4" t="s">
        <v>402</v>
      </c>
      <c r="D247" s="4" t="s">
        <v>101</v>
      </c>
      <c r="E247" s="4" t="s">
        <v>101</v>
      </c>
      <c r="F247" s="4" t="s">
        <v>366</v>
      </c>
      <c r="G247" s="4" t="s">
        <v>378</v>
      </c>
      <c r="H247" s="4"/>
      <c r="I247" s="6">
        <v>1.6063</v>
      </c>
      <c r="J247" s="6">
        <v>3.5308</v>
      </c>
      <c r="K247" s="6">
        <v>0.1207</v>
      </c>
      <c r="L247" s="6">
        <v>0</v>
      </c>
      <c r="M247" s="6">
        <v>2.45</v>
      </c>
      <c r="N247" s="6">
        <v>0</v>
      </c>
      <c r="O247" s="6">
        <v>0.1692</v>
      </c>
      <c r="P247" s="6">
        <v>0</v>
      </c>
      <c r="Q247" s="6">
        <v>2.7399</v>
      </c>
      <c r="R247" s="6">
        <v>0</v>
      </c>
      <c r="S247" s="6">
        <v>4.3462</v>
      </c>
      <c r="T247" s="6">
        <v>3.5308</v>
      </c>
    </row>
    <row r="248" spans="1:20">
      <c r="A248" s="4" t="s">
        <v>28</v>
      </c>
      <c r="B248" s="4" t="s">
        <v>28</v>
      </c>
      <c r="C248" s="4" t="s">
        <v>403</v>
      </c>
      <c r="D248" s="4" t="s">
        <v>60</v>
      </c>
      <c r="E248" s="4" t="s">
        <v>60</v>
      </c>
      <c r="F248" s="4" t="s">
        <v>366</v>
      </c>
      <c r="G248" s="4" t="s">
        <v>368</v>
      </c>
      <c r="H248" s="4">
        <v>30</v>
      </c>
      <c r="I248" s="6">
        <v>0</v>
      </c>
      <c r="J248" s="6">
        <v>2.8387</v>
      </c>
      <c r="K248" s="6">
        <v>1.0134</v>
      </c>
      <c r="L248" s="6">
        <v>2.532</v>
      </c>
      <c r="M248" s="6">
        <v>0.6473</v>
      </c>
      <c r="N248" s="6">
        <v>0.4206</v>
      </c>
      <c r="O248" s="6">
        <v>0.6644</v>
      </c>
      <c r="P248" s="6">
        <v>1.1402</v>
      </c>
      <c r="Q248" s="6">
        <v>2.3251</v>
      </c>
      <c r="R248" s="6">
        <v>4.0928</v>
      </c>
      <c r="S248" s="6">
        <v>2.3251</v>
      </c>
      <c r="T248" s="6">
        <v>6.9315</v>
      </c>
    </row>
    <row r="249" spans="1:20">
      <c r="A249" s="4" t="s">
        <v>28</v>
      </c>
      <c r="B249" s="4" t="s">
        <v>28</v>
      </c>
      <c r="C249" s="4" t="s">
        <v>404</v>
      </c>
      <c r="D249" s="4" t="s">
        <v>113</v>
      </c>
      <c r="E249" s="4" t="s">
        <v>113</v>
      </c>
      <c r="F249" s="4" t="s">
        <v>366</v>
      </c>
      <c r="G249" s="4" t="s">
        <v>368</v>
      </c>
      <c r="H249" s="4"/>
      <c r="I249" s="6">
        <v>4.4053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4.4053</v>
      </c>
      <c r="T249" s="6">
        <v>0</v>
      </c>
    </row>
    <row r="250" spans="1:20">
      <c r="A250" s="4" t="s">
        <v>28</v>
      </c>
      <c r="B250" s="4" t="s">
        <v>28</v>
      </c>
      <c r="C250" s="4" t="s">
        <v>405</v>
      </c>
      <c r="D250" s="4" t="s">
        <v>101</v>
      </c>
      <c r="E250" s="4" t="s">
        <v>101</v>
      </c>
      <c r="F250" s="4" t="s">
        <v>406</v>
      </c>
      <c r="G250" s="4" t="s">
        <v>372</v>
      </c>
      <c r="H250" s="4">
        <v>30</v>
      </c>
      <c r="I250" s="6">
        <v>0</v>
      </c>
      <c r="J250" s="6">
        <v>0</v>
      </c>
      <c r="K250" s="6">
        <v>0.84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0.84</v>
      </c>
      <c r="R250" s="6">
        <v>0</v>
      </c>
      <c r="S250" s="6">
        <v>0.84</v>
      </c>
      <c r="T250" s="6">
        <v>0</v>
      </c>
    </row>
    <row r="251" spans="1:20">
      <c r="A251" s="4" t="s">
        <v>28</v>
      </c>
      <c r="B251" s="4" t="s">
        <v>28</v>
      </c>
      <c r="C251" s="4" t="s">
        <v>407</v>
      </c>
      <c r="D251" s="4" t="s">
        <v>60</v>
      </c>
      <c r="E251" s="4" t="s">
        <v>60</v>
      </c>
      <c r="F251" s="4" t="s">
        <v>366</v>
      </c>
      <c r="G251" s="4" t="s">
        <v>378</v>
      </c>
      <c r="H251" s="4"/>
      <c r="I251" s="6">
        <v>0</v>
      </c>
      <c r="J251" s="6">
        <v>0</v>
      </c>
      <c r="K251" s="6">
        <v>10.7064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10.7064</v>
      </c>
      <c r="R251" s="6">
        <v>0</v>
      </c>
      <c r="S251" s="6">
        <v>10.7064</v>
      </c>
      <c r="T251" s="6">
        <v>0</v>
      </c>
    </row>
    <row r="252" spans="1:20">
      <c r="A252" s="4" t="s">
        <v>28</v>
      </c>
      <c r="B252" s="4" t="s">
        <v>28</v>
      </c>
      <c r="C252" s="4" t="s">
        <v>408</v>
      </c>
      <c r="D252" s="4" t="s">
        <v>113</v>
      </c>
      <c r="E252" s="4" t="s">
        <v>113</v>
      </c>
      <c r="F252" s="4" t="s">
        <v>366</v>
      </c>
      <c r="G252" s="4" t="s">
        <v>368</v>
      </c>
      <c r="H252" s="4"/>
      <c r="I252" s="6">
        <v>0</v>
      </c>
      <c r="J252" s="6">
        <v>0.3536</v>
      </c>
      <c r="K252" s="6">
        <v>0</v>
      </c>
      <c r="L252" s="6">
        <v>1.2921</v>
      </c>
      <c r="M252" s="6">
        <v>0</v>
      </c>
      <c r="N252" s="6">
        <v>0.73</v>
      </c>
      <c r="O252" s="6">
        <v>0</v>
      </c>
      <c r="P252" s="6">
        <v>0.81312</v>
      </c>
      <c r="Q252" s="6">
        <v>0</v>
      </c>
      <c r="R252" s="6">
        <v>2.83522</v>
      </c>
      <c r="S252" s="6">
        <v>0</v>
      </c>
      <c r="T252" s="6">
        <v>3.18882</v>
      </c>
    </row>
    <row r="253" spans="1:20">
      <c r="A253" s="4" t="s">
        <v>409</v>
      </c>
      <c r="B253" s="4" t="s">
        <v>409</v>
      </c>
      <c r="C253" s="4" t="s">
        <v>410</v>
      </c>
      <c r="D253" s="4" t="s">
        <v>60</v>
      </c>
      <c r="E253" s="4" t="s">
        <v>60</v>
      </c>
      <c r="F253" s="284" t="s">
        <v>411</v>
      </c>
      <c r="G253" s="4" t="s">
        <v>412</v>
      </c>
      <c r="H253" s="4">
        <v>15</v>
      </c>
      <c r="I253" s="6">
        <v>4.2564</v>
      </c>
      <c r="J253" s="6">
        <v>1.21</v>
      </c>
      <c r="K253" s="6">
        <v>0</v>
      </c>
      <c r="L253" s="6">
        <v>0</v>
      </c>
      <c r="M253" s="6">
        <v>0.998</v>
      </c>
      <c r="N253" s="6">
        <v>0.717</v>
      </c>
      <c r="O253" s="6">
        <v>0</v>
      </c>
      <c r="P253" s="6">
        <v>0</v>
      </c>
      <c r="Q253" s="6">
        <v>0.998</v>
      </c>
      <c r="R253" s="6">
        <v>0.717</v>
      </c>
      <c r="S253" s="6">
        <v>5.2544</v>
      </c>
      <c r="T253" s="6">
        <v>1.927</v>
      </c>
    </row>
    <row r="254" spans="1:20">
      <c r="A254" s="4" t="s">
        <v>409</v>
      </c>
      <c r="B254" s="4" t="s">
        <v>409</v>
      </c>
      <c r="C254" s="4" t="s">
        <v>413</v>
      </c>
      <c r="D254" s="4" t="s">
        <v>60</v>
      </c>
      <c r="E254" s="4" t="s">
        <v>60</v>
      </c>
      <c r="F254" s="284" t="s">
        <v>411</v>
      </c>
      <c r="G254" s="4" t="s">
        <v>412</v>
      </c>
      <c r="H254" s="4"/>
      <c r="I254" s="6">
        <v>0.968</v>
      </c>
      <c r="J254" s="6">
        <v>0</v>
      </c>
      <c r="K254" s="6">
        <v>0.49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0.49</v>
      </c>
      <c r="R254" s="6">
        <v>0</v>
      </c>
      <c r="S254" s="6">
        <v>1.458</v>
      </c>
      <c r="T254" s="6">
        <v>0</v>
      </c>
    </row>
    <row r="255" spans="1:20">
      <c r="A255" s="4" t="s">
        <v>409</v>
      </c>
      <c r="B255" s="4" t="s">
        <v>409</v>
      </c>
      <c r="C255" s="4" t="s">
        <v>414</v>
      </c>
      <c r="D255" s="4" t="s">
        <v>60</v>
      </c>
      <c r="E255" s="4" t="s">
        <v>60</v>
      </c>
      <c r="F255" s="284" t="s">
        <v>415</v>
      </c>
      <c r="G255" s="4" t="s">
        <v>544</v>
      </c>
      <c r="H255" s="4">
        <v>10</v>
      </c>
      <c r="I255" s="6">
        <v>0.225</v>
      </c>
      <c r="J255" s="6">
        <v>1.8386</v>
      </c>
      <c r="K255" s="6">
        <v>0</v>
      </c>
      <c r="L255" s="6">
        <v>2.6362</v>
      </c>
      <c r="M255" s="6">
        <v>3.219</v>
      </c>
      <c r="N255" s="6">
        <v>0.5753</v>
      </c>
      <c r="O255" s="6">
        <v>0</v>
      </c>
      <c r="P255" s="6">
        <v>0.26</v>
      </c>
      <c r="Q255" s="6">
        <v>3.219</v>
      </c>
      <c r="R255" s="6">
        <v>3.4715</v>
      </c>
      <c r="S255" s="6">
        <v>3.444</v>
      </c>
      <c r="T255" s="6">
        <v>5.3101</v>
      </c>
    </row>
    <row r="256" spans="1:20">
      <c r="A256" s="4" t="s">
        <v>409</v>
      </c>
      <c r="B256" s="4" t="s">
        <v>409</v>
      </c>
      <c r="C256" s="4" t="s">
        <v>417</v>
      </c>
      <c r="D256" s="4" t="s">
        <v>60</v>
      </c>
      <c r="E256" s="4" t="s">
        <v>60</v>
      </c>
      <c r="F256" s="284" t="s">
        <v>415</v>
      </c>
      <c r="G256" s="4" t="s">
        <v>544</v>
      </c>
      <c r="H256" s="4">
        <v>30</v>
      </c>
      <c r="I256" s="6">
        <v>5.5961</v>
      </c>
      <c r="J256" s="6">
        <v>2.2039</v>
      </c>
      <c r="K256" s="6">
        <v>0</v>
      </c>
      <c r="L256" s="6">
        <v>0.2199</v>
      </c>
      <c r="M256" s="6">
        <v>1.683</v>
      </c>
      <c r="N256" s="6">
        <v>0</v>
      </c>
      <c r="O256" s="6">
        <v>1.7</v>
      </c>
      <c r="P256" s="6">
        <v>1.0659</v>
      </c>
      <c r="Q256" s="6">
        <v>3.383</v>
      </c>
      <c r="R256" s="6">
        <v>1.2858</v>
      </c>
      <c r="S256" s="6">
        <v>8.9791</v>
      </c>
      <c r="T256" s="6">
        <v>3.4897</v>
      </c>
    </row>
    <row r="257" spans="1:20">
      <c r="A257" s="4" t="s">
        <v>409</v>
      </c>
      <c r="B257" s="4" t="s">
        <v>409</v>
      </c>
      <c r="C257" s="4" t="s">
        <v>418</v>
      </c>
      <c r="D257" s="4" t="s">
        <v>60</v>
      </c>
      <c r="E257" s="4" t="s">
        <v>60</v>
      </c>
      <c r="F257" s="284" t="s">
        <v>415</v>
      </c>
      <c r="G257" s="4" t="s">
        <v>544</v>
      </c>
      <c r="H257" s="4">
        <v>10</v>
      </c>
      <c r="I257" s="6">
        <v>6.6138</v>
      </c>
      <c r="J257" s="6">
        <v>3.4165</v>
      </c>
      <c r="K257" s="6">
        <v>0.316</v>
      </c>
      <c r="L257" s="6">
        <v>0.993</v>
      </c>
      <c r="M257" s="6">
        <v>0.885</v>
      </c>
      <c r="N257" s="6">
        <v>0.38</v>
      </c>
      <c r="O257" s="6">
        <v>0.66</v>
      </c>
      <c r="P257" s="6">
        <v>2.0968</v>
      </c>
      <c r="Q257" s="6">
        <v>1.861</v>
      </c>
      <c r="R257" s="6">
        <v>3.4698</v>
      </c>
      <c r="S257" s="6">
        <v>8.4748</v>
      </c>
      <c r="T257" s="6">
        <v>6.8863</v>
      </c>
    </row>
    <row r="258" spans="1:20">
      <c r="A258" s="4" t="s">
        <v>409</v>
      </c>
      <c r="B258" s="4" t="s">
        <v>409</v>
      </c>
      <c r="C258" s="4" t="s">
        <v>419</v>
      </c>
      <c r="D258" s="4" t="s">
        <v>60</v>
      </c>
      <c r="E258" s="4" t="s">
        <v>60</v>
      </c>
      <c r="F258" s="284" t="s">
        <v>415</v>
      </c>
      <c r="G258" s="4" t="s">
        <v>544</v>
      </c>
      <c r="H258" s="4"/>
      <c r="I258" s="6">
        <v>6.2144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6.2144</v>
      </c>
      <c r="T258" s="6">
        <v>0</v>
      </c>
    </row>
    <row r="259" spans="1:20">
      <c r="A259" s="4" t="s">
        <v>409</v>
      </c>
      <c r="B259" s="4" t="s">
        <v>409</v>
      </c>
      <c r="C259" s="4" t="s">
        <v>420</v>
      </c>
      <c r="D259" s="4" t="s">
        <v>60</v>
      </c>
      <c r="E259" s="4" t="s">
        <v>60</v>
      </c>
      <c r="F259" s="284" t="s">
        <v>415</v>
      </c>
      <c r="G259" s="4" t="s">
        <v>544</v>
      </c>
      <c r="H259" s="4"/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</row>
    <row r="260" spans="1:20">
      <c r="A260" s="4" t="s">
        <v>409</v>
      </c>
      <c r="B260" s="4" t="s">
        <v>409</v>
      </c>
      <c r="C260" s="4" t="s">
        <v>421</v>
      </c>
      <c r="D260" s="4" t="s">
        <v>60</v>
      </c>
      <c r="E260" s="4" t="s">
        <v>55</v>
      </c>
      <c r="F260" s="284" t="s">
        <v>415</v>
      </c>
      <c r="G260" s="4" t="s">
        <v>544</v>
      </c>
      <c r="H260" s="4">
        <v>30</v>
      </c>
      <c r="I260" s="6">
        <v>5.5331</v>
      </c>
      <c r="J260" s="6">
        <v>2.0739</v>
      </c>
      <c r="K260" s="6">
        <v>3.445</v>
      </c>
      <c r="L260" s="6">
        <v>1.1796</v>
      </c>
      <c r="M260" s="6">
        <v>2.2509</v>
      </c>
      <c r="N260" s="6">
        <v>0.1799</v>
      </c>
      <c r="O260" s="6">
        <v>1.405</v>
      </c>
      <c r="P260" s="6">
        <v>2.8857</v>
      </c>
      <c r="Q260" s="6">
        <v>7.1009</v>
      </c>
      <c r="R260" s="6">
        <v>4.2452</v>
      </c>
      <c r="S260" s="6">
        <v>12.634</v>
      </c>
      <c r="T260" s="6">
        <v>6.3191</v>
      </c>
    </row>
    <row r="261" spans="1:20">
      <c r="A261" s="4" t="s">
        <v>409</v>
      </c>
      <c r="B261" s="4" t="s">
        <v>409</v>
      </c>
      <c r="C261" s="4" t="s">
        <v>422</v>
      </c>
      <c r="D261" s="4" t="s">
        <v>78</v>
      </c>
      <c r="E261" s="4" t="s">
        <v>78</v>
      </c>
      <c r="F261" s="4" t="s">
        <v>423</v>
      </c>
      <c r="G261" s="4" t="s">
        <v>545</v>
      </c>
      <c r="H261" s="4"/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</row>
    <row r="262" spans="1:20">
      <c r="A262" s="4" t="s">
        <v>409</v>
      </c>
      <c r="B262" s="4" t="s">
        <v>409</v>
      </c>
      <c r="C262" s="4" t="s">
        <v>424</v>
      </c>
      <c r="D262" s="4" t="s">
        <v>55</v>
      </c>
      <c r="E262" s="4" t="s">
        <v>55</v>
      </c>
      <c r="F262" s="284" t="s">
        <v>415</v>
      </c>
      <c r="G262" s="4" t="s">
        <v>544</v>
      </c>
      <c r="H262" s="4">
        <v>60</v>
      </c>
      <c r="I262" s="6">
        <v>9.69182</v>
      </c>
      <c r="J262" s="6">
        <v>10.740908</v>
      </c>
      <c r="K262" s="6">
        <v>0</v>
      </c>
      <c r="L262" s="6">
        <v>11.13642</v>
      </c>
      <c r="M262" s="6">
        <v>1.235288</v>
      </c>
      <c r="N262" s="6">
        <v>0</v>
      </c>
      <c r="O262" s="6">
        <v>2.93768</v>
      </c>
      <c r="P262" s="6">
        <v>1.212548</v>
      </c>
      <c r="Q262" s="6">
        <v>4.172968</v>
      </c>
      <c r="R262" s="6">
        <v>12.348968</v>
      </c>
      <c r="S262" s="6">
        <v>13.864788</v>
      </c>
      <c r="T262" s="6">
        <v>23.089876</v>
      </c>
    </row>
    <row r="263" spans="1:20">
      <c r="A263" s="4" t="s">
        <v>409</v>
      </c>
      <c r="B263" s="4" t="s">
        <v>409</v>
      </c>
      <c r="C263" s="4" t="s">
        <v>425</v>
      </c>
      <c r="D263" s="4" t="s">
        <v>60</v>
      </c>
      <c r="E263" s="4" t="s">
        <v>60</v>
      </c>
      <c r="F263" s="284" t="s">
        <v>426</v>
      </c>
      <c r="G263" s="4" t="s">
        <v>412</v>
      </c>
      <c r="H263" s="4"/>
      <c r="I263" s="6">
        <v>0</v>
      </c>
      <c r="J263" s="6">
        <v>0</v>
      </c>
      <c r="K263" s="6">
        <v>0</v>
      </c>
      <c r="L263" s="6">
        <v>0</v>
      </c>
      <c r="M263" s="6">
        <v>0.889</v>
      </c>
      <c r="N263" s="6">
        <v>0</v>
      </c>
      <c r="O263" s="6">
        <v>0</v>
      </c>
      <c r="P263" s="6">
        <v>0</v>
      </c>
      <c r="Q263" s="6">
        <v>0.889</v>
      </c>
      <c r="R263" s="6">
        <v>0</v>
      </c>
      <c r="S263" s="6">
        <v>0.889</v>
      </c>
      <c r="T263" s="6">
        <v>0</v>
      </c>
    </row>
    <row r="264" spans="1:20">
      <c r="A264" s="4" t="s">
        <v>409</v>
      </c>
      <c r="B264" s="4" t="s">
        <v>409</v>
      </c>
      <c r="C264" s="4" t="s">
        <v>427</v>
      </c>
      <c r="D264" s="4" t="s">
        <v>60</v>
      </c>
      <c r="E264" s="4" t="s">
        <v>55</v>
      </c>
      <c r="F264" s="284" t="s">
        <v>411</v>
      </c>
      <c r="G264" s="4" t="s">
        <v>412</v>
      </c>
      <c r="H264" s="4">
        <v>50</v>
      </c>
      <c r="I264" s="6">
        <v>7</v>
      </c>
      <c r="J264" s="6">
        <v>25</v>
      </c>
      <c r="K264" s="6">
        <v>0</v>
      </c>
      <c r="L264" s="6">
        <v>3</v>
      </c>
      <c r="M264" s="6">
        <v>3</v>
      </c>
      <c r="N264" s="6">
        <v>3</v>
      </c>
      <c r="O264" s="6">
        <v>6</v>
      </c>
      <c r="P264" s="6">
        <v>5</v>
      </c>
      <c r="Q264" s="6">
        <v>9</v>
      </c>
      <c r="R264" s="6">
        <v>11</v>
      </c>
      <c r="S264" s="6">
        <v>16</v>
      </c>
      <c r="T264" s="6">
        <v>36</v>
      </c>
    </row>
    <row r="265" spans="1:20">
      <c r="A265" s="4" t="s">
        <v>409</v>
      </c>
      <c r="B265" s="4" t="s">
        <v>409</v>
      </c>
      <c r="C265" s="4" t="s">
        <v>428</v>
      </c>
      <c r="D265" s="4" t="s">
        <v>60</v>
      </c>
      <c r="E265" s="4" t="s">
        <v>60</v>
      </c>
      <c r="F265" s="284" t="s">
        <v>429</v>
      </c>
      <c r="G265" s="4" t="s">
        <v>430</v>
      </c>
      <c r="H265" s="4"/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</row>
    <row r="266" spans="1:20">
      <c r="A266" s="4" t="s">
        <v>409</v>
      </c>
      <c r="B266" s="4" t="s">
        <v>409</v>
      </c>
      <c r="C266" s="4" t="s">
        <v>431</v>
      </c>
      <c r="D266" s="4" t="s">
        <v>83</v>
      </c>
      <c r="E266" s="4" t="s">
        <v>83</v>
      </c>
      <c r="F266" s="4" t="s">
        <v>423</v>
      </c>
      <c r="G266" s="4" t="s">
        <v>412</v>
      </c>
      <c r="H266" s="4"/>
      <c r="I266" s="6">
        <v>3.1724</v>
      </c>
      <c r="J266" s="6">
        <v>0</v>
      </c>
      <c r="K266" s="6">
        <v>0.8048</v>
      </c>
      <c r="L266" s="6">
        <v>0</v>
      </c>
      <c r="M266" s="6">
        <v>0</v>
      </c>
      <c r="N266" s="6">
        <v>0</v>
      </c>
      <c r="O266" s="6">
        <v>0.41</v>
      </c>
      <c r="P266" s="6">
        <v>0</v>
      </c>
      <c r="Q266" s="6">
        <v>1.2148</v>
      </c>
      <c r="R266" s="6">
        <v>0</v>
      </c>
      <c r="S266" s="6">
        <v>4.3872</v>
      </c>
      <c r="T266" s="6">
        <v>0</v>
      </c>
    </row>
    <row r="267" spans="1:20">
      <c r="A267" s="4" t="s">
        <v>409</v>
      </c>
      <c r="B267" s="4" t="s">
        <v>409</v>
      </c>
      <c r="C267" s="4" t="s">
        <v>433</v>
      </c>
      <c r="D267" s="4" t="s">
        <v>83</v>
      </c>
      <c r="E267" s="4" t="s">
        <v>83</v>
      </c>
      <c r="F267" s="284" t="s">
        <v>415</v>
      </c>
      <c r="G267" s="4" t="s">
        <v>544</v>
      </c>
      <c r="H267" s="4"/>
      <c r="I267" s="6">
        <v>16.7988</v>
      </c>
      <c r="J267" s="6">
        <v>0</v>
      </c>
      <c r="K267" s="6">
        <v>2.1498</v>
      </c>
      <c r="L267" s="6">
        <v>0</v>
      </c>
      <c r="M267" s="6">
        <v>-0.535</v>
      </c>
      <c r="N267" s="6">
        <v>0</v>
      </c>
      <c r="O267" s="6">
        <v>-0.51</v>
      </c>
      <c r="P267" s="6">
        <v>0</v>
      </c>
      <c r="Q267" s="6">
        <v>1.1048</v>
      </c>
      <c r="R267" s="6">
        <v>0</v>
      </c>
      <c r="S267" s="6">
        <v>17.9036</v>
      </c>
      <c r="T267" s="6">
        <v>0</v>
      </c>
    </row>
    <row r="268" spans="1:20">
      <c r="A268" s="4" t="s">
        <v>409</v>
      </c>
      <c r="B268" s="4" t="s">
        <v>409</v>
      </c>
      <c r="C268" s="4" t="s">
        <v>434</v>
      </c>
      <c r="D268" s="4" t="s">
        <v>60</v>
      </c>
      <c r="E268" s="4" t="s">
        <v>60</v>
      </c>
      <c r="F268" s="284" t="s">
        <v>426</v>
      </c>
      <c r="G268" s="4" t="s">
        <v>412</v>
      </c>
      <c r="H268" s="4"/>
      <c r="I268" s="6">
        <v>3.0747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3.0747</v>
      </c>
      <c r="T268" s="6">
        <v>0</v>
      </c>
    </row>
    <row r="269" spans="1:20">
      <c r="A269" s="4" t="s">
        <v>409</v>
      </c>
      <c r="B269" s="4" t="s">
        <v>409</v>
      </c>
      <c r="C269" s="4" t="s">
        <v>435</v>
      </c>
      <c r="D269" s="4" t="s">
        <v>60</v>
      </c>
      <c r="E269" s="4" t="s">
        <v>60</v>
      </c>
      <c r="F269" s="284" t="s">
        <v>415</v>
      </c>
      <c r="G269" s="4" t="s">
        <v>544</v>
      </c>
      <c r="H269" s="4"/>
      <c r="I269" s="6">
        <v>0.8725</v>
      </c>
      <c r="J269" s="6">
        <v>0</v>
      </c>
      <c r="K269" s="6">
        <v>0.336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0.336</v>
      </c>
      <c r="R269" s="6">
        <v>0</v>
      </c>
      <c r="S269" s="6">
        <v>1.2085</v>
      </c>
      <c r="T269" s="6">
        <v>0</v>
      </c>
    </row>
    <row r="270" spans="1:20">
      <c r="A270" s="4" t="s">
        <v>409</v>
      </c>
      <c r="B270" s="4" t="s">
        <v>409</v>
      </c>
      <c r="C270" s="4" t="s">
        <v>436</v>
      </c>
      <c r="D270" s="4" t="s">
        <v>83</v>
      </c>
      <c r="E270" s="4" t="s">
        <v>83</v>
      </c>
      <c r="F270" s="284" t="s">
        <v>411</v>
      </c>
      <c r="G270" s="4" t="s">
        <v>545</v>
      </c>
      <c r="H270" s="4"/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</row>
    <row r="271" spans="1:20">
      <c r="A271" s="4" t="s">
        <v>409</v>
      </c>
      <c r="B271" s="4" t="s">
        <v>409</v>
      </c>
      <c r="C271" s="4" t="s">
        <v>437</v>
      </c>
      <c r="D271" s="4" t="s">
        <v>60</v>
      </c>
      <c r="E271" s="4" t="s">
        <v>60</v>
      </c>
      <c r="F271" s="284" t="s">
        <v>438</v>
      </c>
      <c r="G271" s="4" t="s">
        <v>430</v>
      </c>
      <c r="H271" s="4"/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</row>
    <row r="272" spans="1:20">
      <c r="A272" s="4" t="s">
        <v>409</v>
      </c>
      <c r="B272" s="4" t="s">
        <v>409</v>
      </c>
      <c r="C272" s="4" t="s">
        <v>439</v>
      </c>
      <c r="D272" s="4" t="s">
        <v>60</v>
      </c>
      <c r="E272" s="4" t="s">
        <v>60</v>
      </c>
      <c r="F272" s="4" t="s">
        <v>423</v>
      </c>
      <c r="G272" s="4" t="s">
        <v>412</v>
      </c>
      <c r="H272" s="4"/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</row>
    <row r="273" spans="1:20">
      <c r="A273" s="4" t="s">
        <v>409</v>
      </c>
      <c r="B273" s="4" t="s">
        <v>409</v>
      </c>
      <c r="C273" s="4" t="s">
        <v>441</v>
      </c>
      <c r="D273" s="4" t="s">
        <v>83</v>
      </c>
      <c r="E273" s="4" t="s">
        <v>83</v>
      </c>
      <c r="F273" s="284" t="s">
        <v>415</v>
      </c>
      <c r="G273" s="4" t="s">
        <v>544</v>
      </c>
      <c r="H273" s="4"/>
      <c r="I273" s="6">
        <v>6.7058</v>
      </c>
      <c r="J273" s="6">
        <v>17.7322</v>
      </c>
      <c r="K273" s="6">
        <v>1.66</v>
      </c>
      <c r="L273" s="6">
        <v>1.8753</v>
      </c>
      <c r="M273" s="6">
        <v>1.318</v>
      </c>
      <c r="N273" s="6">
        <v>0.9903</v>
      </c>
      <c r="O273" s="6">
        <v>1.47</v>
      </c>
      <c r="P273" s="6">
        <v>4.7569</v>
      </c>
      <c r="Q273" s="6">
        <v>4.448</v>
      </c>
      <c r="R273" s="6">
        <v>7.6225</v>
      </c>
      <c r="S273" s="6">
        <v>11.1538</v>
      </c>
      <c r="T273" s="6">
        <v>25.3547</v>
      </c>
    </row>
    <row r="274" spans="1:20">
      <c r="A274" s="4" t="s">
        <v>409</v>
      </c>
      <c r="B274" s="4" t="s">
        <v>409</v>
      </c>
      <c r="C274" s="4" t="s">
        <v>442</v>
      </c>
      <c r="D274" s="4" t="s">
        <v>60</v>
      </c>
      <c r="E274" s="4" t="s">
        <v>60</v>
      </c>
      <c r="F274" s="4" t="s">
        <v>423</v>
      </c>
      <c r="G274" s="4" t="s">
        <v>412</v>
      </c>
      <c r="H274" s="4"/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</row>
    <row r="275" spans="1:20">
      <c r="A275" s="4" t="s">
        <v>409</v>
      </c>
      <c r="B275" s="4" t="s">
        <v>409</v>
      </c>
      <c r="C275" s="4" t="s">
        <v>444</v>
      </c>
      <c r="D275" s="4" t="s">
        <v>83</v>
      </c>
      <c r="E275" s="4" t="s">
        <v>83</v>
      </c>
      <c r="F275" s="4" t="s">
        <v>423</v>
      </c>
      <c r="G275" s="4" t="s">
        <v>412</v>
      </c>
      <c r="H275" s="4">
        <v>200</v>
      </c>
      <c r="I275" s="6">
        <v>7.8998</v>
      </c>
      <c r="J275" s="6">
        <v>18.4769</v>
      </c>
      <c r="K275" s="6">
        <v>6.7034</v>
      </c>
      <c r="L275" s="6">
        <v>10.3708</v>
      </c>
      <c r="M275" s="6">
        <v>6.7348</v>
      </c>
      <c r="N275" s="6">
        <v>11.8753</v>
      </c>
      <c r="O275" s="6">
        <v>7.278</v>
      </c>
      <c r="P275" s="6">
        <v>18.0556</v>
      </c>
      <c r="Q275" s="6">
        <v>20.7162</v>
      </c>
      <c r="R275" s="6">
        <v>40.3017</v>
      </c>
      <c r="S275" s="6">
        <v>28.616</v>
      </c>
      <c r="T275" s="6">
        <v>58.7786</v>
      </c>
    </row>
    <row r="276" spans="1:20">
      <c r="A276" s="4" t="s">
        <v>409</v>
      </c>
      <c r="B276" s="4" t="s">
        <v>409</v>
      </c>
      <c r="C276" s="4" t="s">
        <v>445</v>
      </c>
      <c r="D276" s="4" t="s">
        <v>87</v>
      </c>
      <c r="E276" s="4" t="s">
        <v>87</v>
      </c>
      <c r="F276" s="4" t="s">
        <v>423</v>
      </c>
      <c r="G276" s="4" t="s">
        <v>446</v>
      </c>
      <c r="H276" s="4"/>
      <c r="I276" s="6">
        <v>3.084</v>
      </c>
      <c r="J276" s="6">
        <v>5.195106</v>
      </c>
      <c r="K276" s="6">
        <v>1.14882</v>
      </c>
      <c r="L276" s="6">
        <v>2.048006</v>
      </c>
      <c r="M276" s="6">
        <v>0.5121</v>
      </c>
      <c r="N276" s="6">
        <v>0</v>
      </c>
      <c r="O276" s="6">
        <v>1.515</v>
      </c>
      <c r="P276" s="6">
        <v>4.07009</v>
      </c>
      <c r="Q276" s="6">
        <v>3.17592</v>
      </c>
      <c r="R276" s="6">
        <v>6.118096</v>
      </c>
      <c r="S276" s="6">
        <v>6.25992</v>
      </c>
      <c r="T276" s="6">
        <v>11.313202</v>
      </c>
    </row>
    <row r="277" spans="1:20">
      <c r="A277" s="4" t="s">
        <v>409</v>
      </c>
      <c r="B277" s="4" t="s">
        <v>409</v>
      </c>
      <c r="C277" s="4" t="s">
        <v>447</v>
      </c>
      <c r="D277" s="4" t="s">
        <v>64</v>
      </c>
      <c r="E277" s="4" t="s">
        <v>64</v>
      </c>
      <c r="F277" s="284" t="s">
        <v>438</v>
      </c>
      <c r="G277" s="4" t="s">
        <v>430</v>
      </c>
      <c r="H277" s="4">
        <v>0</v>
      </c>
      <c r="I277" s="6">
        <v>11.9245</v>
      </c>
      <c r="J277" s="6">
        <v>2.3231</v>
      </c>
      <c r="K277" s="6">
        <v>0.7084</v>
      </c>
      <c r="L277" s="6">
        <v>3.5125</v>
      </c>
      <c r="M277" s="6">
        <v>2.8101</v>
      </c>
      <c r="N277" s="6">
        <v>1.1948</v>
      </c>
      <c r="O277" s="6">
        <v>1.8286</v>
      </c>
      <c r="P277" s="6">
        <v>11.78385</v>
      </c>
      <c r="Q277" s="6">
        <v>5.3471</v>
      </c>
      <c r="R277" s="6">
        <v>16.49115</v>
      </c>
      <c r="S277" s="6">
        <v>17.2716</v>
      </c>
      <c r="T277" s="6">
        <v>18.81425</v>
      </c>
    </row>
    <row r="278" spans="1:20">
      <c r="A278" s="4" t="s">
        <v>409</v>
      </c>
      <c r="B278" s="4" t="s">
        <v>448</v>
      </c>
      <c r="C278" s="4" t="s">
        <v>449</v>
      </c>
      <c r="D278" s="4" t="s">
        <v>60</v>
      </c>
      <c r="E278" s="4" t="s">
        <v>60</v>
      </c>
      <c r="F278" s="4" t="s">
        <v>450</v>
      </c>
      <c r="G278" s="4" t="s">
        <v>452</v>
      </c>
      <c r="H278" s="4"/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</row>
    <row r="279" spans="1:20">
      <c r="A279" s="4" t="s">
        <v>409</v>
      </c>
      <c r="B279" s="4" t="s">
        <v>448</v>
      </c>
      <c r="C279" s="4" t="s">
        <v>453</v>
      </c>
      <c r="D279" s="4" t="s">
        <v>60</v>
      </c>
      <c r="E279" s="4" t="s">
        <v>60</v>
      </c>
      <c r="F279" s="4" t="s">
        <v>450</v>
      </c>
      <c r="G279" s="4" t="s">
        <v>452</v>
      </c>
      <c r="H279" s="4"/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</row>
    <row r="280" spans="1:20">
      <c r="A280" s="4" t="s">
        <v>409</v>
      </c>
      <c r="B280" s="4" t="s">
        <v>409</v>
      </c>
      <c r="C280" s="4" t="s">
        <v>454</v>
      </c>
      <c r="D280" s="4" t="s">
        <v>60</v>
      </c>
      <c r="E280" s="4" t="s">
        <v>60</v>
      </c>
      <c r="F280" s="4" t="s">
        <v>415</v>
      </c>
      <c r="G280" s="4" t="s">
        <v>544</v>
      </c>
      <c r="H280" s="4"/>
      <c r="I280" s="6">
        <v>5.8295</v>
      </c>
      <c r="J280" s="6">
        <v>9.6904</v>
      </c>
      <c r="K280" s="6">
        <v>24.3032</v>
      </c>
      <c r="L280" s="6">
        <v>0</v>
      </c>
      <c r="M280" s="6">
        <v>0.0209</v>
      </c>
      <c r="N280" s="6">
        <v>1.2061</v>
      </c>
      <c r="O280" s="6">
        <v>5.6327</v>
      </c>
      <c r="P280" s="6">
        <v>0</v>
      </c>
      <c r="Q280" s="6">
        <v>29.9568</v>
      </c>
      <c r="R280" s="6">
        <v>1.2061</v>
      </c>
      <c r="S280" s="6">
        <v>35.7863</v>
      </c>
      <c r="T280" s="6">
        <v>10.8965</v>
      </c>
    </row>
    <row r="281" spans="1:20">
      <c r="A281" s="4" t="s">
        <v>409</v>
      </c>
      <c r="B281" s="4" t="s">
        <v>448</v>
      </c>
      <c r="C281" s="4" t="s">
        <v>455</v>
      </c>
      <c r="D281" s="4" t="s">
        <v>60</v>
      </c>
      <c r="E281" s="4" t="s">
        <v>60</v>
      </c>
      <c r="F281" s="4" t="s">
        <v>450</v>
      </c>
      <c r="G281" s="4" t="s">
        <v>452</v>
      </c>
      <c r="H281" s="4"/>
      <c r="I281" s="6">
        <v>6.7927</v>
      </c>
      <c r="J281" s="6">
        <v>19.7415</v>
      </c>
      <c r="K281" s="6">
        <v>3.5538</v>
      </c>
      <c r="L281" s="6">
        <v>14.1075</v>
      </c>
      <c r="M281" s="6">
        <v>7.8386</v>
      </c>
      <c r="N281" s="6">
        <v>8.637</v>
      </c>
      <c r="O281" s="6">
        <v>5.4614</v>
      </c>
      <c r="P281" s="6">
        <v>6.9086</v>
      </c>
      <c r="Q281" s="6">
        <v>16.8538</v>
      </c>
      <c r="R281" s="6">
        <v>29.6531</v>
      </c>
      <c r="S281" s="6">
        <v>23.6465</v>
      </c>
      <c r="T281" s="6">
        <v>49.3946</v>
      </c>
    </row>
    <row r="282" spans="1:20">
      <c r="A282" s="4" t="s">
        <v>409</v>
      </c>
      <c r="B282" s="4" t="s">
        <v>409</v>
      </c>
      <c r="C282" s="4" t="s">
        <v>456</v>
      </c>
      <c r="D282" s="4" t="s">
        <v>83</v>
      </c>
      <c r="E282" s="4" t="s">
        <v>83</v>
      </c>
      <c r="F282" s="4" t="s">
        <v>415</v>
      </c>
      <c r="G282" s="4" t="s">
        <v>544</v>
      </c>
      <c r="H282" s="4"/>
      <c r="I282" s="6">
        <v>1.2404</v>
      </c>
      <c r="J282" s="6">
        <v>0</v>
      </c>
      <c r="K282" s="6">
        <v>1.227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1.227</v>
      </c>
      <c r="R282" s="6">
        <v>0</v>
      </c>
      <c r="S282" s="6">
        <v>2.4674</v>
      </c>
      <c r="T282" s="6">
        <v>0</v>
      </c>
    </row>
    <row r="283" spans="1:20">
      <c r="A283" s="4" t="s">
        <v>409</v>
      </c>
      <c r="B283" s="4" t="s">
        <v>409</v>
      </c>
      <c r="C283" s="4" t="s">
        <v>457</v>
      </c>
      <c r="D283" s="4" t="s">
        <v>60</v>
      </c>
      <c r="E283" s="4" t="s">
        <v>60</v>
      </c>
      <c r="F283" s="4" t="s">
        <v>438</v>
      </c>
      <c r="G283" s="4" t="s">
        <v>430</v>
      </c>
      <c r="H283" s="4"/>
      <c r="I283" s="6">
        <v>1.9201</v>
      </c>
      <c r="J283" s="6">
        <v>0</v>
      </c>
      <c r="K283" s="6">
        <v>0.445</v>
      </c>
      <c r="L283" s="6">
        <v>0</v>
      </c>
      <c r="M283" s="6">
        <v>1.0832</v>
      </c>
      <c r="N283" s="6">
        <v>0</v>
      </c>
      <c r="O283" s="6">
        <v>0</v>
      </c>
      <c r="P283" s="6">
        <v>0</v>
      </c>
      <c r="Q283" s="6">
        <v>1.5282</v>
      </c>
      <c r="R283" s="6">
        <v>0</v>
      </c>
      <c r="S283" s="6">
        <v>3.4483</v>
      </c>
      <c r="T283" s="6">
        <v>0</v>
      </c>
    </row>
    <row r="284" spans="1:20">
      <c r="A284" s="4" t="s">
        <v>409</v>
      </c>
      <c r="B284" s="4" t="s">
        <v>409</v>
      </c>
      <c r="C284" s="4" t="s">
        <v>458</v>
      </c>
      <c r="D284" s="4" t="s">
        <v>83</v>
      </c>
      <c r="E284" s="4" t="s">
        <v>83</v>
      </c>
      <c r="F284" s="4" t="s">
        <v>459</v>
      </c>
      <c r="G284" s="4" t="s">
        <v>430</v>
      </c>
      <c r="H284" s="4"/>
      <c r="I284" s="6">
        <v>11.9808</v>
      </c>
      <c r="J284" s="6">
        <v>5.311</v>
      </c>
      <c r="K284" s="6">
        <v>5.0146</v>
      </c>
      <c r="L284" s="6">
        <v>4.8806</v>
      </c>
      <c r="M284" s="6">
        <v>0</v>
      </c>
      <c r="N284" s="6">
        <v>3.2645</v>
      </c>
      <c r="O284" s="6">
        <v>0.45</v>
      </c>
      <c r="P284" s="6">
        <v>4.8676</v>
      </c>
      <c r="Q284" s="6">
        <v>5.4646</v>
      </c>
      <c r="R284" s="6">
        <v>13.0127</v>
      </c>
      <c r="S284" s="6">
        <v>17.4454</v>
      </c>
      <c r="T284" s="6">
        <v>18.3237</v>
      </c>
    </row>
    <row r="285" spans="1:20">
      <c r="A285" s="4" t="s">
        <v>409</v>
      </c>
      <c r="B285" s="4" t="s">
        <v>409</v>
      </c>
      <c r="C285" s="4" t="s">
        <v>460</v>
      </c>
      <c r="D285" s="4" t="s">
        <v>60</v>
      </c>
      <c r="E285" s="4" t="s">
        <v>60</v>
      </c>
      <c r="F285" s="4" t="s">
        <v>459</v>
      </c>
      <c r="G285" s="4" t="s">
        <v>430</v>
      </c>
      <c r="H285" s="4"/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</row>
    <row r="286" spans="1:20">
      <c r="A286" s="4" t="s">
        <v>409</v>
      </c>
      <c r="B286" s="4" t="s">
        <v>409</v>
      </c>
      <c r="C286" s="4" t="s">
        <v>461</v>
      </c>
      <c r="D286" s="4" t="s">
        <v>60</v>
      </c>
      <c r="E286" s="4" t="s">
        <v>60</v>
      </c>
      <c r="F286" s="4" t="s">
        <v>423</v>
      </c>
      <c r="G286" s="4" t="s">
        <v>412</v>
      </c>
      <c r="H286" s="4"/>
      <c r="I286" s="6">
        <v>6.9058</v>
      </c>
      <c r="J286" s="6">
        <v>1.5039</v>
      </c>
      <c r="K286" s="6">
        <v>2.078</v>
      </c>
      <c r="L286" s="6">
        <v>0</v>
      </c>
      <c r="M286" s="6">
        <v>2.685</v>
      </c>
      <c r="N286" s="6">
        <v>0.07</v>
      </c>
      <c r="O286" s="6">
        <v>1.0134</v>
      </c>
      <c r="P286" s="6">
        <v>0.4603</v>
      </c>
      <c r="Q286" s="6">
        <v>5.7764</v>
      </c>
      <c r="R286" s="6">
        <v>0.5303</v>
      </c>
      <c r="S286" s="6">
        <v>12.6822</v>
      </c>
      <c r="T286" s="6">
        <v>2.0342</v>
      </c>
    </row>
    <row r="287" spans="1:20">
      <c r="A287" s="4" t="s">
        <v>409</v>
      </c>
      <c r="B287" s="4" t="s">
        <v>409</v>
      </c>
      <c r="C287" s="4" t="s">
        <v>462</v>
      </c>
      <c r="D287" s="4" t="s">
        <v>60</v>
      </c>
      <c r="E287" s="4" t="s">
        <v>60</v>
      </c>
      <c r="F287" s="4" t="s">
        <v>423</v>
      </c>
      <c r="G287" s="4" t="s">
        <v>412</v>
      </c>
      <c r="H287" s="4">
        <v>0</v>
      </c>
      <c r="I287" s="6">
        <v>51.5262</v>
      </c>
      <c r="J287" s="6">
        <v>20.0207</v>
      </c>
      <c r="K287" s="6">
        <v>10.6769</v>
      </c>
      <c r="L287" s="6">
        <v>9.3504</v>
      </c>
      <c r="M287" s="6">
        <v>7.2586</v>
      </c>
      <c r="N287" s="6">
        <v>10.95555</v>
      </c>
      <c r="O287" s="6">
        <v>7.2556</v>
      </c>
      <c r="P287" s="6">
        <v>9.5211</v>
      </c>
      <c r="Q287" s="6">
        <v>25.1911</v>
      </c>
      <c r="R287" s="6">
        <v>29.82705</v>
      </c>
      <c r="S287" s="6">
        <v>76.7173</v>
      </c>
      <c r="T287" s="6">
        <v>49.84775</v>
      </c>
    </row>
    <row r="288" spans="1:20">
      <c r="A288" s="4" t="s">
        <v>409</v>
      </c>
      <c r="B288" s="4" t="s">
        <v>409</v>
      </c>
      <c r="C288" s="4" t="s">
        <v>463</v>
      </c>
      <c r="D288" s="4" t="s">
        <v>83</v>
      </c>
      <c r="E288" s="4" t="s">
        <v>83</v>
      </c>
      <c r="F288" s="4" t="s">
        <v>426</v>
      </c>
      <c r="G288" s="4" t="s">
        <v>412</v>
      </c>
      <c r="H288" s="4"/>
      <c r="I288" s="6">
        <v>3.5248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3.5248</v>
      </c>
      <c r="T288" s="6">
        <v>0</v>
      </c>
    </row>
    <row r="289" spans="1:20">
      <c r="A289" s="4" t="s">
        <v>409</v>
      </c>
      <c r="B289" s="4" t="s">
        <v>409</v>
      </c>
      <c r="C289" s="4" t="s">
        <v>464</v>
      </c>
      <c r="D289" s="4" t="s">
        <v>60</v>
      </c>
      <c r="E289" s="4" t="s">
        <v>60</v>
      </c>
      <c r="F289" s="4" t="s">
        <v>459</v>
      </c>
      <c r="G289" s="4" t="s">
        <v>430</v>
      </c>
      <c r="H289" s="4"/>
      <c r="I289" s="6">
        <v>3.6555</v>
      </c>
      <c r="J289" s="6">
        <v>1.4996</v>
      </c>
      <c r="K289" s="6">
        <v>0</v>
      </c>
      <c r="L289" s="6">
        <v>0</v>
      </c>
      <c r="M289" s="6">
        <v>0.35</v>
      </c>
      <c r="N289" s="6">
        <v>0.7728</v>
      </c>
      <c r="O289" s="6">
        <v>1.35</v>
      </c>
      <c r="P289" s="6">
        <v>0.6281</v>
      </c>
      <c r="Q289" s="6">
        <v>1.7</v>
      </c>
      <c r="R289" s="6">
        <v>1.4009</v>
      </c>
      <c r="S289" s="6">
        <v>5.3555</v>
      </c>
      <c r="T289" s="6">
        <v>2.9005</v>
      </c>
    </row>
    <row r="290" spans="1:20">
      <c r="A290" s="4" t="s">
        <v>409</v>
      </c>
      <c r="B290" s="4" t="s">
        <v>409</v>
      </c>
      <c r="C290" s="4" t="s">
        <v>465</v>
      </c>
      <c r="D290" s="4" t="s">
        <v>60</v>
      </c>
      <c r="E290" s="4" t="s">
        <v>60</v>
      </c>
      <c r="F290" s="4" t="s">
        <v>466</v>
      </c>
      <c r="G290" s="4" t="s">
        <v>430</v>
      </c>
      <c r="H290" s="4"/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</row>
    <row r="291" spans="1:20">
      <c r="A291" s="4" t="s">
        <v>409</v>
      </c>
      <c r="B291" s="4" t="s">
        <v>409</v>
      </c>
      <c r="C291" s="4" t="s">
        <v>467</v>
      </c>
      <c r="D291" s="4" t="s">
        <v>101</v>
      </c>
      <c r="E291" s="4" t="s">
        <v>101</v>
      </c>
      <c r="F291" s="4" t="s">
        <v>466</v>
      </c>
      <c r="G291" s="4" t="s">
        <v>430</v>
      </c>
      <c r="H291" s="4"/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</row>
    <row r="292" spans="1:20">
      <c r="A292" s="4" t="s">
        <v>409</v>
      </c>
      <c r="B292" s="4" t="s">
        <v>448</v>
      </c>
      <c r="C292" s="4" t="s">
        <v>468</v>
      </c>
      <c r="D292" s="4" t="s">
        <v>60</v>
      </c>
      <c r="E292" s="4" t="s">
        <v>60</v>
      </c>
      <c r="F292" s="4" t="s">
        <v>469</v>
      </c>
      <c r="G292" s="4" t="s">
        <v>452</v>
      </c>
      <c r="H292" s="4">
        <v>10</v>
      </c>
      <c r="I292" s="6">
        <v>1.295</v>
      </c>
      <c r="J292" s="6">
        <v>0</v>
      </c>
      <c r="K292" s="6">
        <v>0.5718</v>
      </c>
      <c r="L292" s="6">
        <v>0</v>
      </c>
      <c r="M292" s="6">
        <v>2.3</v>
      </c>
      <c r="N292" s="6">
        <v>0</v>
      </c>
      <c r="O292" s="6">
        <v>0</v>
      </c>
      <c r="P292" s="6">
        <v>0</v>
      </c>
      <c r="Q292" s="6">
        <v>2.8718</v>
      </c>
      <c r="R292" s="6">
        <v>0</v>
      </c>
      <c r="S292" s="6">
        <v>4.1668</v>
      </c>
      <c r="T292" s="6">
        <v>0</v>
      </c>
    </row>
    <row r="293" spans="1:20">
      <c r="A293" s="4" t="s">
        <v>409</v>
      </c>
      <c r="B293" s="4" t="s">
        <v>409</v>
      </c>
      <c r="C293" s="4" t="s">
        <v>470</v>
      </c>
      <c r="D293" s="4" t="s">
        <v>60</v>
      </c>
      <c r="E293" s="4" t="s">
        <v>60</v>
      </c>
      <c r="F293" s="4" t="s">
        <v>415</v>
      </c>
      <c r="G293" s="4" t="s">
        <v>544</v>
      </c>
      <c r="H293" s="4"/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</row>
    <row r="294" spans="1:20">
      <c r="A294" s="4" t="s">
        <v>409</v>
      </c>
      <c r="B294" s="4" t="s">
        <v>409</v>
      </c>
      <c r="C294" s="4" t="s">
        <v>471</v>
      </c>
      <c r="D294" s="4" t="s">
        <v>60</v>
      </c>
      <c r="E294" s="4" t="s">
        <v>60</v>
      </c>
      <c r="F294" s="4" t="s">
        <v>438</v>
      </c>
      <c r="G294" s="4" t="s">
        <v>430</v>
      </c>
      <c r="H294" s="4"/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</row>
    <row r="295" spans="1:20">
      <c r="A295" s="4" t="s">
        <v>409</v>
      </c>
      <c r="B295" s="4" t="s">
        <v>448</v>
      </c>
      <c r="C295" s="4" t="s">
        <v>472</v>
      </c>
      <c r="D295" s="4" t="s">
        <v>101</v>
      </c>
      <c r="E295" s="4" t="s">
        <v>101</v>
      </c>
      <c r="F295" s="4" t="s">
        <v>473</v>
      </c>
      <c r="G295" s="4" t="s">
        <v>452</v>
      </c>
      <c r="H295" s="4"/>
      <c r="I295" s="6">
        <v>2.966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2.966</v>
      </c>
      <c r="T295" s="6">
        <v>0</v>
      </c>
    </row>
    <row r="296" spans="1:20">
      <c r="A296" s="4" t="s">
        <v>409</v>
      </c>
      <c r="B296" s="4" t="s">
        <v>409</v>
      </c>
      <c r="C296" s="4" t="s">
        <v>474</v>
      </c>
      <c r="D296" s="4" t="s">
        <v>60</v>
      </c>
      <c r="E296" s="4" t="s">
        <v>60</v>
      </c>
      <c r="F296" s="4" t="s">
        <v>415</v>
      </c>
      <c r="G296" s="4" t="s">
        <v>544</v>
      </c>
      <c r="H296" s="4"/>
      <c r="I296" s="6">
        <v>0.158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0.158</v>
      </c>
      <c r="T296" s="6">
        <v>0</v>
      </c>
    </row>
    <row r="297" spans="1:20">
      <c r="A297" s="4" t="s">
        <v>409</v>
      </c>
      <c r="B297" s="4" t="s">
        <v>448</v>
      </c>
      <c r="C297" s="4" t="s">
        <v>475</v>
      </c>
      <c r="D297" s="4" t="s">
        <v>60</v>
      </c>
      <c r="E297" s="4" t="s">
        <v>60</v>
      </c>
      <c r="F297" s="4" t="s">
        <v>476</v>
      </c>
      <c r="G297" s="4" t="s">
        <v>452</v>
      </c>
      <c r="H297" s="4"/>
      <c r="I297" s="6">
        <v>4</v>
      </c>
      <c r="J297" s="6">
        <v>7.585</v>
      </c>
      <c r="K297" s="6">
        <v>0</v>
      </c>
      <c r="L297" s="6">
        <v>3.65</v>
      </c>
      <c r="M297" s="6">
        <v>0</v>
      </c>
      <c r="N297" s="6">
        <v>7.3</v>
      </c>
      <c r="O297" s="6">
        <v>0</v>
      </c>
      <c r="P297" s="6">
        <v>3.65</v>
      </c>
      <c r="Q297" s="6">
        <v>0</v>
      </c>
      <c r="R297" s="6">
        <v>14.6</v>
      </c>
      <c r="S297" s="6">
        <v>4</v>
      </c>
      <c r="T297" s="6">
        <v>22.185</v>
      </c>
    </row>
    <row r="298" spans="1:20">
      <c r="A298" s="4" t="s">
        <v>409</v>
      </c>
      <c r="B298" s="4" t="s">
        <v>409</v>
      </c>
      <c r="C298" s="4" t="s">
        <v>477</v>
      </c>
      <c r="D298" s="4" t="s">
        <v>60</v>
      </c>
      <c r="E298" s="4" t="s">
        <v>60</v>
      </c>
      <c r="F298" s="4" t="s">
        <v>415</v>
      </c>
      <c r="G298" s="4" t="s">
        <v>544</v>
      </c>
      <c r="H298" s="4"/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</row>
    <row r="299" spans="1:20">
      <c r="A299" s="4" t="s">
        <v>409</v>
      </c>
      <c r="B299" s="4" t="s">
        <v>409</v>
      </c>
      <c r="C299" s="4" t="s">
        <v>478</v>
      </c>
      <c r="D299" s="4" t="s">
        <v>60</v>
      </c>
      <c r="E299" s="4" t="s">
        <v>60</v>
      </c>
      <c r="F299" s="4" t="s">
        <v>423</v>
      </c>
      <c r="G299" s="4" t="s">
        <v>412</v>
      </c>
      <c r="H299" s="4"/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</row>
    <row r="300" spans="1:20">
      <c r="A300" s="4" t="s">
        <v>409</v>
      </c>
      <c r="B300" s="4" t="s">
        <v>409</v>
      </c>
      <c r="C300" s="4" t="s">
        <v>479</v>
      </c>
      <c r="D300" s="4" t="s">
        <v>60</v>
      </c>
      <c r="E300" s="4" t="s">
        <v>60</v>
      </c>
      <c r="F300" s="4" t="s">
        <v>415</v>
      </c>
      <c r="G300" s="4" t="s">
        <v>544</v>
      </c>
      <c r="H300" s="4">
        <v>60</v>
      </c>
      <c r="I300" s="6">
        <v>11.1334</v>
      </c>
      <c r="J300" s="6">
        <v>4.6004</v>
      </c>
      <c r="K300" s="6">
        <v>1.5196</v>
      </c>
      <c r="L300" s="6">
        <v>1.9443</v>
      </c>
      <c r="M300" s="6">
        <v>0.45</v>
      </c>
      <c r="N300" s="6">
        <v>1.9739</v>
      </c>
      <c r="O300" s="6">
        <v>0</v>
      </c>
      <c r="P300" s="6">
        <v>0.465</v>
      </c>
      <c r="Q300" s="6">
        <v>1.9696</v>
      </c>
      <c r="R300" s="6">
        <v>4.3832</v>
      </c>
      <c r="S300" s="6">
        <v>13.103</v>
      </c>
      <c r="T300" s="6">
        <v>8.9836</v>
      </c>
    </row>
    <row r="301" spans="1:20">
      <c r="A301" s="4" t="s">
        <v>409</v>
      </c>
      <c r="B301" s="4" t="s">
        <v>409</v>
      </c>
      <c r="C301" s="4" t="s">
        <v>480</v>
      </c>
      <c r="D301" s="4" t="s">
        <v>60</v>
      </c>
      <c r="E301" s="4" t="s">
        <v>60</v>
      </c>
      <c r="F301" s="4" t="s">
        <v>423</v>
      </c>
      <c r="G301" s="4" t="s">
        <v>412</v>
      </c>
      <c r="H301" s="4">
        <v>0</v>
      </c>
      <c r="I301" s="6">
        <v>0.3892</v>
      </c>
      <c r="J301" s="6">
        <v>0</v>
      </c>
      <c r="K301" s="6">
        <v>0</v>
      </c>
      <c r="L301" s="6">
        <v>0</v>
      </c>
      <c r="M301" s="6">
        <v>0.224</v>
      </c>
      <c r="N301" s="6">
        <v>0</v>
      </c>
      <c r="O301" s="6">
        <v>0</v>
      </c>
      <c r="P301" s="6">
        <v>0</v>
      </c>
      <c r="Q301" s="6">
        <v>0.224</v>
      </c>
      <c r="R301" s="6">
        <v>0</v>
      </c>
      <c r="S301" s="6">
        <v>0.6132</v>
      </c>
      <c r="T301" s="6">
        <v>0</v>
      </c>
    </row>
    <row r="302" spans="1:20">
      <c r="A302" s="4" t="s">
        <v>409</v>
      </c>
      <c r="B302" s="4" t="s">
        <v>448</v>
      </c>
      <c r="C302" s="4" t="s">
        <v>481</v>
      </c>
      <c r="D302" s="4" t="s">
        <v>101</v>
      </c>
      <c r="E302" s="4" t="s">
        <v>101</v>
      </c>
      <c r="F302" s="4" t="s">
        <v>482</v>
      </c>
      <c r="G302" s="4" t="s">
        <v>452</v>
      </c>
      <c r="H302" s="4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</row>
    <row r="303" spans="1:20">
      <c r="A303" s="4" t="s">
        <v>409</v>
      </c>
      <c r="B303" s="4" t="s">
        <v>448</v>
      </c>
      <c r="C303" s="4" t="s">
        <v>483</v>
      </c>
      <c r="D303" s="4" t="s">
        <v>101</v>
      </c>
      <c r="E303" s="4" t="s">
        <v>101</v>
      </c>
      <c r="F303" s="4" t="s">
        <v>450</v>
      </c>
      <c r="G303" s="4" t="s">
        <v>452</v>
      </c>
      <c r="H303" s="4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</row>
    <row r="304" spans="1:20">
      <c r="A304" s="4" t="s">
        <v>409</v>
      </c>
      <c r="B304" s="4" t="s">
        <v>448</v>
      </c>
      <c r="C304" s="4" t="s">
        <v>484</v>
      </c>
      <c r="D304" s="4" t="s">
        <v>101</v>
      </c>
      <c r="E304" s="4" t="s">
        <v>101</v>
      </c>
      <c r="F304" s="4" t="s">
        <v>476</v>
      </c>
      <c r="G304" s="4" t="s">
        <v>452</v>
      </c>
      <c r="H304" s="4"/>
      <c r="I304" s="6">
        <v>4.3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4.3</v>
      </c>
      <c r="T304" s="6">
        <v>0</v>
      </c>
    </row>
    <row r="305" spans="1:20">
      <c r="A305" s="4" t="s">
        <v>409</v>
      </c>
      <c r="B305" s="4" t="s">
        <v>409</v>
      </c>
      <c r="C305" s="4" t="s">
        <v>485</v>
      </c>
      <c r="D305" s="4" t="s">
        <v>101</v>
      </c>
      <c r="E305" s="4" t="s">
        <v>101</v>
      </c>
      <c r="F305" s="4" t="s">
        <v>411</v>
      </c>
      <c r="G305" s="4" t="s">
        <v>412</v>
      </c>
      <c r="H305" s="4">
        <v>11</v>
      </c>
      <c r="I305" s="6">
        <v>1.592</v>
      </c>
      <c r="J305" s="6">
        <v>0</v>
      </c>
      <c r="K305" s="6">
        <v>0.0166</v>
      </c>
      <c r="L305" s="6">
        <v>0</v>
      </c>
      <c r="M305" s="6">
        <v>1.4325</v>
      </c>
      <c r="N305" s="6">
        <v>0</v>
      </c>
      <c r="O305" s="6">
        <v>2.8545</v>
      </c>
      <c r="P305" s="6">
        <v>0</v>
      </c>
      <c r="Q305" s="6">
        <v>4.3036</v>
      </c>
      <c r="R305" s="6">
        <v>0</v>
      </c>
      <c r="S305" s="6">
        <v>5.8956</v>
      </c>
      <c r="T305" s="6">
        <v>0</v>
      </c>
    </row>
    <row r="306" spans="1:20">
      <c r="A306" s="4" t="s">
        <v>409</v>
      </c>
      <c r="B306" s="4" t="s">
        <v>448</v>
      </c>
      <c r="C306" s="4" t="s">
        <v>486</v>
      </c>
      <c r="D306" s="4" t="s">
        <v>60</v>
      </c>
      <c r="E306" s="4" t="s">
        <v>60</v>
      </c>
      <c r="F306" s="4" t="s">
        <v>487</v>
      </c>
      <c r="G306" s="4" t="s">
        <v>452</v>
      </c>
      <c r="H306" s="4"/>
      <c r="I306" s="6">
        <v>0.8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0.8</v>
      </c>
      <c r="T306" s="6">
        <v>0</v>
      </c>
    </row>
    <row r="307" spans="1:20">
      <c r="A307" s="4" t="s">
        <v>409</v>
      </c>
      <c r="B307" s="4" t="s">
        <v>409</v>
      </c>
      <c r="C307" s="4" t="s">
        <v>488</v>
      </c>
      <c r="D307" s="4" t="s">
        <v>101</v>
      </c>
      <c r="E307" s="4" t="s">
        <v>101</v>
      </c>
      <c r="F307" s="4" t="s">
        <v>415</v>
      </c>
      <c r="G307" s="4" t="s">
        <v>412</v>
      </c>
      <c r="H307" s="4"/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</row>
    <row r="308" spans="1:20">
      <c r="A308" s="4" t="s">
        <v>409</v>
      </c>
      <c r="B308" s="4" t="s">
        <v>409</v>
      </c>
      <c r="C308" s="4" t="s">
        <v>489</v>
      </c>
      <c r="D308" s="4" t="s">
        <v>101</v>
      </c>
      <c r="E308" s="4" t="s">
        <v>101</v>
      </c>
      <c r="F308" s="4" t="s">
        <v>415</v>
      </c>
      <c r="G308" s="4" t="s">
        <v>544</v>
      </c>
      <c r="H308" s="4"/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</row>
    <row r="309" spans="1:20">
      <c r="A309" s="4" t="s">
        <v>409</v>
      </c>
      <c r="B309" s="4" t="s">
        <v>448</v>
      </c>
      <c r="C309" s="4" t="s">
        <v>490</v>
      </c>
      <c r="D309" s="4" t="s">
        <v>60</v>
      </c>
      <c r="E309" s="4" t="s">
        <v>60</v>
      </c>
      <c r="F309" s="4" t="s">
        <v>450</v>
      </c>
      <c r="G309" s="4" t="s">
        <v>452</v>
      </c>
      <c r="H309" s="4">
        <v>30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</row>
    <row r="310" spans="1:20">
      <c r="A310" s="4" t="s">
        <v>409</v>
      </c>
      <c r="B310" s="4" t="s">
        <v>409</v>
      </c>
      <c r="C310" s="4" t="s">
        <v>491</v>
      </c>
      <c r="D310" s="4" t="s">
        <v>60</v>
      </c>
      <c r="E310" s="4" t="s">
        <v>60</v>
      </c>
      <c r="F310" s="4" t="s">
        <v>415</v>
      </c>
      <c r="G310" s="4" t="s">
        <v>544</v>
      </c>
      <c r="H310" s="4"/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</row>
    <row r="311" spans="1:20">
      <c r="A311" s="4" t="s">
        <v>409</v>
      </c>
      <c r="B311" s="4" t="s">
        <v>409</v>
      </c>
      <c r="C311" s="4" t="s">
        <v>492</v>
      </c>
      <c r="D311" s="4" t="s">
        <v>101</v>
      </c>
      <c r="E311" s="4" t="s">
        <v>101</v>
      </c>
      <c r="F311" s="4" t="s">
        <v>423</v>
      </c>
      <c r="G311" s="4" t="s">
        <v>544</v>
      </c>
      <c r="H311" s="4"/>
      <c r="I311" s="6">
        <v>0.179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0.179</v>
      </c>
      <c r="T311" s="6">
        <v>0</v>
      </c>
    </row>
    <row r="312" spans="1:20">
      <c r="A312" s="4" t="s">
        <v>409</v>
      </c>
      <c r="B312" s="4" t="s">
        <v>409</v>
      </c>
      <c r="C312" s="4" t="s">
        <v>493</v>
      </c>
      <c r="D312" s="4" t="s">
        <v>60</v>
      </c>
      <c r="E312" s="4" t="s">
        <v>60</v>
      </c>
      <c r="F312" s="4" t="s">
        <v>426</v>
      </c>
      <c r="G312" s="4" t="s">
        <v>412</v>
      </c>
      <c r="H312" s="4"/>
      <c r="I312" s="6">
        <v>0.51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0.51</v>
      </c>
      <c r="T312" s="6">
        <v>0</v>
      </c>
    </row>
    <row r="313" spans="1:20">
      <c r="A313" s="4" t="s">
        <v>409</v>
      </c>
      <c r="B313" s="4" t="s">
        <v>409</v>
      </c>
      <c r="C313" s="4" t="s">
        <v>494</v>
      </c>
      <c r="D313" s="4" t="s">
        <v>60</v>
      </c>
      <c r="E313" s="4" t="s">
        <v>60</v>
      </c>
      <c r="F313" s="4" t="s">
        <v>426</v>
      </c>
      <c r="G313" s="4" t="s">
        <v>412</v>
      </c>
      <c r="H313" s="4">
        <v>10</v>
      </c>
      <c r="I313" s="6">
        <v>2.711</v>
      </c>
      <c r="J313" s="6">
        <v>1.074</v>
      </c>
      <c r="K313" s="6">
        <v>0.174</v>
      </c>
      <c r="L313" s="6">
        <v>0.5491</v>
      </c>
      <c r="M313" s="6">
        <v>4.937</v>
      </c>
      <c r="N313" s="6">
        <v>1.2884</v>
      </c>
      <c r="O313" s="6">
        <v>0.48</v>
      </c>
      <c r="P313" s="6">
        <v>0.4541</v>
      </c>
      <c r="Q313" s="6">
        <v>5.591</v>
      </c>
      <c r="R313" s="6">
        <v>2.2916</v>
      </c>
      <c r="S313" s="6">
        <v>8.302</v>
      </c>
      <c r="T313" s="6">
        <v>3.3656</v>
      </c>
    </row>
    <row r="314" spans="1:20">
      <c r="A314" s="4" t="s">
        <v>409</v>
      </c>
      <c r="B314" s="4" t="s">
        <v>409</v>
      </c>
      <c r="C314" s="4" t="s">
        <v>495</v>
      </c>
      <c r="D314" s="4" t="s">
        <v>60</v>
      </c>
      <c r="E314" s="4" t="s">
        <v>60</v>
      </c>
      <c r="F314" s="4" t="s">
        <v>459</v>
      </c>
      <c r="G314" s="4" t="s">
        <v>430</v>
      </c>
      <c r="H314" s="4">
        <v>30</v>
      </c>
      <c r="I314" s="6">
        <v>10.5384</v>
      </c>
      <c r="J314" s="6">
        <v>5.3</v>
      </c>
      <c r="K314" s="6">
        <v>0</v>
      </c>
      <c r="L314" s="6">
        <v>0</v>
      </c>
      <c r="M314" s="6">
        <v>0.165</v>
      </c>
      <c r="N314" s="6">
        <v>0</v>
      </c>
      <c r="O314" s="6">
        <v>4.816</v>
      </c>
      <c r="P314" s="6">
        <v>0</v>
      </c>
      <c r="Q314" s="6">
        <v>4.981</v>
      </c>
      <c r="R314" s="6">
        <v>0</v>
      </c>
      <c r="S314" s="6">
        <v>15.5194</v>
      </c>
      <c r="T314" s="6">
        <v>5.3</v>
      </c>
    </row>
    <row r="315" spans="1:20">
      <c r="A315" s="4" t="s">
        <v>409</v>
      </c>
      <c r="B315" s="4" t="s">
        <v>409</v>
      </c>
      <c r="C315" s="4" t="s">
        <v>496</v>
      </c>
      <c r="D315" s="4" t="s">
        <v>60</v>
      </c>
      <c r="E315" s="4" t="s">
        <v>60</v>
      </c>
      <c r="F315" s="4" t="s">
        <v>415</v>
      </c>
      <c r="G315" s="4" t="s">
        <v>544</v>
      </c>
      <c r="H315" s="4"/>
      <c r="I315" s="6">
        <v>0</v>
      </c>
      <c r="J315" s="6">
        <v>0</v>
      </c>
      <c r="K315" s="6">
        <v>1.026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1.026</v>
      </c>
      <c r="R315" s="6">
        <v>0</v>
      </c>
      <c r="S315" s="6">
        <v>1.026</v>
      </c>
      <c r="T315" s="6">
        <v>0</v>
      </c>
    </row>
    <row r="316" spans="1:20">
      <c r="A316" s="4" t="s">
        <v>409</v>
      </c>
      <c r="B316" s="4" t="s">
        <v>409</v>
      </c>
      <c r="C316" s="4" t="s">
        <v>497</v>
      </c>
      <c r="D316" s="4" t="s">
        <v>83</v>
      </c>
      <c r="E316" s="4" t="s">
        <v>83</v>
      </c>
      <c r="F316" s="284" t="s">
        <v>429</v>
      </c>
      <c r="G316" s="4" t="s">
        <v>430</v>
      </c>
      <c r="H316" s="4">
        <v>100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</row>
    <row r="317" spans="1:20">
      <c r="A317" s="4" t="s">
        <v>409</v>
      </c>
      <c r="B317" s="4" t="s">
        <v>409</v>
      </c>
      <c r="C317" s="4" t="s">
        <v>498</v>
      </c>
      <c r="D317" s="4" t="s">
        <v>83</v>
      </c>
      <c r="E317" s="4" t="s">
        <v>83</v>
      </c>
      <c r="F317" s="4" t="s">
        <v>415</v>
      </c>
      <c r="G317" s="4" t="s">
        <v>544</v>
      </c>
      <c r="H317" s="4"/>
      <c r="I317" s="6">
        <v>0</v>
      </c>
      <c r="J317" s="6">
        <v>10.1775</v>
      </c>
      <c r="K317" s="6">
        <v>0</v>
      </c>
      <c r="L317" s="6">
        <v>5.9624</v>
      </c>
      <c r="M317" s="6">
        <v>0.45</v>
      </c>
      <c r="N317" s="6">
        <v>3.2576</v>
      </c>
      <c r="O317" s="6">
        <v>1.23</v>
      </c>
      <c r="P317" s="6">
        <v>7.0979</v>
      </c>
      <c r="Q317" s="6">
        <v>1.68</v>
      </c>
      <c r="R317" s="6">
        <v>16.3179</v>
      </c>
      <c r="S317" s="6">
        <v>1.68</v>
      </c>
      <c r="T317" s="6">
        <v>26.4954</v>
      </c>
    </row>
    <row r="318" spans="1:20">
      <c r="A318" s="4" t="s">
        <v>409</v>
      </c>
      <c r="B318" s="4" t="s">
        <v>409</v>
      </c>
      <c r="C318" s="4" t="s">
        <v>499</v>
      </c>
      <c r="D318" s="4" t="s">
        <v>60</v>
      </c>
      <c r="E318" s="4" t="s">
        <v>60</v>
      </c>
      <c r="F318" s="4" t="s">
        <v>415</v>
      </c>
      <c r="G318" s="4" t="s">
        <v>544</v>
      </c>
      <c r="H318" s="4"/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1</v>
      </c>
      <c r="P318" s="6">
        <v>0</v>
      </c>
      <c r="Q318" s="6">
        <v>1</v>
      </c>
      <c r="R318" s="6">
        <v>0</v>
      </c>
      <c r="S318" s="6">
        <v>1</v>
      </c>
      <c r="T318" s="6">
        <v>0</v>
      </c>
    </row>
    <row r="319" spans="1:20">
      <c r="A319" s="4" t="s">
        <v>409</v>
      </c>
      <c r="B319" s="4" t="s">
        <v>409</v>
      </c>
      <c r="C319" s="4" t="s">
        <v>500</v>
      </c>
      <c r="D319" s="4" t="s">
        <v>83</v>
      </c>
      <c r="E319" s="4" t="s">
        <v>83</v>
      </c>
      <c r="F319" s="284" t="s">
        <v>411</v>
      </c>
      <c r="G319" s="4" t="s">
        <v>412</v>
      </c>
      <c r="H319" s="4"/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0.27</v>
      </c>
      <c r="P319" s="6">
        <v>0</v>
      </c>
      <c r="Q319" s="6">
        <v>0.27</v>
      </c>
      <c r="R319" s="6">
        <v>0</v>
      </c>
      <c r="S319" s="6">
        <v>0.27</v>
      </c>
      <c r="T319" s="6">
        <v>0</v>
      </c>
    </row>
    <row r="320" spans="1:20">
      <c r="A320" s="4" t="s">
        <v>409</v>
      </c>
      <c r="B320" s="4" t="s">
        <v>409</v>
      </c>
      <c r="C320" s="4" t="s">
        <v>501</v>
      </c>
      <c r="D320" s="4" t="s">
        <v>64</v>
      </c>
      <c r="E320" s="4" t="s">
        <v>64</v>
      </c>
      <c r="F320" s="284" t="s">
        <v>411</v>
      </c>
      <c r="G320" s="4" t="s">
        <v>412</v>
      </c>
      <c r="H320" s="4">
        <v>80</v>
      </c>
      <c r="I320" s="6">
        <v>0</v>
      </c>
      <c r="J320" s="6">
        <v>31.36885</v>
      </c>
      <c r="K320" s="6">
        <v>0</v>
      </c>
      <c r="L320" s="6">
        <v>16.2945</v>
      </c>
      <c r="M320" s="6">
        <v>0</v>
      </c>
      <c r="N320" s="6">
        <v>12.83055</v>
      </c>
      <c r="O320" s="6">
        <v>0</v>
      </c>
      <c r="P320" s="6">
        <v>18.63105</v>
      </c>
      <c r="Q320" s="6">
        <v>0</v>
      </c>
      <c r="R320" s="6">
        <v>47.7561</v>
      </c>
      <c r="S320" s="6">
        <v>0</v>
      </c>
      <c r="T320" s="6">
        <v>79.12495</v>
      </c>
    </row>
    <row r="321" spans="1:20">
      <c r="A321" s="4" t="s">
        <v>409</v>
      </c>
      <c r="B321" s="4" t="s">
        <v>409</v>
      </c>
      <c r="C321" s="4" t="s">
        <v>118</v>
      </c>
      <c r="D321" s="4" t="s">
        <v>60</v>
      </c>
      <c r="E321" s="4" t="s">
        <v>60</v>
      </c>
      <c r="F321" s="4" t="s">
        <v>423</v>
      </c>
      <c r="G321" s="4" t="s">
        <v>412</v>
      </c>
      <c r="H321" s="4"/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</row>
    <row r="322" spans="1:20">
      <c r="A322" s="4" t="s">
        <v>409</v>
      </c>
      <c r="B322" s="4" t="s">
        <v>409</v>
      </c>
      <c r="C322" s="4" t="s">
        <v>502</v>
      </c>
      <c r="D322" s="4" t="s">
        <v>60</v>
      </c>
      <c r="E322" s="4" t="s">
        <v>60</v>
      </c>
      <c r="F322" s="4" t="s">
        <v>476</v>
      </c>
      <c r="G322" s="4" t="s">
        <v>452</v>
      </c>
      <c r="H322" s="4">
        <v>40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</row>
    <row r="323" spans="1:20">
      <c r="A323" s="4" t="s">
        <v>409</v>
      </c>
      <c r="B323" s="4" t="s">
        <v>409</v>
      </c>
      <c r="C323" s="4" t="s">
        <v>503</v>
      </c>
      <c r="D323" s="4" t="s">
        <v>60</v>
      </c>
      <c r="E323" s="4" t="s">
        <v>60</v>
      </c>
      <c r="F323" s="4" t="s">
        <v>476</v>
      </c>
      <c r="G323" s="4" t="s">
        <v>452</v>
      </c>
      <c r="H323" s="4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</row>
    <row r="324" spans="1:20">
      <c r="A324" s="4" t="s">
        <v>409</v>
      </c>
      <c r="B324" s="4" t="s">
        <v>409</v>
      </c>
      <c r="C324" s="4" t="s">
        <v>504</v>
      </c>
      <c r="D324" s="4" t="s">
        <v>60</v>
      </c>
      <c r="E324" s="4" t="s">
        <v>60</v>
      </c>
      <c r="F324" s="284" t="s">
        <v>411</v>
      </c>
      <c r="G324" s="4" t="s">
        <v>412</v>
      </c>
      <c r="H324" s="4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</row>
    <row r="325" spans="1:20">
      <c r="A325" s="4" t="s">
        <v>409</v>
      </c>
      <c r="B325" s="4" t="s">
        <v>409</v>
      </c>
      <c r="C325" s="4" t="s">
        <v>505</v>
      </c>
      <c r="D325" s="4" t="s">
        <v>60</v>
      </c>
      <c r="E325" s="4" t="s">
        <v>60</v>
      </c>
      <c r="F325" s="4"/>
      <c r="G325" s="4"/>
      <c r="H325" s="4">
        <v>20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</row>
    <row r="326" spans="1:20">
      <c r="A326" s="4" t="s">
        <v>409</v>
      </c>
      <c r="B326" s="4" t="s">
        <v>409</v>
      </c>
      <c r="C326" s="4" t="s">
        <v>546</v>
      </c>
      <c r="D326" s="4" t="s">
        <v>60</v>
      </c>
      <c r="E326" s="4" t="s">
        <v>60</v>
      </c>
      <c r="F326" s="4"/>
      <c r="G326" s="4" t="s">
        <v>452</v>
      </c>
      <c r="H326" s="4">
        <v>10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</row>
    <row r="327" spans="1:20">
      <c r="A327" s="4" t="s">
        <v>409</v>
      </c>
      <c r="B327" s="4" t="s">
        <v>409</v>
      </c>
      <c r="C327" s="4" t="s">
        <v>507</v>
      </c>
      <c r="D327" s="4" t="s">
        <v>83</v>
      </c>
      <c r="E327" s="4" t="s">
        <v>83</v>
      </c>
      <c r="F327" s="284" t="s">
        <v>429</v>
      </c>
      <c r="G327" s="4" t="s">
        <v>430</v>
      </c>
      <c r="H327" s="4">
        <v>100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3.99935</v>
      </c>
      <c r="Q327" s="6">
        <v>0</v>
      </c>
      <c r="R327" s="6">
        <v>3.99935</v>
      </c>
      <c r="S327" s="6">
        <v>0</v>
      </c>
      <c r="T327" s="6">
        <v>3.99935</v>
      </c>
    </row>
    <row r="328" spans="1:20">
      <c r="A328" s="4" t="s">
        <v>409</v>
      </c>
      <c r="B328" s="4" t="s">
        <v>409</v>
      </c>
      <c r="C328" s="4" t="s">
        <v>508</v>
      </c>
      <c r="D328" s="4" t="s">
        <v>60</v>
      </c>
      <c r="E328" s="4" t="s">
        <v>60</v>
      </c>
      <c r="F328" s="4"/>
      <c r="G328" s="4"/>
      <c r="H328" s="4">
        <v>10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</row>
    <row r="329" spans="1:20">
      <c r="A329" s="4" t="s">
        <v>409</v>
      </c>
      <c r="B329" s="4" t="s">
        <v>409</v>
      </c>
      <c r="C329" s="4" t="s">
        <v>509</v>
      </c>
      <c r="D329" s="4" t="s">
        <v>60</v>
      </c>
      <c r="E329" s="4" t="s">
        <v>60</v>
      </c>
      <c r="F329" s="4"/>
      <c r="G329" s="4"/>
      <c r="H329" s="4">
        <v>10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</row>
    <row r="330" spans="1:20">
      <c r="A330" s="4" t="s">
        <v>409</v>
      </c>
      <c r="B330" s="4" t="s">
        <v>409</v>
      </c>
      <c r="C330" s="4" t="s">
        <v>511</v>
      </c>
      <c r="D330" s="4" t="s">
        <v>60</v>
      </c>
      <c r="E330" s="4" t="s">
        <v>60</v>
      </c>
      <c r="F330" s="4"/>
      <c r="G330" s="4"/>
      <c r="H330" s="4">
        <v>10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</row>
    <row r="331" spans="1:20">
      <c r="A331" s="4" t="s">
        <v>409</v>
      </c>
      <c r="B331" s="4" t="s">
        <v>409</v>
      </c>
      <c r="C331" s="4" t="s">
        <v>512</v>
      </c>
      <c r="D331" s="4" t="s">
        <v>60</v>
      </c>
      <c r="E331" s="4" t="s">
        <v>60</v>
      </c>
      <c r="F331" s="4"/>
      <c r="G331" s="4"/>
      <c r="H331" s="4">
        <v>10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</row>
    <row r="332" spans="1:20">
      <c r="A332" s="4" t="s">
        <v>409</v>
      </c>
      <c r="B332" s="4" t="s">
        <v>409</v>
      </c>
      <c r="C332" s="4" t="s">
        <v>513</v>
      </c>
      <c r="D332" s="4" t="s">
        <v>60</v>
      </c>
      <c r="E332" s="4" t="s">
        <v>60</v>
      </c>
      <c r="F332" s="4"/>
      <c r="G332" s="4"/>
      <c r="H332" s="4">
        <v>10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</row>
    <row r="333" spans="1:20">
      <c r="A333" s="4" t="s">
        <v>409</v>
      </c>
      <c r="B333" s="4" t="s">
        <v>409</v>
      </c>
      <c r="C333" s="4" t="s">
        <v>514</v>
      </c>
      <c r="D333" s="4" t="s">
        <v>60</v>
      </c>
      <c r="E333" s="4" t="s">
        <v>60</v>
      </c>
      <c r="F333" s="4"/>
      <c r="G333" s="4"/>
      <c r="H333" s="4">
        <v>100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</row>
    <row r="334" s="2" customFormat="1" spans="1:20">
      <c r="A334" s="2" t="s">
        <v>547</v>
      </c>
      <c r="B334" s="2" t="s">
        <v>547</v>
      </c>
      <c r="C334" s="2" t="s">
        <v>516</v>
      </c>
      <c r="D334" s="2" t="s">
        <v>547</v>
      </c>
      <c r="E334" s="2" t="s">
        <v>547</v>
      </c>
      <c r="J334" s="13">
        <v>150.8882</v>
      </c>
      <c r="K334" s="13">
        <v>12.7164</v>
      </c>
      <c r="L334" s="13">
        <v>33.223</v>
      </c>
      <c r="M334" s="13">
        <v>23.7373</v>
      </c>
      <c r="N334" s="13">
        <v>27.3207</v>
      </c>
      <c r="O334" s="13">
        <v>20.5722</v>
      </c>
      <c r="P334" s="13">
        <v>35.1814</v>
      </c>
      <c r="Q334" s="13">
        <f>O334+M334+K334</f>
        <v>57.0259</v>
      </c>
      <c r="R334" s="13">
        <f>P334+N334+L334</f>
        <v>95.7251</v>
      </c>
      <c r="S334" s="13">
        <v>57.0259</v>
      </c>
      <c r="T334" s="13">
        <v>246.6133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3">
    <tabColor rgb="FFFFC000"/>
  </sheetPr>
  <dimension ref="A1:BK50"/>
  <sheetViews>
    <sheetView tabSelected="1" workbookViewId="0">
      <pane xSplit="9" ySplit="2" topLeftCell="AV3" activePane="bottomRight" state="frozen"/>
      <selection/>
      <selection pane="topRight"/>
      <selection pane="bottomLeft"/>
      <selection pane="bottomRight" activeCell="AX40" sqref="AX40"/>
    </sheetView>
  </sheetViews>
  <sheetFormatPr defaultColWidth="9" defaultRowHeight="13"/>
  <cols>
    <col min="1" max="1" width="6.25454545454545" style="38" customWidth="1"/>
    <col min="2" max="2" width="4.75454545454545" style="38" customWidth="1"/>
    <col min="3" max="3" width="30" style="213" customWidth="1"/>
    <col min="4" max="5" width="7.62727272727273" style="38" customWidth="1"/>
    <col min="6" max="6" width="7.37272727272727" style="140" customWidth="1"/>
    <col min="7" max="7" width="11.5090909090909" style="38" hidden="1" customWidth="1"/>
    <col min="8" max="12" width="10.2545454545455" style="38" customWidth="1"/>
    <col min="13" max="13" width="9.37272727272727" style="38" customWidth="1"/>
    <col min="14" max="18" width="10.2545454545455" style="38" customWidth="1"/>
    <col min="19" max="24" width="10.2545454545455" style="110" customWidth="1"/>
    <col min="25" max="30" width="11.1272727272727" style="111" customWidth="1"/>
    <col min="31" max="36" width="10.2545454545455" style="110" customWidth="1"/>
    <col min="37" max="54" width="10.2545454545455" style="111" customWidth="1"/>
    <col min="55" max="55" width="10.2545454545455" style="111" hidden="1" customWidth="1"/>
    <col min="56" max="59" width="10.2545454545455" style="110" hidden="1" customWidth="1"/>
    <col min="60" max="60" width="10.2545454545455" style="110" customWidth="1"/>
    <col min="61" max="61" width="9" style="38" customWidth="1"/>
    <col min="62" max="62" width="10.1272727272727" style="38"/>
    <col min="63" max="16384" width="9" style="38"/>
  </cols>
  <sheetData>
    <row r="1" s="212" customFormat="1" spans="2:60">
      <c r="B1" s="55"/>
      <c r="C1" s="214"/>
      <c r="D1" s="55"/>
      <c r="E1" s="55"/>
      <c r="F1" s="215"/>
      <c r="G1" s="55"/>
      <c r="H1" s="216"/>
      <c r="I1" s="233" t="s">
        <v>36</v>
      </c>
      <c r="J1" s="55" t="s">
        <v>3</v>
      </c>
      <c r="K1" s="55"/>
      <c r="L1" s="56" t="s">
        <v>4</v>
      </c>
      <c r="M1" s="55" t="s">
        <v>5</v>
      </c>
      <c r="N1" s="55"/>
      <c r="O1" s="56" t="s">
        <v>4</v>
      </c>
      <c r="P1" s="55" t="s">
        <v>37</v>
      </c>
      <c r="Q1" s="55"/>
      <c r="R1" s="56" t="s">
        <v>4</v>
      </c>
      <c r="S1" s="55" t="s">
        <v>6</v>
      </c>
      <c r="T1" s="55"/>
      <c r="U1" s="56" t="s">
        <v>4</v>
      </c>
      <c r="V1" s="55" t="s">
        <v>7</v>
      </c>
      <c r="W1" s="55"/>
      <c r="X1" s="56" t="s">
        <v>4</v>
      </c>
      <c r="Y1" s="55" t="s">
        <v>8</v>
      </c>
      <c r="Z1" s="55"/>
      <c r="AA1" s="56" t="s">
        <v>4</v>
      </c>
      <c r="AB1" s="55" t="s">
        <v>9</v>
      </c>
      <c r="AC1" s="55"/>
      <c r="AD1" s="99" t="s">
        <v>4</v>
      </c>
      <c r="AE1" s="55" t="s">
        <v>10</v>
      </c>
      <c r="AF1" s="55"/>
      <c r="AG1" s="56" t="s">
        <v>4</v>
      </c>
      <c r="AH1" s="55" t="s">
        <v>11</v>
      </c>
      <c r="AI1" s="55"/>
      <c r="AJ1" s="99" t="s">
        <v>4</v>
      </c>
      <c r="AK1" s="55" t="s">
        <v>12</v>
      </c>
      <c r="AL1" s="55"/>
      <c r="AM1" s="56" t="s">
        <v>4</v>
      </c>
      <c r="AN1" s="55" t="s">
        <v>13</v>
      </c>
      <c r="AO1" s="55"/>
      <c r="AP1" s="99" t="s">
        <v>4</v>
      </c>
      <c r="AQ1" s="55" t="s">
        <v>14</v>
      </c>
      <c r="AR1" s="55"/>
      <c r="AS1" s="56" t="s">
        <v>4</v>
      </c>
      <c r="AT1" s="55" t="s">
        <v>15</v>
      </c>
      <c r="AU1" s="55"/>
      <c r="AV1" s="99" t="s">
        <v>4</v>
      </c>
      <c r="AW1" s="55" t="s">
        <v>16</v>
      </c>
      <c r="AX1" s="55"/>
      <c r="AY1" s="56" t="s">
        <v>4</v>
      </c>
      <c r="AZ1" s="55" t="s">
        <v>17</v>
      </c>
      <c r="BA1" s="55"/>
      <c r="BB1" s="99" t="s">
        <v>4</v>
      </c>
      <c r="BC1" s="242" t="s">
        <v>38</v>
      </c>
      <c r="BD1" s="242" t="s">
        <v>39</v>
      </c>
      <c r="BE1" s="242" t="s">
        <v>40</v>
      </c>
      <c r="BF1" s="245" t="s">
        <v>41</v>
      </c>
      <c r="BG1" s="245" t="s">
        <v>42</v>
      </c>
      <c r="BH1" s="246" t="s">
        <v>18</v>
      </c>
    </row>
    <row r="2" s="110" customFormat="1" ht="17" customHeight="1" spans="1:63">
      <c r="A2" s="110" t="s">
        <v>43</v>
      </c>
      <c r="B2" s="53" t="s">
        <v>44</v>
      </c>
      <c r="C2" s="202" t="s">
        <v>45</v>
      </c>
      <c r="D2" s="53" t="s">
        <v>46</v>
      </c>
      <c r="E2" s="53" t="s">
        <v>47</v>
      </c>
      <c r="F2" s="126" t="s">
        <v>48</v>
      </c>
      <c r="G2" s="53" t="s">
        <v>49</v>
      </c>
      <c r="H2" s="217" t="s">
        <v>50</v>
      </c>
      <c r="I2" s="234"/>
      <c r="J2" s="57" t="s">
        <v>19</v>
      </c>
      <c r="K2" s="57" t="s">
        <v>20</v>
      </c>
      <c r="L2" s="56"/>
      <c r="M2" s="57" t="s">
        <v>19</v>
      </c>
      <c r="N2" s="57" t="s">
        <v>20</v>
      </c>
      <c r="O2" s="56"/>
      <c r="P2" s="57" t="s">
        <v>19</v>
      </c>
      <c r="Q2" s="57" t="s">
        <v>20</v>
      </c>
      <c r="R2" s="56"/>
      <c r="S2" s="57" t="s">
        <v>19</v>
      </c>
      <c r="T2" s="57" t="s">
        <v>20</v>
      </c>
      <c r="U2" s="56"/>
      <c r="V2" s="57" t="s">
        <v>19</v>
      </c>
      <c r="W2" s="57" t="s">
        <v>20</v>
      </c>
      <c r="X2" s="56"/>
      <c r="Y2" s="57" t="s">
        <v>19</v>
      </c>
      <c r="Z2" s="57" t="s">
        <v>20</v>
      </c>
      <c r="AA2" s="56"/>
      <c r="AB2" s="57" t="s">
        <v>19</v>
      </c>
      <c r="AC2" s="57" t="s">
        <v>20</v>
      </c>
      <c r="AD2" s="99"/>
      <c r="AE2" s="57" t="s">
        <v>19</v>
      </c>
      <c r="AF2" s="57" t="s">
        <v>20</v>
      </c>
      <c r="AG2" s="56"/>
      <c r="AH2" s="57" t="s">
        <v>19</v>
      </c>
      <c r="AI2" s="57" t="s">
        <v>20</v>
      </c>
      <c r="AJ2" s="99"/>
      <c r="AK2" s="57" t="s">
        <v>19</v>
      </c>
      <c r="AL2" s="57" t="s">
        <v>20</v>
      </c>
      <c r="AM2" s="56"/>
      <c r="AN2" s="57" t="s">
        <v>19</v>
      </c>
      <c r="AO2" s="57" t="s">
        <v>20</v>
      </c>
      <c r="AP2" s="99"/>
      <c r="AQ2" s="57" t="s">
        <v>19</v>
      </c>
      <c r="AR2" s="57" t="s">
        <v>20</v>
      </c>
      <c r="AS2" s="56"/>
      <c r="AT2" s="57" t="s">
        <v>19</v>
      </c>
      <c r="AU2" s="57" t="s">
        <v>20</v>
      </c>
      <c r="AV2" s="99"/>
      <c r="AW2" s="57" t="s">
        <v>19</v>
      </c>
      <c r="AX2" s="57" t="s">
        <v>20</v>
      </c>
      <c r="AY2" s="56"/>
      <c r="AZ2" s="57" t="s">
        <v>19</v>
      </c>
      <c r="BA2" s="57" t="s">
        <v>20</v>
      </c>
      <c r="BB2" s="99"/>
      <c r="BC2" s="57" t="s">
        <v>19</v>
      </c>
      <c r="BD2" s="57" t="s">
        <v>19</v>
      </c>
      <c r="BE2" s="57" t="s">
        <v>19</v>
      </c>
      <c r="BF2" s="57" t="s">
        <v>19</v>
      </c>
      <c r="BG2" s="57" t="s">
        <v>19</v>
      </c>
      <c r="BH2" s="247"/>
      <c r="BI2" s="110" t="s">
        <v>51</v>
      </c>
      <c r="BJ2" s="110" t="s">
        <v>52</v>
      </c>
      <c r="BK2" s="110" t="s">
        <v>53</v>
      </c>
    </row>
    <row r="3" s="110" customFormat="1" hidden="1" spans="1:62">
      <c r="A3" s="137" t="s">
        <v>22</v>
      </c>
      <c r="B3" s="137" t="s">
        <v>22</v>
      </c>
      <c r="C3" s="218" t="s">
        <v>54</v>
      </c>
      <c r="D3" s="197" t="s">
        <v>55</v>
      </c>
      <c r="E3" s="197" t="s">
        <v>55</v>
      </c>
      <c r="F3" s="141" t="s">
        <v>56</v>
      </c>
      <c r="G3" s="197" t="s">
        <v>56</v>
      </c>
      <c r="H3" s="61" t="s">
        <v>57</v>
      </c>
      <c r="I3" s="235">
        <v>800</v>
      </c>
      <c r="J3" s="236">
        <v>100000</v>
      </c>
      <c r="K3" s="236">
        <v>180000</v>
      </c>
      <c r="L3" s="129">
        <f t="shared" ref="L3:L16" si="0">K3/J3-1</f>
        <v>0.8</v>
      </c>
      <c r="M3" s="236"/>
      <c r="N3" s="236">
        <v>90000</v>
      </c>
      <c r="O3" s="129" t="e">
        <f t="shared" ref="O3:O43" si="1">N3/M3-1</f>
        <v>#DIV/0!</v>
      </c>
      <c r="P3" s="236">
        <f t="shared" ref="P3:R3" si="2">J3+M3</f>
        <v>100000</v>
      </c>
      <c r="Q3" s="236">
        <f t="shared" si="2"/>
        <v>270000</v>
      </c>
      <c r="R3" s="129">
        <f t="shared" ref="R3:R43" si="3">Q3/P3-1</f>
        <v>1.7</v>
      </c>
      <c r="S3" s="42">
        <v>540000</v>
      </c>
      <c r="T3" s="42">
        <v>200000</v>
      </c>
      <c r="U3" s="129">
        <f>T3/S3-1</f>
        <v>-0.62962962962963</v>
      </c>
      <c r="V3" s="42">
        <f>S3+P3</f>
        <v>640000</v>
      </c>
      <c r="W3" s="42">
        <f>T3+Q3</f>
        <v>470000</v>
      </c>
      <c r="X3" s="129">
        <f>W3/V3-1</f>
        <v>-0.265625</v>
      </c>
      <c r="Y3" s="60">
        <v>550000</v>
      </c>
      <c r="Z3" s="60">
        <f>620000+30000+42800</f>
        <v>692800</v>
      </c>
      <c r="AA3" s="239">
        <f>Z3/Y3-1</f>
        <v>0.259636363636364</v>
      </c>
      <c r="AB3" s="60">
        <f>Y3+V3</f>
        <v>1190000</v>
      </c>
      <c r="AC3" s="60">
        <f>Z3+W3</f>
        <v>1162800</v>
      </c>
      <c r="AD3" s="239">
        <f>AC3/AB3-1</f>
        <v>-0.0228571428571429</v>
      </c>
      <c r="AE3" s="61">
        <v>513000</v>
      </c>
      <c r="AF3" s="235">
        <v>480000</v>
      </c>
      <c r="AG3" s="239">
        <f>AF3/AE3-1</f>
        <v>-0.064327485380117</v>
      </c>
      <c r="AH3" s="235">
        <f>AE3+AB3</f>
        <v>1703000</v>
      </c>
      <c r="AI3" s="235">
        <f>AF3+AC3</f>
        <v>1642800</v>
      </c>
      <c r="AJ3" s="239">
        <f>AI3/AH3-1</f>
        <v>-0.0353493834409865</v>
      </c>
      <c r="AK3" s="241">
        <v>350000</v>
      </c>
      <c r="AL3" s="241">
        <v>180000</v>
      </c>
      <c r="AM3" s="239">
        <f>AL3/AK3-1</f>
        <v>-0.485714285714286</v>
      </c>
      <c r="AN3" s="241">
        <f>AK3+AH3</f>
        <v>2053000</v>
      </c>
      <c r="AO3" s="241">
        <f>AL3+AI3</f>
        <v>1822800</v>
      </c>
      <c r="AP3" s="239">
        <f>AO3/AN3-1</f>
        <v>-0.112128592303945</v>
      </c>
      <c r="AQ3" s="241">
        <v>200000</v>
      </c>
      <c r="AR3" s="241">
        <v>420000</v>
      </c>
      <c r="AS3" s="239">
        <f>AR3/AQ3-1</f>
        <v>1.1</v>
      </c>
      <c r="AT3" s="241">
        <f>AQ3+AN3</f>
        <v>2253000</v>
      </c>
      <c r="AU3" s="241">
        <f>AR3+AO3</f>
        <v>2242800</v>
      </c>
      <c r="AV3" s="239">
        <f>AU3/AT3-1</f>
        <v>-0.00452729693741682</v>
      </c>
      <c r="AW3" s="69">
        <v>190000</v>
      </c>
      <c r="AX3" s="69">
        <v>310000</v>
      </c>
      <c r="AY3" s="239">
        <f>AX3/AW3-1</f>
        <v>0.631578947368421</v>
      </c>
      <c r="AZ3" s="69">
        <f>AW3+AT3</f>
        <v>2443000</v>
      </c>
      <c r="BA3" s="69">
        <f>AX3+AU3</f>
        <v>2552800</v>
      </c>
      <c r="BB3" s="239">
        <f>BA3/AZ3-1</f>
        <v>0.04494474007368</v>
      </c>
      <c r="BC3" s="69">
        <v>730000</v>
      </c>
      <c r="BD3" s="70">
        <v>840000</v>
      </c>
      <c r="BE3" s="70">
        <v>180000</v>
      </c>
      <c r="BF3" s="70">
        <v>260000</v>
      </c>
      <c r="BG3" s="70">
        <v>4453000</v>
      </c>
      <c r="BH3" s="129">
        <f>(BA3+BA4)/10000/I3</f>
        <v>0.4610992375</v>
      </c>
      <c r="BI3" s="110">
        <v>83000</v>
      </c>
      <c r="BJ3" s="110">
        <f>30000+42800</f>
        <v>72800</v>
      </c>
    </row>
    <row r="4" s="110" customFormat="1" hidden="1" spans="1:60">
      <c r="A4" s="137" t="s">
        <v>22</v>
      </c>
      <c r="B4" s="137" t="s">
        <v>22</v>
      </c>
      <c r="C4" s="219" t="s">
        <v>58</v>
      </c>
      <c r="D4" s="197" t="s">
        <v>55</v>
      </c>
      <c r="E4" s="197" t="s">
        <v>55</v>
      </c>
      <c r="F4" s="141" t="s">
        <v>56</v>
      </c>
      <c r="G4" s="197" t="s">
        <v>56</v>
      </c>
      <c r="H4" s="61" t="s">
        <v>57</v>
      </c>
      <c r="I4" s="235"/>
      <c r="J4" s="236">
        <v>109082.35</v>
      </c>
      <c r="K4" s="236">
        <v>85017.95</v>
      </c>
      <c r="L4" s="129">
        <f t="shared" si="0"/>
        <v>-0.220607641841233</v>
      </c>
      <c r="M4" s="236"/>
      <c r="N4" s="236">
        <v>124698.5</v>
      </c>
      <c r="O4" s="129" t="e">
        <f t="shared" si="1"/>
        <v>#DIV/0!</v>
      </c>
      <c r="P4" s="236">
        <f t="shared" ref="P4:P42" si="4">J4+M4</f>
        <v>109082.35</v>
      </c>
      <c r="Q4" s="236">
        <f t="shared" ref="Q4:Q42" si="5">K4+N4</f>
        <v>209716.45</v>
      </c>
      <c r="R4" s="129">
        <f t="shared" si="3"/>
        <v>0.92255163186345</v>
      </c>
      <c r="S4" s="42">
        <v>98942.87</v>
      </c>
      <c r="T4" s="42"/>
      <c r="U4" s="129">
        <f t="shared" ref="U4:U46" si="6">T4/S4-1</f>
        <v>-1</v>
      </c>
      <c r="V4" s="42">
        <f t="shared" ref="V4:V45" si="7">S4+P4</f>
        <v>208025.22</v>
      </c>
      <c r="W4" s="42">
        <f t="shared" ref="W4:W45" si="8">T4+Q4</f>
        <v>209716.45</v>
      </c>
      <c r="X4" s="129">
        <f t="shared" ref="X4:X46" si="9">W4/V4-1</f>
        <v>0.00812992770780396</v>
      </c>
      <c r="Y4" s="60">
        <v>96183.1</v>
      </c>
      <c r="Z4" s="60">
        <v>277266.5</v>
      </c>
      <c r="AA4" s="239">
        <f t="shared" ref="AA4:AA46" si="10">Z4/Y4-1</f>
        <v>1.88269456900433</v>
      </c>
      <c r="AB4" s="60">
        <f t="shared" ref="AB4:AB45" si="11">Y4+V4</f>
        <v>304208.32</v>
      </c>
      <c r="AC4" s="60">
        <f t="shared" ref="AC4:AC46" si="12">Z4+W4</f>
        <v>486982.95</v>
      </c>
      <c r="AD4" s="239">
        <f t="shared" ref="AD4:AD46" si="13">AC4/AB4-1</f>
        <v>0.600820615294151</v>
      </c>
      <c r="AE4" s="61">
        <v>108234.5</v>
      </c>
      <c r="AF4" s="235">
        <v>108269.25</v>
      </c>
      <c r="AG4" s="239">
        <f t="shared" ref="AG4:AG50" si="14">AF4/AE4-1</f>
        <v>0.00032106213822769</v>
      </c>
      <c r="AH4" s="235">
        <f t="shared" ref="AH4:AH49" si="15">AE4+AB4</f>
        <v>412442.82</v>
      </c>
      <c r="AI4" s="235">
        <f t="shared" ref="AI4:AI49" si="16">AF4+AC4</f>
        <v>595252.2</v>
      </c>
      <c r="AJ4" s="239">
        <f t="shared" ref="AJ4:AJ50" si="17">AI4/AH4-1</f>
        <v>0.443235695071622</v>
      </c>
      <c r="AK4" s="241">
        <v>329415.3</v>
      </c>
      <c r="AL4" s="241">
        <v>173565</v>
      </c>
      <c r="AM4" s="239">
        <f t="shared" ref="AM4:AM50" si="18">AL4/AK4-1</f>
        <v>-0.473111904638309</v>
      </c>
      <c r="AN4" s="241">
        <f t="shared" ref="AN4:AN50" si="19">AK4+AH4</f>
        <v>741858.12</v>
      </c>
      <c r="AO4" s="241">
        <f t="shared" ref="AO4:AO50" si="20">AL4+AI4</f>
        <v>768817.2</v>
      </c>
      <c r="AP4" s="239">
        <f t="shared" ref="AP4:AP50" si="21">AO4/AN4-1</f>
        <v>0.036339940580552</v>
      </c>
      <c r="AQ4" s="241">
        <v>83070</v>
      </c>
      <c r="AR4" s="241">
        <v>256417.7</v>
      </c>
      <c r="AS4" s="239">
        <f t="shared" ref="AS4:AS49" si="22">AR4/AQ4-1</f>
        <v>2.08676658240039</v>
      </c>
      <c r="AT4" s="241">
        <f t="shared" ref="AT4:AT49" si="23">AQ4+AN4</f>
        <v>824928.12</v>
      </c>
      <c r="AU4" s="241">
        <f t="shared" ref="AU4:AU49" si="24">AR4+AO4</f>
        <v>1025234.9</v>
      </c>
      <c r="AV4" s="239">
        <f t="shared" ref="AV4:AV49" si="25">AU4/AT4-1</f>
        <v>0.24281725297472</v>
      </c>
      <c r="AW4" s="69">
        <v>170557.8</v>
      </c>
      <c r="AX4" s="69">
        <v>110759</v>
      </c>
      <c r="AY4" s="239">
        <f t="shared" ref="AY4:AY49" si="26">AX4/AW4-1</f>
        <v>-0.350607242823254</v>
      </c>
      <c r="AZ4" s="69">
        <f t="shared" ref="AZ4:AZ49" si="27">AW4+AT4</f>
        <v>995485.92</v>
      </c>
      <c r="BA4" s="69">
        <f t="shared" ref="BA4:BA49" si="28">AX4+AU4</f>
        <v>1135993.9</v>
      </c>
      <c r="BB4" s="239">
        <f>BA4/AZ4-1</f>
        <v>0.141145120364937</v>
      </c>
      <c r="BC4" s="69">
        <v>58082.8</v>
      </c>
      <c r="BD4" s="70"/>
      <c r="BE4" s="70">
        <v>407846.4</v>
      </c>
      <c r="BF4" s="70">
        <v>134778.1</v>
      </c>
      <c r="BG4" s="70">
        <v>1596193.22</v>
      </c>
      <c r="BH4" s="129"/>
    </row>
    <row r="5" s="110" customFormat="1" hidden="1" spans="1:60">
      <c r="A5" s="137" t="s">
        <v>22</v>
      </c>
      <c r="B5" s="137" t="s">
        <v>22</v>
      </c>
      <c r="C5" s="202" t="s">
        <v>59</v>
      </c>
      <c r="D5" s="197" t="s">
        <v>60</v>
      </c>
      <c r="E5" s="197" t="s">
        <v>55</v>
      </c>
      <c r="F5" s="141" t="s">
        <v>61</v>
      </c>
      <c r="G5" s="141" t="s">
        <v>61</v>
      </c>
      <c r="H5" s="61" t="s">
        <v>62</v>
      </c>
      <c r="I5" s="235">
        <v>130</v>
      </c>
      <c r="J5" s="236"/>
      <c r="K5" s="236">
        <v>100000</v>
      </c>
      <c r="L5" s="129" t="e">
        <f t="shared" si="0"/>
        <v>#DIV/0!</v>
      </c>
      <c r="M5" s="236"/>
      <c r="N5" s="236"/>
      <c r="O5" s="129" t="e">
        <f t="shared" si="1"/>
        <v>#DIV/0!</v>
      </c>
      <c r="P5" s="236">
        <f t="shared" si="4"/>
        <v>0</v>
      </c>
      <c r="Q5" s="236">
        <f t="shared" si="5"/>
        <v>100000</v>
      </c>
      <c r="R5" s="129" t="e">
        <f t="shared" si="3"/>
        <v>#DIV/0!</v>
      </c>
      <c r="S5" s="42"/>
      <c r="T5" s="42">
        <v>60000</v>
      </c>
      <c r="U5" s="129" t="e">
        <f t="shared" si="6"/>
        <v>#DIV/0!</v>
      </c>
      <c r="V5" s="42">
        <f t="shared" si="7"/>
        <v>0</v>
      </c>
      <c r="W5" s="42">
        <f t="shared" si="8"/>
        <v>160000</v>
      </c>
      <c r="X5" s="129" t="e">
        <f t="shared" si="9"/>
        <v>#DIV/0!</v>
      </c>
      <c r="Y5" s="60">
        <v>100000</v>
      </c>
      <c r="Z5" s="60">
        <v>50000</v>
      </c>
      <c r="AA5" s="239">
        <f t="shared" si="10"/>
        <v>-0.5</v>
      </c>
      <c r="AB5" s="60">
        <f t="shared" si="11"/>
        <v>100000</v>
      </c>
      <c r="AC5" s="60">
        <f t="shared" si="12"/>
        <v>210000</v>
      </c>
      <c r="AD5" s="239">
        <f t="shared" si="13"/>
        <v>1.1</v>
      </c>
      <c r="AE5" s="61">
        <v>100000</v>
      </c>
      <c r="AF5" s="235">
        <v>60000</v>
      </c>
      <c r="AG5" s="239">
        <f t="shared" si="14"/>
        <v>-0.4</v>
      </c>
      <c r="AH5" s="235">
        <f t="shared" si="15"/>
        <v>200000</v>
      </c>
      <c r="AI5" s="235">
        <f t="shared" si="16"/>
        <v>270000</v>
      </c>
      <c r="AJ5" s="239">
        <f t="shared" si="17"/>
        <v>0.35</v>
      </c>
      <c r="AK5" s="241">
        <v>100000</v>
      </c>
      <c r="AL5" s="241">
        <v>120000</v>
      </c>
      <c r="AM5" s="239">
        <f t="shared" si="18"/>
        <v>0.2</v>
      </c>
      <c r="AN5" s="241">
        <f t="shared" si="19"/>
        <v>300000</v>
      </c>
      <c r="AO5" s="241">
        <f t="shared" si="20"/>
        <v>390000</v>
      </c>
      <c r="AP5" s="239">
        <f t="shared" si="21"/>
        <v>0.3</v>
      </c>
      <c r="AQ5" s="241">
        <v>100000</v>
      </c>
      <c r="AR5" s="241">
        <v>100000</v>
      </c>
      <c r="AS5" s="239">
        <f t="shared" si="22"/>
        <v>0</v>
      </c>
      <c r="AT5" s="241">
        <f t="shared" si="23"/>
        <v>400000</v>
      </c>
      <c r="AU5" s="241">
        <f t="shared" si="24"/>
        <v>490000</v>
      </c>
      <c r="AV5" s="239">
        <f t="shared" si="25"/>
        <v>0.225</v>
      </c>
      <c r="AW5" s="69">
        <v>100000</v>
      </c>
      <c r="AX5" s="69">
        <v>50000</v>
      </c>
      <c r="AY5" s="239">
        <f t="shared" si="26"/>
        <v>-0.5</v>
      </c>
      <c r="AZ5" s="69">
        <f t="shared" si="27"/>
        <v>500000</v>
      </c>
      <c r="BA5" s="69">
        <f t="shared" si="28"/>
        <v>540000</v>
      </c>
      <c r="BB5" s="239">
        <f t="shared" ref="BB5:BB49" si="29">BA5/AZ5-1</f>
        <v>0.0800000000000001</v>
      </c>
      <c r="BC5" s="69">
        <v>100000</v>
      </c>
      <c r="BD5" s="70">
        <v>100000</v>
      </c>
      <c r="BE5" s="70">
        <v>200000</v>
      </c>
      <c r="BF5" s="70">
        <v>100000</v>
      </c>
      <c r="BG5" s="70">
        <v>1000000</v>
      </c>
      <c r="BH5" s="129">
        <f>BA5/10000/I5</f>
        <v>0.415384615384615</v>
      </c>
    </row>
    <row r="6" s="110" customFormat="1" hidden="1" spans="1:61">
      <c r="A6" s="137" t="s">
        <v>22</v>
      </c>
      <c r="B6" s="137" t="s">
        <v>22</v>
      </c>
      <c r="C6" s="271" t="s">
        <v>63</v>
      </c>
      <c r="D6" s="197" t="s">
        <v>64</v>
      </c>
      <c r="E6" s="197" t="s">
        <v>64</v>
      </c>
      <c r="F6" s="141" t="s">
        <v>65</v>
      </c>
      <c r="G6" s="197" t="s">
        <v>65</v>
      </c>
      <c r="H6" s="61" t="s">
        <v>62</v>
      </c>
      <c r="I6" s="235">
        <v>190</v>
      </c>
      <c r="J6" s="236">
        <v>140000</v>
      </c>
      <c r="K6" s="236">
        <v>41700</v>
      </c>
      <c r="L6" s="129">
        <f t="shared" si="0"/>
        <v>-0.702142857142857</v>
      </c>
      <c r="M6" s="236">
        <v>60000</v>
      </c>
      <c r="N6" s="236">
        <f>20000+7875</f>
        <v>27875</v>
      </c>
      <c r="O6" s="129">
        <f t="shared" si="1"/>
        <v>-0.535416666666667</v>
      </c>
      <c r="P6" s="236">
        <f t="shared" si="4"/>
        <v>200000</v>
      </c>
      <c r="Q6" s="236">
        <f t="shared" si="5"/>
        <v>69575</v>
      </c>
      <c r="R6" s="129">
        <f t="shared" si="3"/>
        <v>-0.652125</v>
      </c>
      <c r="S6" s="42">
        <v>60000</v>
      </c>
      <c r="T6" s="42">
        <f>55000+39786</f>
        <v>94786</v>
      </c>
      <c r="U6" s="129">
        <f t="shared" si="6"/>
        <v>0.579766666666667</v>
      </c>
      <c r="V6" s="42">
        <f t="shared" si="7"/>
        <v>260000</v>
      </c>
      <c r="W6" s="42">
        <f t="shared" si="8"/>
        <v>164361</v>
      </c>
      <c r="X6" s="129">
        <f t="shared" si="9"/>
        <v>-0.367842307692308</v>
      </c>
      <c r="Y6" s="60">
        <v>270219</v>
      </c>
      <c r="Z6" s="60">
        <v>67000</v>
      </c>
      <c r="AA6" s="239">
        <f t="shared" si="10"/>
        <v>-0.752052964447356</v>
      </c>
      <c r="AB6" s="60">
        <f t="shared" si="11"/>
        <v>530219</v>
      </c>
      <c r="AC6" s="60">
        <f t="shared" si="12"/>
        <v>231361</v>
      </c>
      <c r="AD6" s="239">
        <f t="shared" si="13"/>
        <v>-0.563650114386697</v>
      </c>
      <c r="AE6" s="61">
        <v>61019</v>
      </c>
      <c r="AF6" s="235"/>
      <c r="AG6" s="239">
        <f t="shared" si="14"/>
        <v>-1</v>
      </c>
      <c r="AH6" s="235">
        <f t="shared" si="15"/>
        <v>591238</v>
      </c>
      <c r="AI6" s="235">
        <f t="shared" si="16"/>
        <v>231361</v>
      </c>
      <c r="AJ6" s="239">
        <f t="shared" si="17"/>
        <v>-0.60868381261015</v>
      </c>
      <c r="AK6" s="241">
        <v>501898</v>
      </c>
      <c r="AL6" s="241">
        <v>30253.74</v>
      </c>
      <c r="AM6" s="239">
        <f t="shared" si="18"/>
        <v>-0.939721337801705</v>
      </c>
      <c r="AN6" s="241">
        <f t="shared" si="19"/>
        <v>1093136</v>
      </c>
      <c r="AO6" s="241">
        <f t="shared" si="20"/>
        <v>261614.74</v>
      </c>
      <c r="AP6" s="239">
        <f t="shared" si="21"/>
        <v>-0.760675030371335</v>
      </c>
      <c r="AQ6" s="241"/>
      <c r="AR6" s="241">
        <v>40000</v>
      </c>
      <c r="AS6" s="239" t="e">
        <f t="shared" si="22"/>
        <v>#DIV/0!</v>
      </c>
      <c r="AT6" s="241">
        <f t="shared" si="23"/>
        <v>1093136</v>
      </c>
      <c r="AU6" s="241">
        <f t="shared" si="24"/>
        <v>301614.74</v>
      </c>
      <c r="AV6" s="239">
        <f t="shared" si="25"/>
        <v>-0.724083060113289</v>
      </c>
      <c r="AW6" s="69"/>
      <c r="AX6" s="69">
        <v>70000</v>
      </c>
      <c r="AY6" s="239" t="e">
        <f t="shared" si="26"/>
        <v>#DIV/0!</v>
      </c>
      <c r="AZ6" s="69">
        <f t="shared" si="27"/>
        <v>1093136</v>
      </c>
      <c r="BA6" s="69">
        <f t="shared" si="28"/>
        <v>371614.74</v>
      </c>
      <c r="BB6" s="239">
        <f t="shared" si="29"/>
        <v>-0.660047112161707</v>
      </c>
      <c r="BC6" s="69">
        <v>43506</v>
      </c>
      <c r="BD6" s="70">
        <v>89609</v>
      </c>
      <c r="BE6" s="70">
        <v>10000</v>
      </c>
      <c r="BF6" s="70">
        <v>175000</v>
      </c>
      <c r="BG6" s="70">
        <v>1411251</v>
      </c>
      <c r="BH6" s="129">
        <f>BA6/10000/I6</f>
        <v>0.195586705263158</v>
      </c>
      <c r="BI6" s="110">
        <v>61019</v>
      </c>
    </row>
    <row r="7" s="110" customFormat="1" hidden="1" spans="1:61">
      <c r="A7" s="137" t="s">
        <v>22</v>
      </c>
      <c r="B7" s="137" t="s">
        <v>22</v>
      </c>
      <c r="C7" s="202" t="s">
        <v>66</v>
      </c>
      <c r="D7" s="197" t="s">
        <v>64</v>
      </c>
      <c r="E7" s="197" t="s">
        <v>64</v>
      </c>
      <c r="F7" s="141" t="s">
        <v>67</v>
      </c>
      <c r="G7" s="197" t="s">
        <v>67</v>
      </c>
      <c r="H7" s="61" t="s">
        <v>62</v>
      </c>
      <c r="I7" s="235">
        <v>270</v>
      </c>
      <c r="J7" s="236">
        <v>215180.88</v>
      </c>
      <c r="K7" s="236">
        <v>10000</v>
      </c>
      <c r="L7" s="129">
        <f t="shared" si="0"/>
        <v>-0.953527469540974</v>
      </c>
      <c r="M7" s="236">
        <v>146500</v>
      </c>
      <c r="N7" s="236">
        <v>83000</v>
      </c>
      <c r="O7" s="129">
        <f t="shared" si="1"/>
        <v>-0.433447098976109</v>
      </c>
      <c r="P7" s="236">
        <f t="shared" si="4"/>
        <v>361680.88</v>
      </c>
      <c r="Q7" s="236">
        <f t="shared" si="5"/>
        <v>93000</v>
      </c>
      <c r="R7" s="129">
        <f t="shared" si="3"/>
        <v>-0.7428672480558</v>
      </c>
      <c r="S7" s="42">
        <v>280836</v>
      </c>
      <c r="T7" s="42">
        <v>71000</v>
      </c>
      <c r="U7" s="129">
        <f t="shared" si="6"/>
        <v>-0.74718340953439</v>
      </c>
      <c r="V7" s="42">
        <f t="shared" si="7"/>
        <v>642516.88</v>
      </c>
      <c r="W7" s="42">
        <f t="shared" si="8"/>
        <v>164000</v>
      </c>
      <c r="X7" s="129">
        <f t="shared" si="9"/>
        <v>-0.744753787635898</v>
      </c>
      <c r="Y7" s="60">
        <v>201000</v>
      </c>
      <c r="Z7" s="60">
        <v>140000</v>
      </c>
      <c r="AA7" s="239">
        <f t="shared" si="10"/>
        <v>-0.303482587064677</v>
      </c>
      <c r="AB7" s="60">
        <f t="shared" si="11"/>
        <v>843516.88</v>
      </c>
      <c r="AC7" s="60">
        <f t="shared" si="12"/>
        <v>304000</v>
      </c>
      <c r="AD7" s="239">
        <f t="shared" si="13"/>
        <v>-0.639604129795245</v>
      </c>
      <c r="AE7" s="61">
        <v>182933</v>
      </c>
      <c r="AF7" s="235">
        <v>70000</v>
      </c>
      <c r="AG7" s="239">
        <f t="shared" si="14"/>
        <v>-0.617346241520119</v>
      </c>
      <c r="AH7" s="235">
        <f t="shared" si="15"/>
        <v>1026449.88</v>
      </c>
      <c r="AI7" s="235">
        <f t="shared" si="16"/>
        <v>374000</v>
      </c>
      <c r="AJ7" s="239">
        <f t="shared" si="17"/>
        <v>-0.635637348411011</v>
      </c>
      <c r="AK7" s="241">
        <v>205000</v>
      </c>
      <c r="AL7" s="241">
        <v>65840</v>
      </c>
      <c r="AM7" s="239">
        <f t="shared" si="18"/>
        <v>-0.678829268292683</v>
      </c>
      <c r="AN7" s="241">
        <f t="shared" si="19"/>
        <v>1231449.88</v>
      </c>
      <c r="AO7" s="241">
        <f t="shared" si="20"/>
        <v>439840</v>
      </c>
      <c r="AP7" s="239">
        <f t="shared" si="21"/>
        <v>-0.642827526200254</v>
      </c>
      <c r="AQ7" s="241">
        <v>157000</v>
      </c>
      <c r="AR7" s="241">
        <v>39000</v>
      </c>
      <c r="AS7" s="239">
        <f t="shared" si="22"/>
        <v>-0.751592356687898</v>
      </c>
      <c r="AT7" s="241">
        <f t="shared" si="23"/>
        <v>1388449.88</v>
      </c>
      <c r="AU7" s="241">
        <f t="shared" si="24"/>
        <v>478840</v>
      </c>
      <c r="AV7" s="239">
        <f t="shared" si="25"/>
        <v>-0.655126190078968</v>
      </c>
      <c r="AW7" s="69">
        <v>106000</v>
      </c>
      <c r="AX7" s="69">
        <v>95500</v>
      </c>
      <c r="AY7" s="239">
        <f t="shared" si="26"/>
        <v>-0.0990566037735849</v>
      </c>
      <c r="AZ7" s="69">
        <f t="shared" si="27"/>
        <v>1494449.88</v>
      </c>
      <c r="BA7" s="69">
        <f t="shared" si="28"/>
        <v>574340</v>
      </c>
      <c r="BB7" s="239">
        <f t="shared" si="29"/>
        <v>-0.615684669197471</v>
      </c>
      <c r="BC7" s="69">
        <v>142000</v>
      </c>
      <c r="BD7" s="70">
        <v>219169</v>
      </c>
      <c r="BE7" s="70">
        <v>239000</v>
      </c>
      <c r="BF7" s="70">
        <v>343500</v>
      </c>
      <c r="BG7" s="70">
        <v>2438118.88</v>
      </c>
      <c r="BH7" s="129">
        <f>BA7/10000/I7</f>
        <v>0.212718518518519</v>
      </c>
      <c r="BI7" s="110">
        <v>106933</v>
      </c>
    </row>
    <row r="8" s="110" customFormat="1" hidden="1" spans="1:61">
      <c r="A8" s="137" t="s">
        <v>22</v>
      </c>
      <c r="B8" s="137" t="s">
        <v>22</v>
      </c>
      <c r="C8" s="220" t="s">
        <v>68</v>
      </c>
      <c r="D8" s="197" t="s">
        <v>64</v>
      </c>
      <c r="E8" s="197" t="s">
        <v>64</v>
      </c>
      <c r="F8" s="141" t="s">
        <v>69</v>
      </c>
      <c r="G8" s="197" t="s">
        <v>69</v>
      </c>
      <c r="H8" s="61" t="s">
        <v>62</v>
      </c>
      <c r="I8" s="235">
        <v>190</v>
      </c>
      <c r="J8" s="236">
        <v>100000</v>
      </c>
      <c r="K8" s="236">
        <v>149040</v>
      </c>
      <c r="L8" s="129">
        <f t="shared" si="0"/>
        <v>0.4904</v>
      </c>
      <c r="M8" s="236">
        <v>30000</v>
      </c>
      <c r="N8" s="236">
        <v>72140</v>
      </c>
      <c r="O8" s="129">
        <f t="shared" si="1"/>
        <v>1.40466666666667</v>
      </c>
      <c r="P8" s="236">
        <f t="shared" si="4"/>
        <v>130000</v>
      </c>
      <c r="Q8" s="236">
        <f t="shared" si="5"/>
        <v>221180</v>
      </c>
      <c r="R8" s="129">
        <f t="shared" si="3"/>
        <v>0.701384615384615</v>
      </c>
      <c r="S8" s="42">
        <v>70000</v>
      </c>
      <c r="T8" s="42">
        <v>160000</v>
      </c>
      <c r="U8" s="129">
        <f t="shared" si="6"/>
        <v>1.28571428571429</v>
      </c>
      <c r="V8" s="42">
        <f t="shared" si="7"/>
        <v>200000</v>
      </c>
      <c r="W8" s="42">
        <f t="shared" si="8"/>
        <v>381180</v>
      </c>
      <c r="X8" s="129">
        <f t="shared" si="9"/>
        <v>0.9059</v>
      </c>
      <c r="Y8" s="60">
        <v>90000</v>
      </c>
      <c r="Z8" s="60">
        <v>100000</v>
      </c>
      <c r="AA8" s="239">
        <f t="shared" si="10"/>
        <v>0.111111111111111</v>
      </c>
      <c r="AB8" s="60">
        <f t="shared" si="11"/>
        <v>290000</v>
      </c>
      <c r="AC8" s="60">
        <f t="shared" si="12"/>
        <v>481180</v>
      </c>
      <c r="AD8" s="239">
        <f t="shared" si="13"/>
        <v>0.659241379310345</v>
      </c>
      <c r="AE8" s="61">
        <v>65253</v>
      </c>
      <c r="AF8" s="235">
        <v>90000</v>
      </c>
      <c r="AG8" s="239">
        <f t="shared" si="14"/>
        <v>0.379246931175578</v>
      </c>
      <c r="AH8" s="235">
        <f t="shared" si="15"/>
        <v>355253</v>
      </c>
      <c r="AI8" s="235">
        <f t="shared" si="16"/>
        <v>571180</v>
      </c>
      <c r="AJ8" s="239">
        <f t="shared" si="17"/>
        <v>0.607811897436475</v>
      </c>
      <c r="AK8" s="241">
        <v>555000</v>
      </c>
      <c r="AL8" s="241">
        <v>275000</v>
      </c>
      <c r="AM8" s="239">
        <f t="shared" si="18"/>
        <v>-0.504504504504504</v>
      </c>
      <c r="AN8" s="241">
        <f t="shared" si="19"/>
        <v>910253</v>
      </c>
      <c r="AO8" s="241">
        <f t="shared" si="20"/>
        <v>846180</v>
      </c>
      <c r="AP8" s="239">
        <f t="shared" si="21"/>
        <v>-0.0703903200538751</v>
      </c>
      <c r="AQ8" s="241"/>
      <c r="AR8" s="241"/>
      <c r="AS8" s="239" t="e">
        <f t="shared" si="22"/>
        <v>#DIV/0!</v>
      </c>
      <c r="AT8" s="241">
        <f t="shared" si="23"/>
        <v>910253</v>
      </c>
      <c r="AU8" s="241">
        <f t="shared" si="24"/>
        <v>846180</v>
      </c>
      <c r="AV8" s="239">
        <f t="shared" si="25"/>
        <v>-0.0703903200538751</v>
      </c>
      <c r="AW8" s="69"/>
      <c r="AX8" s="69">
        <v>30000</v>
      </c>
      <c r="AY8" s="239" t="e">
        <f t="shared" si="26"/>
        <v>#DIV/0!</v>
      </c>
      <c r="AZ8" s="69">
        <f t="shared" si="27"/>
        <v>910253</v>
      </c>
      <c r="BA8" s="69">
        <f t="shared" si="28"/>
        <v>876180</v>
      </c>
      <c r="BB8" s="239">
        <f t="shared" si="29"/>
        <v>-0.0374324500990384</v>
      </c>
      <c r="BC8" s="69">
        <v>6799</v>
      </c>
      <c r="BD8" s="70">
        <v>137020</v>
      </c>
      <c r="BE8" s="70">
        <v>182000</v>
      </c>
      <c r="BF8" s="70">
        <v>220000</v>
      </c>
      <c r="BG8" s="70">
        <v>1456072</v>
      </c>
      <c r="BH8" s="129">
        <f t="shared" ref="BH8:BH49" si="30">BA8/10000/I8</f>
        <v>0.461147368421053</v>
      </c>
      <c r="BI8" s="110">
        <v>50253</v>
      </c>
    </row>
    <row r="9" s="110" customFormat="1" hidden="1" spans="1:60">
      <c r="A9" s="137" t="s">
        <v>22</v>
      </c>
      <c r="B9" s="137" t="s">
        <v>22</v>
      </c>
      <c r="C9" s="271" t="s">
        <v>70</v>
      </c>
      <c r="D9" s="197" t="s">
        <v>60</v>
      </c>
      <c r="E9" s="197" t="s">
        <v>60</v>
      </c>
      <c r="F9" s="141" t="s">
        <v>71</v>
      </c>
      <c r="G9" s="197" t="s">
        <v>71</v>
      </c>
      <c r="H9" s="61" t="s">
        <v>62</v>
      </c>
      <c r="I9" s="235"/>
      <c r="J9" s="236">
        <v>10000</v>
      </c>
      <c r="K9" s="236"/>
      <c r="L9" s="129">
        <f t="shared" si="0"/>
        <v>-1</v>
      </c>
      <c r="M9" s="236"/>
      <c r="N9" s="236"/>
      <c r="O9" s="129" t="e">
        <f t="shared" si="1"/>
        <v>#DIV/0!</v>
      </c>
      <c r="P9" s="236">
        <f t="shared" si="4"/>
        <v>10000</v>
      </c>
      <c r="Q9" s="236">
        <f t="shared" si="5"/>
        <v>0</v>
      </c>
      <c r="R9" s="129">
        <f t="shared" si="3"/>
        <v>-1</v>
      </c>
      <c r="S9" s="42">
        <v>10000</v>
      </c>
      <c r="T9" s="42"/>
      <c r="U9" s="129">
        <f t="shared" si="6"/>
        <v>-1</v>
      </c>
      <c r="V9" s="42">
        <f t="shared" si="7"/>
        <v>20000</v>
      </c>
      <c r="W9" s="42">
        <f t="shared" si="8"/>
        <v>0</v>
      </c>
      <c r="X9" s="129">
        <f t="shared" si="9"/>
        <v>-1</v>
      </c>
      <c r="Y9" s="60">
        <v>10000</v>
      </c>
      <c r="Z9" s="60"/>
      <c r="AA9" s="239">
        <f t="shared" si="10"/>
        <v>-1</v>
      </c>
      <c r="AB9" s="60">
        <f t="shared" si="11"/>
        <v>30000</v>
      </c>
      <c r="AC9" s="60">
        <f t="shared" si="12"/>
        <v>0</v>
      </c>
      <c r="AD9" s="239">
        <f t="shared" si="13"/>
        <v>-1</v>
      </c>
      <c r="AE9" s="61"/>
      <c r="AF9" s="235"/>
      <c r="AG9" s="239" t="e">
        <f t="shared" si="14"/>
        <v>#DIV/0!</v>
      </c>
      <c r="AH9" s="235">
        <f t="shared" si="15"/>
        <v>30000</v>
      </c>
      <c r="AI9" s="235">
        <f t="shared" si="16"/>
        <v>0</v>
      </c>
      <c r="AJ9" s="239">
        <f t="shared" si="17"/>
        <v>-1</v>
      </c>
      <c r="AK9" s="241"/>
      <c r="AL9" s="241"/>
      <c r="AM9" s="239" t="e">
        <f t="shared" si="18"/>
        <v>#DIV/0!</v>
      </c>
      <c r="AN9" s="241">
        <f t="shared" si="19"/>
        <v>30000</v>
      </c>
      <c r="AO9" s="241">
        <f t="shared" si="20"/>
        <v>0</v>
      </c>
      <c r="AP9" s="239">
        <f t="shared" si="21"/>
        <v>-1</v>
      </c>
      <c r="AQ9" s="241"/>
      <c r="AR9" s="241"/>
      <c r="AS9" s="239" t="e">
        <f t="shared" si="22"/>
        <v>#DIV/0!</v>
      </c>
      <c r="AT9" s="241">
        <f t="shared" si="23"/>
        <v>30000</v>
      </c>
      <c r="AU9" s="241">
        <f t="shared" si="24"/>
        <v>0</v>
      </c>
      <c r="AV9" s="239">
        <f t="shared" si="25"/>
        <v>-1</v>
      </c>
      <c r="AW9" s="69"/>
      <c r="AX9" s="69"/>
      <c r="AY9" s="239" t="e">
        <f t="shared" si="26"/>
        <v>#DIV/0!</v>
      </c>
      <c r="AZ9" s="69">
        <f t="shared" si="27"/>
        <v>30000</v>
      </c>
      <c r="BA9" s="69">
        <f t="shared" si="28"/>
        <v>0</v>
      </c>
      <c r="BB9" s="239">
        <f t="shared" si="29"/>
        <v>-1</v>
      </c>
      <c r="BC9" s="69"/>
      <c r="BD9" s="70"/>
      <c r="BE9" s="70"/>
      <c r="BF9" s="70"/>
      <c r="BG9" s="70">
        <v>30000</v>
      </c>
      <c r="BH9" s="129" t="e">
        <f t="shared" si="30"/>
        <v>#DIV/0!</v>
      </c>
    </row>
    <row r="10" s="110" customFormat="1" hidden="1" spans="1:60">
      <c r="A10" s="137" t="s">
        <v>22</v>
      </c>
      <c r="B10" s="137" t="s">
        <v>22</v>
      </c>
      <c r="C10" s="202" t="s">
        <v>72</v>
      </c>
      <c r="D10" s="197" t="s">
        <v>60</v>
      </c>
      <c r="E10" s="197" t="s">
        <v>60</v>
      </c>
      <c r="F10" s="141" t="s">
        <v>73</v>
      </c>
      <c r="G10" s="197" t="s">
        <v>73</v>
      </c>
      <c r="H10" s="61" t="s">
        <v>62</v>
      </c>
      <c r="I10" s="235">
        <v>60</v>
      </c>
      <c r="J10" s="236">
        <v>10980</v>
      </c>
      <c r="K10" s="236">
        <v>1887</v>
      </c>
      <c r="L10" s="129">
        <f t="shared" si="0"/>
        <v>-0.828142076502732</v>
      </c>
      <c r="M10" s="236">
        <v>10390</v>
      </c>
      <c r="N10" s="236"/>
      <c r="O10" s="129">
        <f t="shared" si="1"/>
        <v>-1</v>
      </c>
      <c r="P10" s="236">
        <f t="shared" si="4"/>
        <v>21370</v>
      </c>
      <c r="Q10" s="236">
        <f t="shared" si="5"/>
        <v>1887</v>
      </c>
      <c r="R10" s="129">
        <f t="shared" si="3"/>
        <v>-0.911698642957417</v>
      </c>
      <c r="S10" s="42">
        <v>20613</v>
      </c>
      <c r="T10" s="42">
        <v>21472</v>
      </c>
      <c r="U10" s="129">
        <f t="shared" si="6"/>
        <v>0.0416727308009508</v>
      </c>
      <c r="V10" s="42">
        <f t="shared" si="7"/>
        <v>41983</v>
      </c>
      <c r="W10" s="42">
        <f t="shared" si="8"/>
        <v>23359</v>
      </c>
      <c r="X10" s="129">
        <f t="shared" si="9"/>
        <v>-0.443608127099064</v>
      </c>
      <c r="Y10" s="60">
        <v>14343</v>
      </c>
      <c r="Z10" s="60">
        <v>24592</v>
      </c>
      <c r="AA10" s="239">
        <f t="shared" si="10"/>
        <v>0.71456459597016</v>
      </c>
      <c r="AB10" s="60">
        <f t="shared" si="11"/>
        <v>56326</v>
      </c>
      <c r="AC10" s="60">
        <f t="shared" si="12"/>
        <v>47951</v>
      </c>
      <c r="AD10" s="239">
        <f t="shared" si="13"/>
        <v>-0.148687994886908</v>
      </c>
      <c r="AE10" s="61">
        <v>10168</v>
      </c>
      <c r="AF10" s="235">
        <v>35823</v>
      </c>
      <c r="AG10" s="239">
        <f t="shared" si="14"/>
        <v>2.52311172305271</v>
      </c>
      <c r="AH10" s="235">
        <f t="shared" si="15"/>
        <v>66494</v>
      </c>
      <c r="AI10" s="235">
        <f t="shared" si="16"/>
        <v>83774</v>
      </c>
      <c r="AJ10" s="239">
        <f t="shared" si="17"/>
        <v>0.259873071254549</v>
      </c>
      <c r="AK10" s="241">
        <v>6124</v>
      </c>
      <c r="AL10" s="241">
        <v>40090</v>
      </c>
      <c r="AM10" s="239">
        <f t="shared" si="18"/>
        <v>5.54637491835402</v>
      </c>
      <c r="AN10" s="241">
        <f t="shared" si="19"/>
        <v>72618</v>
      </c>
      <c r="AO10" s="241">
        <f t="shared" si="20"/>
        <v>123864</v>
      </c>
      <c r="AP10" s="239">
        <f t="shared" si="21"/>
        <v>0.705692803437164</v>
      </c>
      <c r="AQ10" s="241"/>
      <c r="AR10" s="241">
        <v>5841</v>
      </c>
      <c r="AS10" s="239" t="e">
        <f t="shared" si="22"/>
        <v>#DIV/0!</v>
      </c>
      <c r="AT10" s="241">
        <f t="shared" si="23"/>
        <v>72618</v>
      </c>
      <c r="AU10" s="241">
        <f t="shared" si="24"/>
        <v>129705</v>
      </c>
      <c r="AV10" s="239">
        <f t="shared" si="25"/>
        <v>0.786127406428158</v>
      </c>
      <c r="AW10" s="69">
        <v>9927</v>
      </c>
      <c r="AX10" s="69">
        <v>19585</v>
      </c>
      <c r="AY10" s="239">
        <f t="shared" si="26"/>
        <v>0.97290218595749</v>
      </c>
      <c r="AZ10" s="69">
        <f t="shared" si="27"/>
        <v>82545</v>
      </c>
      <c r="BA10" s="69">
        <f t="shared" si="28"/>
        <v>149290</v>
      </c>
      <c r="BB10" s="239">
        <f t="shared" si="29"/>
        <v>0.808589254346114</v>
      </c>
      <c r="BC10" s="69">
        <v>97064</v>
      </c>
      <c r="BD10" s="70">
        <v>75532</v>
      </c>
      <c r="BE10" s="70"/>
      <c r="BF10" s="70">
        <v>119846</v>
      </c>
      <c r="BG10" s="70">
        <v>374987</v>
      </c>
      <c r="BH10" s="129">
        <f t="shared" si="30"/>
        <v>0.248816666666667</v>
      </c>
    </row>
    <row r="11" s="110" customFormat="1" hidden="1" spans="1:60">
      <c r="A11" s="137" t="s">
        <v>22</v>
      </c>
      <c r="B11" s="137" t="s">
        <v>22</v>
      </c>
      <c r="C11" s="202" t="s">
        <v>74</v>
      </c>
      <c r="D11" s="197" t="s">
        <v>60</v>
      </c>
      <c r="E11" s="197" t="s">
        <v>60</v>
      </c>
      <c r="F11" s="141" t="s">
        <v>75</v>
      </c>
      <c r="G11" s="197" t="s">
        <v>76</v>
      </c>
      <c r="H11" s="61" t="s">
        <v>57</v>
      </c>
      <c r="I11" s="235">
        <v>10</v>
      </c>
      <c r="J11" s="236">
        <v>11748</v>
      </c>
      <c r="K11" s="236"/>
      <c r="L11" s="129">
        <f t="shared" si="0"/>
        <v>-1</v>
      </c>
      <c r="M11" s="236">
        <v>16445</v>
      </c>
      <c r="N11" s="236">
        <v>2274</v>
      </c>
      <c r="O11" s="129">
        <f t="shared" si="1"/>
        <v>-0.861720887807844</v>
      </c>
      <c r="P11" s="236">
        <f t="shared" si="4"/>
        <v>28193</v>
      </c>
      <c r="Q11" s="236">
        <f t="shared" si="5"/>
        <v>2274</v>
      </c>
      <c r="R11" s="129">
        <f t="shared" si="3"/>
        <v>-0.919341680559004</v>
      </c>
      <c r="S11" s="42">
        <v>800</v>
      </c>
      <c r="T11" s="42"/>
      <c r="U11" s="129">
        <f t="shared" si="6"/>
        <v>-1</v>
      </c>
      <c r="V11" s="42">
        <f t="shared" si="7"/>
        <v>28993</v>
      </c>
      <c r="W11" s="42">
        <f t="shared" si="8"/>
        <v>2274</v>
      </c>
      <c r="X11" s="129">
        <f t="shared" si="9"/>
        <v>-0.921567274859449</v>
      </c>
      <c r="Y11" s="60"/>
      <c r="Z11" s="60">
        <v>2217</v>
      </c>
      <c r="AA11" s="239" t="e">
        <f t="shared" si="10"/>
        <v>#DIV/0!</v>
      </c>
      <c r="AB11" s="60">
        <f t="shared" si="11"/>
        <v>28993</v>
      </c>
      <c r="AC11" s="60">
        <f t="shared" si="12"/>
        <v>4491</v>
      </c>
      <c r="AD11" s="239">
        <f t="shared" si="13"/>
        <v>-0.84510054151002</v>
      </c>
      <c r="AE11" s="61">
        <v>19214</v>
      </c>
      <c r="AF11" s="235">
        <v>13140</v>
      </c>
      <c r="AG11" s="239">
        <f t="shared" si="14"/>
        <v>-0.316123659831373</v>
      </c>
      <c r="AH11" s="235">
        <f t="shared" si="15"/>
        <v>48207</v>
      </c>
      <c r="AI11" s="235">
        <f t="shared" si="16"/>
        <v>17631</v>
      </c>
      <c r="AJ11" s="239">
        <f t="shared" si="17"/>
        <v>-0.634264733337482</v>
      </c>
      <c r="AK11" s="241"/>
      <c r="AL11" s="241"/>
      <c r="AM11" s="239" t="e">
        <f t="shared" si="18"/>
        <v>#DIV/0!</v>
      </c>
      <c r="AN11" s="241">
        <f t="shared" si="19"/>
        <v>48207</v>
      </c>
      <c r="AO11" s="241">
        <f t="shared" si="20"/>
        <v>17631</v>
      </c>
      <c r="AP11" s="239">
        <f t="shared" si="21"/>
        <v>-0.634264733337482</v>
      </c>
      <c r="AQ11" s="241">
        <v>4009</v>
      </c>
      <c r="AR11" s="241">
        <v>3043</v>
      </c>
      <c r="AS11" s="239">
        <f t="shared" si="22"/>
        <v>-0.24095784484909</v>
      </c>
      <c r="AT11" s="241">
        <f t="shared" si="23"/>
        <v>52216</v>
      </c>
      <c r="AU11" s="241">
        <f t="shared" si="24"/>
        <v>20674</v>
      </c>
      <c r="AV11" s="239">
        <f t="shared" si="25"/>
        <v>-0.60406771870691</v>
      </c>
      <c r="AW11" s="69">
        <v>10575</v>
      </c>
      <c r="AX11" s="69"/>
      <c r="AY11" s="239">
        <f t="shared" si="26"/>
        <v>-1</v>
      </c>
      <c r="AZ11" s="69">
        <f t="shared" si="27"/>
        <v>62791</v>
      </c>
      <c r="BA11" s="69">
        <f t="shared" si="28"/>
        <v>20674</v>
      </c>
      <c r="BB11" s="239">
        <f t="shared" si="29"/>
        <v>-0.670748992690035</v>
      </c>
      <c r="BC11" s="69">
        <v>800</v>
      </c>
      <c r="BD11" s="70">
        <v>3078</v>
      </c>
      <c r="BE11" s="70"/>
      <c r="BF11" s="70">
        <v>3200</v>
      </c>
      <c r="BG11" s="70">
        <v>69869</v>
      </c>
      <c r="BH11" s="129">
        <f t="shared" si="30"/>
        <v>0.20674</v>
      </c>
    </row>
    <row r="12" s="111" customFormat="1" ht="14" hidden="1" spans="1:63">
      <c r="A12" s="137" t="s">
        <v>22</v>
      </c>
      <c r="B12" s="137" t="s">
        <v>22</v>
      </c>
      <c r="C12" s="221" t="s">
        <v>77</v>
      </c>
      <c r="D12" s="141" t="s">
        <v>78</v>
      </c>
      <c r="E12" s="197" t="s">
        <v>78</v>
      </c>
      <c r="F12" s="141" t="s">
        <v>75</v>
      </c>
      <c r="G12" s="141" t="s">
        <v>79</v>
      </c>
      <c r="H12" s="61" t="s">
        <v>80</v>
      </c>
      <c r="I12" s="235">
        <v>560</v>
      </c>
      <c r="J12" s="236">
        <v>-55370.32</v>
      </c>
      <c r="K12" s="236">
        <v>513987.69</v>
      </c>
      <c r="L12" s="129">
        <f t="shared" si="0"/>
        <v>-10.282729267232</v>
      </c>
      <c r="M12" s="236"/>
      <c r="N12" s="237">
        <v>456944.83</v>
      </c>
      <c r="O12" s="129" t="e">
        <f t="shared" si="1"/>
        <v>#DIV/0!</v>
      </c>
      <c r="P12" s="236">
        <f t="shared" si="4"/>
        <v>-55370.32</v>
      </c>
      <c r="Q12" s="236">
        <f t="shared" si="5"/>
        <v>970932.52</v>
      </c>
      <c r="R12" s="129">
        <f t="shared" si="3"/>
        <v>-18.5352520989584</v>
      </c>
      <c r="S12" s="42"/>
      <c r="T12" s="42">
        <f>591327.2+48000</f>
        <v>639327.2</v>
      </c>
      <c r="U12" s="129" t="e">
        <f t="shared" si="6"/>
        <v>#DIV/0!</v>
      </c>
      <c r="V12" s="42">
        <f t="shared" si="7"/>
        <v>-55370.32</v>
      </c>
      <c r="W12" s="42">
        <f t="shared" si="8"/>
        <v>1610259.72</v>
      </c>
      <c r="X12" s="129">
        <f t="shared" si="9"/>
        <v>-30.0816401277796</v>
      </c>
      <c r="Y12" s="60">
        <v>442229.3</v>
      </c>
      <c r="Z12" s="60">
        <f>279375.22+41000+60000</f>
        <v>380375.22</v>
      </c>
      <c r="AA12" s="239">
        <f t="shared" si="10"/>
        <v>-0.139868796572276</v>
      </c>
      <c r="AB12" s="60">
        <f t="shared" si="11"/>
        <v>386858.98</v>
      </c>
      <c r="AC12" s="60">
        <f t="shared" si="12"/>
        <v>1990634.94</v>
      </c>
      <c r="AD12" s="239">
        <f t="shared" si="13"/>
        <v>4.1456345668905</v>
      </c>
      <c r="AE12" s="61">
        <v>309190.52</v>
      </c>
      <c r="AF12" s="235">
        <v>403454.03</v>
      </c>
      <c r="AG12" s="239">
        <f t="shared" si="14"/>
        <v>0.304871928156141</v>
      </c>
      <c r="AH12" s="235">
        <f t="shared" si="15"/>
        <v>696049.5</v>
      </c>
      <c r="AI12" s="235">
        <f t="shared" si="16"/>
        <v>2394088.97</v>
      </c>
      <c r="AJ12" s="239">
        <f t="shared" si="17"/>
        <v>2.43953838053184</v>
      </c>
      <c r="AK12" s="241">
        <v>319675.55</v>
      </c>
      <c r="AL12" s="241">
        <v>521128.98</v>
      </c>
      <c r="AM12" s="239">
        <f t="shared" si="18"/>
        <v>0.63018091311644</v>
      </c>
      <c r="AN12" s="241">
        <f t="shared" si="19"/>
        <v>1015725.05</v>
      </c>
      <c r="AO12" s="241">
        <f t="shared" si="20"/>
        <v>2915217.95</v>
      </c>
      <c r="AP12" s="239">
        <f t="shared" si="21"/>
        <v>1.870085708726</v>
      </c>
      <c r="AQ12" s="241">
        <v>528891.84</v>
      </c>
      <c r="AR12" s="241">
        <v>152639.86</v>
      </c>
      <c r="AS12" s="239">
        <f t="shared" si="22"/>
        <v>-0.711396833046243</v>
      </c>
      <c r="AT12" s="241">
        <f t="shared" si="23"/>
        <v>1544616.89</v>
      </c>
      <c r="AU12" s="241">
        <f t="shared" si="24"/>
        <v>3067857.81</v>
      </c>
      <c r="AV12" s="239">
        <f t="shared" si="25"/>
        <v>0.986160989085132</v>
      </c>
      <c r="AW12" s="69">
        <v>226314.07</v>
      </c>
      <c r="AX12" s="69"/>
      <c r="AY12" s="239">
        <f t="shared" si="26"/>
        <v>-1</v>
      </c>
      <c r="AZ12" s="69">
        <f t="shared" si="27"/>
        <v>1770930.96</v>
      </c>
      <c r="BA12" s="69">
        <f t="shared" si="28"/>
        <v>3067857.81</v>
      </c>
      <c r="BB12" s="239">
        <f t="shared" si="29"/>
        <v>0.732341846911977</v>
      </c>
      <c r="BC12" s="69">
        <v>174190.5</v>
      </c>
      <c r="BD12" s="70">
        <v>471478.84</v>
      </c>
      <c r="BE12" s="70">
        <v>897862.49</v>
      </c>
      <c r="BF12" s="70">
        <v>233096.17</v>
      </c>
      <c r="BG12" s="70">
        <v>3547558.96</v>
      </c>
      <c r="BH12" s="129">
        <f t="shared" si="30"/>
        <v>0.547831751785714</v>
      </c>
      <c r="BI12" s="111">
        <v>94000</v>
      </c>
      <c r="BJ12" s="111">
        <f>48000+41000</f>
        <v>89000</v>
      </c>
      <c r="BK12" s="111" t="s">
        <v>81</v>
      </c>
    </row>
    <row r="13" s="110" customFormat="1" spans="1:60">
      <c r="A13" s="137" t="s">
        <v>22</v>
      </c>
      <c r="B13" s="137" t="s">
        <v>22</v>
      </c>
      <c r="C13" s="222" t="s">
        <v>82</v>
      </c>
      <c r="D13" s="197" t="s">
        <v>83</v>
      </c>
      <c r="E13" s="197" t="s">
        <v>83</v>
      </c>
      <c r="F13" s="141" t="s">
        <v>61</v>
      </c>
      <c r="G13" s="197" t="s">
        <v>61</v>
      </c>
      <c r="H13" s="61" t="s">
        <v>84</v>
      </c>
      <c r="I13" s="235">
        <v>180</v>
      </c>
      <c r="J13" s="236">
        <v>103977</v>
      </c>
      <c r="K13" s="236">
        <v>22066</v>
      </c>
      <c r="L13" s="129">
        <f t="shared" si="0"/>
        <v>-0.787779989805438</v>
      </c>
      <c r="M13" s="236">
        <v>19500</v>
      </c>
      <c r="N13" s="236">
        <v>49149</v>
      </c>
      <c r="O13" s="129">
        <f t="shared" si="1"/>
        <v>1.52046153846154</v>
      </c>
      <c r="P13" s="236">
        <f t="shared" si="4"/>
        <v>123477</v>
      </c>
      <c r="Q13" s="236">
        <f t="shared" si="5"/>
        <v>71215</v>
      </c>
      <c r="R13" s="129">
        <f t="shared" si="3"/>
        <v>-0.42325291349806</v>
      </c>
      <c r="S13" s="42">
        <v>113494</v>
      </c>
      <c r="T13" s="42">
        <v>91366</v>
      </c>
      <c r="U13" s="129">
        <f t="shared" si="6"/>
        <v>-0.194970659241898</v>
      </c>
      <c r="V13" s="42">
        <f t="shared" si="7"/>
        <v>236971</v>
      </c>
      <c r="W13" s="42">
        <f t="shared" si="8"/>
        <v>162581</v>
      </c>
      <c r="X13" s="129">
        <f t="shared" si="9"/>
        <v>-0.313920268724865</v>
      </c>
      <c r="Y13" s="60">
        <v>109059</v>
      </c>
      <c r="Z13" s="60">
        <v>67817</v>
      </c>
      <c r="AA13" s="239">
        <f t="shared" si="10"/>
        <v>-0.378162279133313</v>
      </c>
      <c r="AB13" s="60">
        <f t="shared" si="11"/>
        <v>346030</v>
      </c>
      <c r="AC13" s="60">
        <f t="shared" si="12"/>
        <v>230398</v>
      </c>
      <c r="AD13" s="239">
        <f t="shared" si="13"/>
        <v>-0.334167557726209</v>
      </c>
      <c r="AE13" s="61">
        <v>111723</v>
      </c>
      <c r="AF13" s="235">
        <v>71689</v>
      </c>
      <c r="AG13" s="239">
        <f t="shared" si="14"/>
        <v>-0.3583326620302</v>
      </c>
      <c r="AH13" s="235">
        <f t="shared" si="15"/>
        <v>457753</v>
      </c>
      <c r="AI13" s="235">
        <f t="shared" si="16"/>
        <v>302087</v>
      </c>
      <c r="AJ13" s="239">
        <f t="shared" si="17"/>
        <v>-0.340065493836196</v>
      </c>
      <c r="AK13" s="241">
        <v>173284</v>
      </c>
      <c r="AL13" s="241">
        <v>123804</v>
      </c>
      <c r="AM13" s="239">
        <f t="shared" si="18"/>
        <v>-0.285542808337758</v>
      </c>
      <c r="AN13" s="241">
        <f t="shared" si="19"/>
        <v>631037</v>
      </c>
      <c r="AO13" s="241">
        <f t="shared" si="20"/>
        <v>425891</v>
      </c>
      <c r="AP13" s="239">
        <f t="shared" si="21"/>
        <v>-0.325093457277466</v>
      </c>
      <c r="AQ13" s="241">
        <v>72134</v>
      </c>
      <c r="AR13" s="241">
        <v>47933</v>
      </c>
      <c r="AS13" s="239">
        <f t="shared" si="22"/>
        <v>-0.33550059611279</v>
      </c>
      <c r="AT13" s="241">
        <f t="shared" si="23"/>
        <v>703171</v>
      </c>
      <c r="AU13" s="241">
        <f t="shared" si="24"/>
        <v>473824</v>
      </c>
      <c r="AV13" s="239">
        <f t="shared" si="25"/>
        <v>-0.326161061818533</v>
      </c>
      <c r="AW13" s="69">
        <v>94856</v>
      </c>
      <c r="AX13" s="69">
        <v>51793</v>
      </c>
      <c r="AY13" s="239">
        <f t="shared" si="26"/>
        <v>-0.453982879311799</v>
      </c>
      <c r="AZ13" s="69">
        <f t="shared" si="27"/>
        <v>798027</v>
      </c>
      <c r="BA13" s="69">
        <f t="shared" si="28"/>
        <v>525617</v>
      </c>
      <c r="BB13" s="239">
        <f t="shared" si="29"/>
        <v>-0.341354365203182</v>
      </c>
      <c r="BC13" s="69">
        <v>159320</v>
      </c>
      <c r="BD13" s="70">
        <v>185198.4</v>
      </c>
      <c r="BE13" s="70">
        <v>81513</v>
      </c>
      <c r="BF13" s="70">
        <v>177473</v>
      </c>
      <c r="BG13" s="70">
        <v>1401531.4</v>
      </c>
      <c r="BH13" s="129">
        <f t="shared" si="30"/>
        <v>0.292009444444444</v>
      </c>
    </row>
    <row r="14" s="110" customFormat="1" hidden="1" spans="1:60">
      <c r="A14" s="137" t="s">
        <v>22</v>
      </c>
      <c r="B14" s="137" t="s">
        <v>22</v>
      </c>
      <c r="C14" s="202" t="s">
        <v>85</v>
      </c>
      <c r="D14" s="197" t="s">
        <v>60</v>
      </c>
      <c r="E14" s="197" t="s">
        <v>60</v>
      </c>
      <c r="F14" s="141" t="s">
        <v>56</v>
      </c>
      <c r="G14" s="197" t="s">
        <v>56</v>
      </c>
      <c r="H14" s="61" t="s">
        <v>57</v>
      </c>
      <c r="I14" s="235"/>
      <c r="J14" s="236">
        <v>800</v>
      </c>
      <c r="K14" s="236"/>
      <c r="L14" s="129">
        <f t="shared" si="0"/>
        <v>-1</v>
      </c>
      <c r="M14" s="236"/>
      <c r="N14" s="236"/>
      <c r="O14" s="129" t="e">
        <f t="shared" si="1"/>
        <v>#DIV/0!</v>
      </c>
      <c r="P14" s="236">
        <f t="shared" si="4"/>
        <v>800</v>
      </c>
      <c r="Q14" s="236">
        <f t="shared" si="5"/>
        <v>0</v>
      </c>
      <c r="R14" s="129">
        <f t="shared" si="3"/>
        <v>-1</v>
      </c>
      <c r="S14" s="42"/>
      <c r="T14" s="42"/>
      <c r="U14" s="129" t="e">
        <f t="shared" si="6"/>
        <v>#DIV/0!</v>
      </c>
      <c r="V14" s="42">
        <f t="shared" si="7"/>
        <v>800</v>
      </c>
      <c r="W14" s="42">
        <f t="shared" si="8"/>
        <v>0</v>
      </c>
      <c r="X14" s="129">
        <f t="shared" si="9"/>
        <v>-1</v>
      </c>
      <c r="Y14" s="60"/>
      <c r="Z14" s="60"/>
      <c r="AA14" s="239" t="e">
        <f t="shared" si="10"/>
        <v>#DIV/0!</v>
      </c>
      <c r="AB14" s="60">
        <f t="shared" si="11"/>
        <v>800</v>
      </c>
      <c r="AC14" s="60">
        <f t="shared" si="12"/>
        <v>0</v>
      </c>
      <c r="AD14" s="239">
        <f t="shared" si="13"/>
        <v>-1</v>
      </c>
      <c r="AE14" s="61"/>
      <c r="AF14" s="235"/>
      <c r="AG14" s="239" t="e">
        <f t="shared" si="14"/>
        <v>#DIV/0!</v>
      </c>
      <c r="AH14" s="235">
        <f t="shared" si="15"/>
        <v>800</v>
      </c>
      <c r="AI14" s="235">
        <f t="shared" si="16"/>
        <v>0</v>
      </c>
      <c r="AJ14" s="239">
        <f t="shared" si="17"/>
        <v>-1</v>
      </c>
      <c r="AK14" s="241">
        <v>6071</v>
      </c>
      <c r="AL14" s="241"/>
      <c r="AM14" s="239">
        <f t="shared" si="18"/>
        <v>-1</v>
      </c>
      <c r="AN14" s="241">
        <f t="shared" si="19"/>
        <v>6871</v>
      </c>
      <c r="AO14" s="241">
        <f t="shared" si="20"/>
        <v>0</v>
      </c>
      <c r="AP14" s="239">
        <f t="shared" si="21"/>
        <v>-1</v>
      </c>
      <c r="AQ14" s="241"/>
      <c r="AR14" s="241">
        <v>4498</v>
      </c>
      <c r="AS14" s="239" t="e">
        <f t="shared" si="22"/>
        <v>#DIV/0!</v>
      </c>
      <c r="AT14" s="241">
        <f t="shared" si="23"/>
        <v>6871</v>
      </c>
      <c r="AU14" s="241">
        <f t="shared" si="24"/>
        <v>4498</v>
      </c>
      <c r="AV14" s="239">
        <f t="shared" si="25"/>
        <v>-0.345364575753165</v>
      </c>
      <c r="AW14" s="69">
        <v>6599</v>
      </c>
      <c r="AX14" s="69">
        <v>13050</v>
      </c>
      <c r="AY14" s="239">
        <f t="shared" si="26"/>
        <v>0.977572359448401</v>
      </c>
      <c r="AZ14" s="69">
        <f t="shared" si="27"/>
        <v>13470</v>
      </c>
      <c r="BA14" s="69">
        <f t="shared" si="28"/>
        <v>17548</v>
      </c>
      <c r="BB14" s="239">
        <f t="shared" si="29"/>
        <v>0.302746844840386</v>
      </c>
      <c r="BC14" s="69">
        <v>16646</v>
      </c>
      <c r="BD14" s="70">
        <v>8396</v>
      </c>
      <c r="BE14" s="70"/>
      <c r="BF14" s="70"/>
      <c r="BG14" s="70">
        <v>38512</v>
      </c>
      <c r="BH14" s="129" t="e">
        <f t="shared" si="30"/>
        <v>#DIV/0!</v>
      </c>
    </row>
    <row r="15" s="111" customFormat="1" hidden="1" spans="1:60">
      <c r="A15" s="137" t="s">
        <v>22</v>
      </c>
      <c r="B15" s="137" t="s">
        <v>22</v>
      </c>
      <c r="C15" s="223" t="s">
        <v>86</v>
      </c>
      <c r="D15" s="141" t="s">
        <v>87</v>
      </c>
      <c r="E15" s="197" t="s">
        <v>87</v>
      </c>
      <c r="F15" s="141" t="s">
        <v>75</v>
      </c>
      <c r="G15" s="141" t="s">
        <v>79</v>
      </c>
      <c r="H15" s="61" t="s">
        <v>88</v>
      </c>
      <c r="I15" s="235"/>
      <c r="J15" s="236">
        <v>111956.28</v>
      </c>
      <c r="K15" s="236">
        <v>76873.34</v>
      </c>
      <c r="L15" s="129">
        <f t="shared" si="0"/>
        <v>-0.313362859144659</v>
      </c>
      <c r="M15" s="236">
        <v>43919</v>
      </c>
      <c r="N15" s="236">
        <v>43284.9</v>
      </c>
      <c r="O15" s="129">
        <f t="shared" si="1"/>
        <v>-0.014437942576106</v>
      </c>
      <c r="P15" s="236">
        <f t="shared" si="4"/>
        <v>155875.28</v>
      </c>
      <c r="Q15" s="236">
        <f t="shared" si="5"/>
        <v>120158.24</v>
      </c>
      <c r="R15" s="129">
        <f t="shared" si="3"/>
        <v>-0.229138577970798</v>
      </c>
      <c r="S15" s="42">
        <v>80405.08</v>
      </c>
      <c r="T15" s="42">
        <v>119148.66</v>
      </c>
      <c r="U15" s="129">
        <f t="shared" si="6"/>
        <v>0.481854877826127</v>
      </c>
      <c r="V15" s="42">
        <f t="shared" si="7"/>
        <v>236280.36</v>
      </c>
      <c r="W15" s="42">
        <f t="shared" si="8"/>
        <v>239306.9</v>
      </c>
      <c r="X15" s="129">
        <f t="shared" si="9"/>
        <v>0.012809105251067</v>
      </c>
      <c r="Y15" s="60">
        <v>82108.64</v>
      </c>
      <c r="Z15" s="60">
        <v>310195.38</v>
      </c>
      <c r="AA15" s="239">
        <f t="shared" si="10"/>
        <v>2.77786527702809</v>
      </c>
      <c r="AB15" s="60">
        <f t="shared" si="11"/>
        <v>318389</v>
      </c>
      <c r="AC15" s="60">
        <f t="shared" si="12"/>
        <v>549502.28</v>
      </c>
      <c r="AD15" s="239">
        <f t="shared" si="13"/>
        <v>0.725883369086244</v>
      </c>
      <c r="AE15" s="61">
        <v>209042.8</v>
      </c>
      <c r="AF15" s="235">
        <v>36281.12</v>
      </c>
      <c r="AG15" s="239">
        <f t="shared" si="14"/>
        <v>-0.826441666491264</v>
      </c>
      <c r="AH15" s="235">
        <f t="shared" si="15"/>
        <v>527431.8</v>
      </c>
      <c r="AI15" s="235">
        <f t="shared" si="16"/>
        <v>585783.4</v>
      </c>
      <c r="AJ15" s="239">
        <f t="shared" si="17"/>
        <v>0.110633450618639</v>
      </c>
      <c r="AK15" s="241">
        <v>78620.76</v>
      </c>
      <c r="AL15" s="241">
        <v>30684.4</v>
      </c>
      <c r="AM15" s="239">
        <f t="shared" si="18"/>
        <v>-0.609716314113473</v>
      </c>
      <c r="AN15" s="241">
        <f t="shared" si="19"/>
        <v>606052.56</v>
      </c>
      <c r="AO15" s="241">
        <f t="shared" si="20"/>
        <v>616467.8</v>
      </c>
      <c r="AP15" s="239">
        <f t="shared" si="21"/>
        <v>0.0171853741530272</v>
      </c>
      <c r="AQ15" s="241">
        <v>153937.2</v>
      </c>
      <c r="AR15" s="241">
        <v>271358.5</v>
      </c>
      <c r="AS15" s="239">
        <f t="shared" si="22"/>
        <v>0.762787032634087</v>
      </c>
      <c r="AT15" s="241">
        <f t="shared" si="23"/>
        <v>759989.76</v>
      </c>
      <c r="AU15" s="241">
        <f t="shared" si="24"/>
        <v>887826.3</v>
      </c>
      <c r="AV15" s="239">
        <f t="shared" si="25"/>
        <v>0.168208240068919</v>
      </c>
      <c r="AW15" s="69">
        <v>172756.46</v>
      </c>
      <c r="AX15" s="69">
        <v>91767.56</v>
      </c>
      <c r="AY15" s="239">
        <f t="shared" si="26"/>
        <v>-0.468803887275764</v>
      </c>
      <c r="AZ15" s="69">
        <f t="shared" si="27"/>
        <v>932746.22</v>
      </c>
      <c r="BA15" s="69">
        <f t="shared" si="28"/>
        <v>979593.86</v>
      </c>
      <c r="BB15" s="239">
        <f t="shared" si="29"/>
        <v>0.0502254943472193</v>
      </c>
      <c r="BC15" s="69">
        <v>226467.5</v>
      </c>
      <c r="BD15" s="70">
        <v>216712.16</v>
      </c>
      <c r="BE15" s="70">
        <v>164087.41</v>
      </c>
      <c r="BF15" s="70">
        <v>375150.88</v>
      </c>
      <c r="BG15" s="70">
        <v>1915164.17</v>
      </c>
      <c r="BH15" s="129" t="e">
        <f t="shared" si="30"/>
        <v>#DIV/0!</v>
      </c>
    </row>
    <row r="16" s="111" customFormat="1" hidden="1" spans="1:60">
      <c r="A16" s="137" t="s">
        <v>22</v>
      </c>
      <c r="B16" s="137" t="s">
        <v>22</v>
      </c>
      <c r="C16" s="223" t="s">
        <v>89</v>
      </c>
      <c r="D16" s="141" t="s">
        <v>87</v>
      </c>
      <c r="E16" s="197" t="s">
        <v>87</v>
      </c>
      <c r="F16" s="141" t="s">
        <v>75</v>
      </c>
      <c r="G16" s="141" t="s">
        <v>79</v>
      </c>
      <c r="H16" s="61" t="s">
        <v>80</v>
      </c>
      <c r="I16" s="235"/>
      <c r="J16" s="236"/>
      <c r="K16" s="236"/>
      <c r="L16" s="129" t="e">
        <f t="shared" si="0"/>
        <v>#DIV/0!</v>
      </c>
      <c r="M16" s="236"/>
      <c r="N16" s="236">
        <v>6125</v>
      </c>
      <c r="O16" s="129" t="e">
        <f t="shared" si="1"/>
        <v>#DIV/0!</v>
      </c>
      <c r="P16" s="236">
        <f t="shared" si="4"/>
        <v>0</v>
      </c>
      <c r="Q16" s="236">
        <f t="shared" si="5"/>
        <v>6125</v>
      </c>
      <c r="R16" s="129" t="e">
        <f t="shared" si="3"/>
        <v>#DIV/0!</v>
      </c>
      <c r="S16" s="42"/>
      <c r="T16" s="42"/>
      <c r="U16" s="129" t="e">
        <f t="shared" si="6"/>
        <v>#DIV/0!</v>
      </c>
      <c r="V16" s="42">
        <f t="shared" si="7"/>
        <v>0</v>
      </c>
      <c r="W16" s="42">
        <f t="shared" si="8"/>
        <v>6125</v>
      </c>
      <c r="X16" s="129" t="e">
        <f t="shared" si="9"/>
        <v>#DIV/0!</v>
      </c>
      <c r="Y16" s="60"/>
      <c r="Z16" s="60"/>
      <c r="AA16" s="239" t="e">
        <f t="shared" si="10"/>
        <v>#DIV/0!</v>
      </c>
      <c r="AB16" s="60">
        <f t="shared" si="11"/>
        <v>0</v>
      </c>
      <c r="AC16" s="60">
        <f t="shared" si="12"/>
        <v>6125</v>
      </c>
      <c r="AD16" s="239" t="e">
        <f t="shared" si="13"/>
        <v>#DIV/0!</v>
      </c>
      <c r="AE16" s="61">
        <v>3636</v>
      </c>
      <c r="AF16" s="235"/>
      <c r="AG16" s="239">
        <f t="shared" si="14"/>
        <v>-1</v>
      </c>
      <c r="AH16" s="235">
        <f t="shared" si="15"/>
        <v>3636</v>
      </c>
      <c r="AI16" s="235">
        <f t="shared" si="16"/>
        <v>6125</v>
      </c>
      <c r="AJ16" s="239">
        <f t="shared" si="17"/>
        <v>0.684543454345435</v>
      </c>
      <c r="AK16" s="241">
        <v>25759</v>
      </c>
      <c r="AL16" s="241"/>
      <c r="AM16" s="239">
        <f t="shared" si="18"/>
        <v>-1</v>
      </c>
      <c r="AN16" s="241">
        <f t="shared" si="19"/>
        <v>29395</v>
      </c>
      <c r="AO16" s="241">
        <f t="shared" si="20"/>
        <v>6125</v>
      </c>
      <c r="AP16" s="239">
        <f t="shared" si="21"/>
        <v>-0.791631229800987</v>
      </c>
      <c r="AQ16" s="241"/>
      <c r="AR16" s="241"/>
      <c r="AS16" s="239" t="e">
        <f t="shared" si="22"/>
        <v>#DIV/0!</v>
      </c>
      <c r="AT16" s="241">
        <f t="shared" si="23"/>
        <v>29395</v>
      </c>
      <c r="AU16" s="241">
        <f t="shared" si="24"/>
        <v>6125</v>
      </c>
      <c r="AV16" s="239">
        <f t="shared" si="25"/>
        <v>-0.791631229800987</v>
      </c>
      <c r="AW16" s="69">
        <v>2400</v>
      </c>
      <c r="AX16" s="69"/>
      <c r="AY16" s="239">
        <f t="shared" si="26"/>
        <v>-1</v>
      </c>
      <c r="AZ16" s="69">
        <f t="shared" si="27"/>
        <v>31795</v>
      </c>
      <c r="BA16" s="69">
        <f t="shared" si="28"/>
        <v>6125</v>
      </c>
      <c r="BB16" s="239">
        <f t="shared" si="29"/>
        <v>-0.807359647743356</v>
      </c>
      <c r="BC16" s="69">
        <v>29589</v>
      </c>
      <c r="BD16" s="70"/>
      <c r="BE16" s="70"/>
      <c r="BF16" s="70"/>
      <c r="BG16" s="70">
        <v>61384</v>
      </c>
      <c r="BH16" s="129" t="e">
        <f t="shared" si="30"/>
        <v>#DIV/0!</v>
      </c>
    </row>
    <row r="17" s="110" customFormat="1" spans="1:60">
      <c r="A17" s="137" t="s">
        <v>22</v>
      </c>
      <c r="B17" s="137" t="s">
        <v>22</v>
      </c>
      <c r="C17" s="202" t="s">
        <v>90</v>
      </c>
      <c r="D17" s="197" t="s">
        <v>83</v>
      </c>
      <c r="E17" s="197" t="s">
        <v>83</v>
      </c>
      <c r="F17" s="141" t="s">
        <v>56</v>
      </c>
      <c r="G17" s="197" t="s">
        <v>56</v>
      </c>
      <c r="H17" s="61" t="s">
        <v>84</v>
      </c>
      <c r="I17" s="235"/>
      <c r="J17" s="236">
        <v>52801</v>
      </c>
      <c r="K17" s="236"/>
      <c r="L17" s="129">
        <f t="shared" ref="L17:L43" si="31">K17/J17-1</f>
        <v>-1</v>
      </c>
      <c r="M17" s="236"/>
      <c r="N17" s="236"/>
      <c r="O17" s="129" t="e">
        <f t="shared" si="1"/>
        <v>#DIV/0!</v>
      </c>
      <c r="P17" s="236">
        <f t="shared" si="4"/>
        <v>52801</v>
      </c>
      <c r="Q17" s="236">
        <f t="shared" si="5"/>
        <v>0</v>
      </c>
      <c r="R17" s="129">
        <f t="shared" si="3"/>
        <v>-1</v>
      </c>
      <c r="S17" s="42"/>
      <c r="T17" s="42"/>
      <c r="U17" s="129" t="e">
        <f t="shared" si="6"/>
        <v>#DIV/0!</v>
      </c>
      <c r="V17" s="42">
        <f t="shared" si="7"/>
        <v>52801</v>
      </c>
      <c r="W17" s="42">
        <f t="shared" si="8"/>
        <v>0</v>
      </c>
      <c r="X17" s="129">
        <f t="shared" si="9"/>
        <v>-1</v>
      </c>
      <c r="Y17" s="60"/>
      <c r="Z17" s="60"/>
      <c r="AA17" s="239" t="e">
        <f t="shared" si="10"/>
        <v>#DIV/0!</v>
      </c>
      <c r="AB17" s="60">
        <f t="shared" si="11"/>
        <v>52801</v>
      </c>
      <c r="AC17" s="60">
        <f t="shared" si="12"/>
        <v>0</v>
      </c>
      <c r="AD17" s="239">
        <f t="shared" si="13"/>
        <v>-1</v>
      </c>
      <c r="AE17" s="61"/>
      <c r="AF17" s="235"/>
      <c r="AG17" s="239" t="e">
        <f t="shared" si="14"/>
        <v>#DIV/0!</v>
      </c>
      <c r="AH17" s="235">
        <f t="shared" si="15"/>
        <v>52801</v>
      </c>
      <c r="AI17" s="235">
        <f t="shared" si="16"/>
        <v>0</v>
      </c>
      <c r="AJ17" s="239">
        <f t="shared" si="17"/>
        <v>-1</v>
      </c>
      <c r="AK17" s="241"/>
      <c r="AL17" s="241"/>
      <c r="AM17" s="239" t="e">
        <f t="shared" si="18"/>
        <v>#DIV/0!</v>
      </c>
      <c r="AN17" s="241">
        <f t="shared" si="19"/>
        <v>52801</v>
      </c>
      <c r="AO17" s="241">
        <f t="shared" si="20"/>
        <v>0</v>
      </c>
      <c r="AP17" s="239">
        <f t="shared" si="21"/>
        <v>-1</v>
      </c>
      <c r="AQ17" s="241"/>
      <c r="AR17" s="241"/>
      <c r="AS17" s="239" t="e">
        <f t="shared" si="22"/>
        <v>#DIV/0!</v>
      </c>
      <c r="AT17" s="241">
        <f t="shared" si="23"/>
        <v>52801</v>
      </c>
      <c r="AU17" s="241">
        <f t="shared" si="24"/>
        <v>0</v>
      </c>
      <c r="AV17" s="239">
        <f t="shared" si="25"/>
        <v>-1</v>
      </c>
      <c r="AW17" s="69"/>
      <c r="AX17" s="69"/>
      <c r="AY17" s="239" t="e">
        <f t="shared" si="26"/>
        <v>#DIV/0!</v>
      </c>
      <c r="AZ17" s="69">
        <f t="shared" si="27"/>
        <v>52801</v>
      </c>
      <c r="BA17" s="69">
        <f t="shared" si="28"/>
        <v>0</v>
      </c>
      <c r="BB17" s="239">
        <f t="shared" si="29"/>
        <v>-1</v>
      </c>
      <c r="BC17" s="69"/>
      <c r="BD17" s="70"/>
      <c r="BE17" s="70"/>
      <c r="BF17" s="70"/>
      <c r="BG17" s="70">
        <v>52801</v>
      </c>
      <c r="BH17" s="129" t="e">
        <f t="shared" si="30"/>
        <v>#DIV/0!</v>
      </c>
    </row>
    <row r="18" s="110" customFormat="1" spans="1:60">
      <c r="A18" s="137" t="s">
        <v>22</v>
      </c>
      <c r="B18" s="137" t="s">
        <v>22</v>
      </c>
      <c r="C18" s="224" t="s">
        <v>91</v>
      </c>
      <c r="D18" s="197" t="s">
        <v>83</v>
      </c>
      <c r="E18" s="197" t="s">
        <v>83</v>
      </c>
      <c r="F18" s="141" t="s">
        <v>75</v>
      </c>
      <c r="G18" s="197" t="s">
        <v>92</v>
      </c>
      <c r="H18" s="61" t="s">
        <v>84</v>
      </c>
      <c r="I18" s="235"/>
      <c r="J18" s="236">
        <v>-16596</v>
      </c>
      <c r="K18" s="236"/>
      <c r="L18" s="129">
        <f t="shared" si="31"/>
        <v>-1</v>
      </c>
      <c r="M18" s="236"/>
      <c r="N18" s="236"/>
      <c r="O18" s="129" t="e">
        <f t="shared" si="1"/>
        <v>#DIV/0!</v>
      </c>
      <c r="P18" s="236">
        <f t="shared" si="4"/>
        <v>-16596</v>
      </c>
      <c r="Q18" s="236">
        <f t="shared" si="5"/>
        <v>0</v>
      </c>
      <c r="R18" s="129">
        <f t="shared" si="3"/>
        <v>-1</v>
      </c>
      <c r="S18" s="42"/>
      <c r="T18" s="42"/>
      <c r="U18" s="129" t="e">
        <f t="shared" si="6"/>
        <v>#DIV/0!</v>
      </c>
      <c r="V18" s="42">
        <f t="shared" si="7"/>
        <v>-16596</v>
      </c>
      <c r="W18" s="42">
        <f t="shared" si="8"/>
        <v>0</v>
      </c>
      <c r="X18" s="129">
        <f t="shared" si="9"/>
        <v>-1</v>
      </c>
      <c r="Y18" s="60"/>
      <c r="Z18" s="60"/>
      <c r="AA18" s="239" t="e">
        <f t="shared" si="10"/>
        <v>#DIV/0!</v>
      </c>
      <c r="AB18" s="60">
        <f t="shared" si="11"/>
        <v>-16596</v>
      </c>
      <c r="AC18" s="60">
        <f t="shared" si="12"/>
        <v>0</v>
      </c>
      <c r="AD18" s="239">
        <f t="shared" si="13"/>
        <v>-1</v>
      </c>
      <c r="AE18" s="61"/>
      <c r="AF18" s="235"/>
      <c r="AG18" s="239" t="e">
        <f t="shared" si="14"/>
        <v>#DIV/0!</v>
      </c>
      <c r="AH18" s="235">
        <f t="shared" si="15"/>
        <v>-16596</v>
      </c>
      <c r="AI18" s="235">
        <f t="shared" si="16"/>
        <v>0</v>
      </c>
      <c r="AJ18" s="239">
        <f t="shared" si="17"/>
        <v>-1</v>
      </c>
      <c r="AK18" s="241"/>
      <c r="AL18" s="241"/>
      <c r="AM18" s="239" t="e">
        <f t="shared" si="18"/>
        <v>#DIV/0!</v>
      </c>
      <c r="AN18" s="241">
        <f t="shared" si="19"/>
        <v>-16596</v>
      </c>
      <c r="AO18" s="241">
        <f t="shared" si="20"/>
        <v>0</v>
      </c>
      <c r="AP18" s="239">
        <f t="shared" si="21"/>
        <v>-1</v>
      </c>
      <c r="AQ18" s="241">
        <v>500</v>
      </c>
      <c r="AR18" s="241"/>
      <c r="AS18" s="239">
        <f t="shared" si="22"/>
        <v>-1</v>
      </c>
      <c r="AT18" s="241">
        <f t="shared" si="23"/>
        <v>-16096</v>
      </c>
      <c r="AU18" s="241">
        <f t="shared" si="24"/>
        <v>0</v>
      </c>
      <c r="AV18" s="239">
        <f t="shared" si="25"/>
        <v>-1</v>
      </c>
      <c r="AW18" s="69"/>
      <c r="AX18" s="69"/>
      <c r="AY18" s="239" t="e">
        <f t="shared" si="26"/>
        <v>#DIV/0!</v>
      </c>
      <c r="AZ18" s="69">
        <f t="shared" si="27"/>
        <v>-16096</v>
      </c>
      <c r="BA18" s="69">
        <f t="shared" si="28"/>
        <v>0</v>
      </c>
      <c r="BB18" s="239">
        <f t="shared" si="29"/>
        <v>-1</v>
      </c>
      <c r="BC18" s="69"/>
      <c r="BD18" s="70"/>
      <c r="BE18" s="70">
        <v>-4600</v>
      </c>
      <c r="BF18" s="70"/>
      <c r="BG18" s="70">
        <v>-20696</v>
      </c>
      <c r="BH18" s="129" t="e">
        <f t="shared" si="30"/>
        <v>#DIV/0!</v>
      </c>
    </row>
    <row r="19" s="110" customFormat="1" spans="1:60">
      <c r="A19" s="137" t="s">
        <v>22</v>
      </c>
      <c r="B19" s="137" t="s">
        <v>22</v>
      </c>
      <c r="C19" s="224" t="s">
        <v>93</v>
      </c>
      <c r="D19" s="197" t="s">
        <v>83</v>
      </c>
      <c r="E19" s="197" t="s">
        <v>83</v>
      </c>
      <c r="F19" s="141" t="s">
        <v>75</v>
      </c>
      <c r="G19" s="197" t="s">
        <v>79</v>
      </c>
      <c r="H19" s="61" t="s">
        <v>84</v>
      </c>
      <c r="I19" s="235"/>
      <c r="J19" s="236"/>
      <c r="K19" s="236"/>
      <c r="L19" s="129" t="e">
        <f t="shared" si="31"/>
        <v>#DIV/0!</v>
      </c>
      <c r="M19" s="236">
        <v>-3358</v>
      </c>
      <c r="N19" s="236"/>
      <c r="O19" s="129">
        <f t="shared" si="1"/>
        <v>-1</v>
      </c>
      <c r="P19" s="236">
        <f t="shared" si="4"/>
        <v>-3358</v>
      </c>
      <c r="Q19" s="236">
        <f t="shared" si="5"/>
        <v>0</v>
      </c>
      <c r="R19" s="129">
        <f t="shared" si="3"/>
        <v>-1</v>
      </c>
      <c r="S19" s="42"/>
      <c r="T19" s="42"/>
      <c r="U19" s="129" t="e">
        <f t="shared" si="6"/>
        <v>#DIV/0!</v>
      </c>
      <c r="V19" s="42">
        <f t="shared" si="7"/>
        <v>-3358</v>
      </c>
      <c r="W19" s="42">
        <f t="shared" si="8"/>
        <v>0</v>
      </c>
      <c r="X19" s="129">
        <f t="shared" si="9"/>
        <v>-1</v>
      </c>
      <c r="Y19" s="60"/>
      <c r="Z19" s="60"/>
      <c r="AA19" s="239" t="e">
        <f t="shared" si="10"/>
        <v>#DIV/0!</v>
      </c>
      <c r="AB19" s="60">
        <f t="shared" si="11"/>
        <v>-3358</v>
      </c>
      <c r="AC19" s="60">
        <f t="shared" si="12"/>
        <v>0</v>
      </c>
      <c r="AD19" s="239">
        <f t="shared" si="13"/>
        <v>-1</v>
      </c>
      <c r="AE19" s="61"/>
      <c r="AF19" s="235"/>
      <c r="AG19" s="239" t="e">
        <f t="shared" si="14"/>
        <v>#DIV/0!</v>
      </c>
      <c r="AH19" s="235">
        <f t="shared" si="15"/>
        <v>-3358</v>
      </c>
      <c r="AI19" s="235">
        <f t="shared" si="16"/>
        <v>0</v>
      </c>
      <c r="AJ19" s="239">
        <f t="shared" si="17"/>
        <v>-1</v>
      </c>
      <c r="AK19" s="241"/>
      <c r="AL19" s="241"/>
      <c r="AM19" s="239" t="e">
        <f t="shared" si="18"/>
        <v>#DIV/0!</v>
      </c>
      <c r="AN19" s="241">
        <f t="shared" si="19"/>
        <v>-3358</v>
      </c>
      <c r="AO19" s="241">
        <f t="shared" si="20"/>
        <v>0</v>
      </c>
      <c r="AP19" s="239">
        <f t="shared" si="21"/>
        <v>-1</v>
      </c>
      <c r="AQ19" s="241"/>
      <c r="AR19" s="241"/>
      <c r="AS19" s="239" t="e">
        <f t="shared" si="22"/>
        <v>#DIV/0!</v>
      </c>
      <c r="AT19" s="241">
        <f t="shared" si="23"/>
        <v>-3358</v>
      </c>
      <c r="AU19" s="241">
        <f t="shared" si="24"/>
        <v>0</v>
      </c>
      <c r="AV19" s="239">
        <f t="shared" si="25"/>
        <v>-1</v>
      </c>
      <c r="AW19" s="69"/>
      <c r="AX19" s="69"/>
      <c r="AY19" s="239" t="e">
        <f t="shared" si="26"/>
        <v>#DIV/0!</v>
      </c>
      <c r="AZ19" s="69">
        <f t="shared" si="27"/>
        <v>-3358</v>
      </c>
      <c r="BA19" s="69">
        <f t="shared" si="28"/>
        <v>0</v>
      </c>
      <c r="BB19" s="239">
        <f t="shared" si="29"/>
        <v>-1</v>
      </c>
      <c r="BC19" s="69"/>
      <c r="BD19" s="70"/>
      <c r="BE19" s="70"/>
      <c r="BF19" s="70"/>
      <c r="BG19" s="70">
        <v>-3358</v>
      </c>
      <c r="BH19" s="129" t="e">
        <f t="shared" si="30"/>
        <v>#DIV/0!</v>
      </c>
    </row>
    <row r="20" s="110" customFormat="1" spans="1:60">
      <c r="A20" s="137" t="s">
        <v>22</v>
      </c>
      <c r="B20" s="137" t="s">
        <v>22</v>
      </c>
      <c r="C20" s="224" t="s">
        <v>94</v>
      </c>
      <c r="D20" s="197" t="s">
        <v>83</v>
      </c>
      <c r="E20" s="197" t="s">
        <v>83</v>
      </c>
      <c r="F20" s="141" t="s">
        <v>75</v>
      </c>
      <c r="G20" s="225" t="s">
        <v>95</v>
      </c>
      <c r="H20" s="61" t="s">
        <v>84</v>
      </c>
      <c r="I20" s="235"/>
      <c r="J20" s="236"/>
      <c r="K20" s="236"/>
      <c r="L20" s="129" t="e">
        <f t="shared" si="31"/>
        <v>#DIV/0!</v>
      </c>
      <c r="M20" s="236"/>
      <c r="N20" s="236"/>
      <c r="O20" s="129" t="e">
        <f t="shared" si="1"/>
        <v>#DIV/0!</v>
      </c>
      <c r="P20" s="236">
        <f t="shared" si="4"/>
        <v>0</v>
      </c>
      <c r="Q20" s="236">
        <f t="shared" si="5"/>
        <v>0</v>
      </c>
      <c r="R20" s="129" t="e">
        <f t="shared" si="3"/>
        <v>#DIV/0!</v>
      </c>
      <c r="S20" s="42"/>
      <c r="T20" s="42"/>
      <c r="U20" s="129" t="e">
        <f t="shared" si="6"/>
        <v>#DIV/0!</v>
      </c>
      <c r="V20" s="42">
        <f t="shared" si="7"/>
        <v>0</v>
      </c>
      <c r="W20" s="42">
        <f t="shared" si="8"/>
        <v>0</v>
      </c>
      <c r="X20" s="129" t="e">
        <f t="shared" si="9"/>
        <v>#DIV/0!</v>
      </c>
      <c r="Y20" s="60"/>
      <c r="Z20" s="60"/>
      <c r="AA20" s="239" t="e">
        <f t="shared" si="10"/>
        <v>#DIV/0!</v>
      </c>
      <c r="AB20" s="60">
        <f t="shared" si="11"/>
        <v>0</v>
      </c>
      <c r="AC20" s="60">
        <f t="shared" si="12"/>
        <v>0</v>
      </c>
      <c r="AD20" s="239" t="e">
        <f t="shared" si="13"/>
        <v>#DIV/0!</v>
      </c>
      <c r="AE20" s="61"/>
      <c r="AF20" s="235"/>
      <c r="AG20" s="239" t="e">
        <f t="shared" si="14"/>
        <v>#DIV/0!</v>
      </c>
      <c r="AH20" s="235">
        <f t="shared" si="15"/>
        <v>0</v>
      </c>
      <c r="AI20" s="235">
        <f t="shared" si="16"/>
        <v>0</v>
      </c>
      <c r="AJ20" s="239" t="e">
        <f t="shared" si="17"/>
        <v>#DIV/0!</v>
      </c>
      <c r="AK20" s="241"/>
      <c r="AL20" s="241"/>
      <c r="AM20" s="239" t="e">
        <f t="shared" si="18"/>
        <v>#DIV/0!</v>
      </c>
      <c r="AN20" s="241">
        <f t="shared" si="19"/>
        <v>0</v>
      </c>
      <c r="AO20" s="241">
        <f t="shared" si="20"/>
        <v>0</v>
      </c>
      <c r="AP20" s="239" t="e">
        <f t="shared" si="21"/>
        <v>#DIV/0!</v>
      </c>
      <c r="AQ20" s="241"/>
      <c r="AR20" s="241"/>
      <c r="AS20" s="239" t="e">
        <f t="shared" si="22"/>
        <v>#DIV/0!</v>
      </c>
      <c r="AT20" s="241">
        <f t="shared" si="23"/>
        <v>0</v>
      </c>
      <c r="AU20" s="241">
        <f t="shared" si="24"/>
        <v>0</v>
      </c>
      <c r="AV20" s="239" t="e">
        <f t="shared" si="25"/>
        <v>#DIV/0!</v>
      </c>
      <c r="AW20" s="69"/>
      <c r="AX20" s="69"/>
      <c r="AY20" s="239" t="e">
        <f t="shared" si="26"/>
        <v>#DIV/0!</v>
      </c>
      <c r="AZ20" s="69">
        <f t="shared" si="27"/>
        <v>0</v>
      </c>
      <c r="BA20" s="69">
        <f t="shared" si="28"/>
        <v>0</v>
      </c>
      <c r="BB20" s="239" t="e">
        <f t="shared" si="29"/>
        <v>#DIV/0!</v>
      </c>
      <c r="BC20" s="69"/>
      <c r="BD20" s="70"/>
      <c r="BE20" s="70"/>
      <c r="BF20" s="70"/>
      <c r="BG20" s="70">
        <v>0</v>
      </c>
      <c r="BH20" s="129" t="e">
        <f t="shared" si="30"/>
        <v>#DIV/0!</v>
      </c>
    </row>
    <row r="21" s="110" customFormat="1" spans="1:60">
      <c r="A21" s="137" t="s">
        <v>22</v>
      </c>
      <c r="B21" s="137" t="s">
        <v>22</v>
      </c>
      <c r="C21" s="224" t="s">
        <v>96</v>
      </c>
      <c r="D21" s="197" t="s">
        <v>83</v>
      </c>
      <c r="E21" s="197" t="s">
        <v>83</v>
      </c>
      <c r="F21" s="141" t="s">
        <v>75</v>
      </c>
      <c r="G21" s="197" t="s">
        <v>76</v>
      </c>
      <c r="H21" s="61" t="s">
        <v>84</v>
      </c>
      <c r="I21" s="235">
        <v>230</v>
      </c>
      <c r="J21" s="236">
        <v>164507</v>
      </c>
      <c r="K21" s="236">
        <v>108230.5</v>
      </c>
      <c r="L21" s="129">
        <f t="shared" si="31"/>
        <v>-0.34209182587975</v>
      </c>
      <c r="M21" s="236">
        <v>107411</v>
      </c>
      <c r="N21" s="236">
        <v>59256.4</v>
      </c>
      <c r="O21" s="129">
        <f t="shared" si="1"/>
        <v>-0.448320935472158</v>
      </c>
      <c r="P21" s="236">
        <f t="shared" si="4"/>
        <v>271918</v>
      </c>
      <c r="Q21" s="236">
        <f t="shared" si="5"/>
        <v>167486.9</v>
      </c>
      <c r="R21" s="129">
        <f t="shared" si="3"/>
        <v>-0.384053648526394</v>
      </c>
      <c r="S21" s="42">
        <v>318901</v>
      </c>
      <c r="T21" s="42">
        <v>109309.1</v>
      </c>
      <c r="U21" s="129">
        <f t="shared" si="6"/>
        <v>-0.65723186819734</v>
      </c>
      <c r="V21" s="42">
        <f t="shared" si="7"/>
        <v>590819</v>
      </c>
      <c r="W21" s="42">
        <f t="shared" si="8"/>
        <v>276796</v>
      </c>
      <c r="X21" s="129">
        <f t="shared" si="9"/>
        <v>-0.531504572466356</v>
      </c>
      <c r="Y21" s="60">
        <v>286782</v>
      </c>
      <c r="Z21" s="60">
        <v>130231</v>
      </c>
      <c r="AA21" s="239">
        <f t="shared" si="10"/>
        <v>-0.545888514620862</v>
      </c>
      <c r="AB21" s="60">
        <f t="shared" si="11"/>
        <v>877601</v>
      </c>
      <c r="AC21" s="60">
        <f t="shared" si="12"/>
        <v>407027</v>
      </c>
      <c r="AD21" s="239">
        <f t="shared" si="13"/>
        <v>-0.536204949629729</v>
      </c>
      <c r="AE21" s="61">
        <v>277032</v>
      </c>
      <c r="AF21" s="235">
        <v>123067.1</v>
      </c>
      <c r="AG21" s="239">
        <f t="shared" si="14"/>
        <v>-0.555765759912212</v>
      </c>
      <c r="AH21" s="235">
        <f t="shared" si="15"/>
        <v>1154633</v>
      </c>
      <c r="AI21" s="235">
        <f t="shared" si="16"/>
        <v>530094.1</v>
      </c>
      <c r="AJ21" s="239">
        <f t="shared" si="17"/>
        <v>-0.540898190160856</v>
      </c>
      <c r="AK21" s="241">
        <v>219679</v>
      </c>
      <c r="AL21" s="241">
        <v>158341.8</v>
      </c>
      <c r="AM21" s="239">
        <f t="shared" si="18"/>
        <v>-0.279212851478749</v>
      </c>
      <c r="AN21" s="241">
        <f t="shared" si="19"/>
        <v>1374312</v>
      </c>
      <c r="AO21" s="241">
        <f t="shared" si="20"/>
        <v>688435.9</v>
      </c>
      <c r="AP21" s="239">
        <f t="shared" si="21"/>
        <v>-0.499068697646532</v>
      </c>
      <c r="AQ21" s="241">
        <v>159081</v>
      </c>
      <c r="AR21" s="241">
        <v>49102</v>
      </c>
      <c r="AS21" s="239">
        <f t="shared" si="22"/>
        <v>-0.691339632011365</v>
      </c>
      <c r="AT21" s="241">
        <f t="shared" si="23"/>
        <v>1533393</v>
      </c>
      <c r="AU21" s="241">
        <f t="shared" si="24"/>
        <v>737537.9</v>
      </c>
      <c r="AV21" s="239">
        <f t="shared" si="25"/>
        <v>-0.519015738300618</v>
      </c>
      <c r="AW21" s="69">
        <v>201109</v>
      </c>
      <c r="AX21" s="69">
        <f>31899-3470</f>
        <v>28429</v>
      </c>
      <c r="AY21" s="239">
        <f t="shared" si="26"/>
        <v>-0.858638847590113</v>
      </c>
      <c r="AZ21" s="69">
        <f t="shared" si="27"/>
        <v>1734502</v>
      </c>
      <c r="BA21" s="69">
        <f t="shared" si="28"/>
        <v>765966.9</v>
      </c>
      <c r="BB21" s="239">
        <f t="shared" si="29"/>
        <v>-0.558393763743138</v>
      </c>
      <c r="BC21" s="69">
        <v>242762.6</v>
      </c>
      <c r="BD21" s="70">
        <v>349831.4</v>
      </c>
      <c r="BE21" s="70">
        <v>127945.5</v>
      </c>
      <c r="BF21" s="70">
        <v>212464</v>
      </c>
      <c r="BG21" s="70">
        <v>2667505.5</v>
      </c>
      <c r="BH21" s="129">
        <f t="shared" si="30"/>
        <v>0.333029086956522</v>
      </c>
    </row>
    <row r="22" s="110" customFormat="1" spans="1:60">
      <c r="A22" s="137" t="s">
        <v>22</v>
      </c>
      <c r="B22" s="137" t="s">
        <v>22</v>
      </c>
      <c r="C22" s="224" t="s">
        <v>97</v>
      </c>
      <c r="D22" s="197" t="s">
        <v>64</v>
      </c>
      <c r="E22" s="197" t="s">
        <v>64</v>
      </c>
      <c r="F22" s="141" t="s">
        <v>75</v>
      </c>
      <c r="G22" s="197" t="s">
        <v>95</v>
      </c>
      <c r="H22" s="61" t="s">
        <v>84</v>
      </c>
      <c r="I22" s="235"/>
      <c r="J22" s="236">
        <v>78855</v>
      </c>
      <c r="K22" s="236">
        <v>24931</v>
      </c>
      <c r="L22" s="129">
        <f t="shared" si="31"/>
        <v>-0.683837423118382</v>
      </c>
      <c r="M22" s="236">
        <v>39609</v>
      </c>
      <c r="N22" s="236">
        <f>16033+14550</f>
        <v>30583</v>
      </c>
      <c r="O22" s="129">
        <f t="shared" si="1"/>
        <v>-0.227877502587796</v>
      </c>
      <c r="P22" s="236">
        <f t="shared" si="4"/>
        <v>118464</v>
      </c>
      <c r="Q22" s="236">
        <f t="shared" si="5"/>
        <v>55514</v>
      </c>
      <c r="R22" s="129">
        <f t="shared" si="3"/>
        <v>-0.531385062128579</v>
      </c>
      <c r="S22" s="42">
        <v>40486</v>
      </c>
      <c r="T22" s="42">
        <v>10700</v>
      </c>
      <c r="U22" s="129">
        <f t="shared" si="6"/>
        <v>-0.735711110013338</v>
      </c>
      <c r="V22" s="42">
        <f t="shared" si="7"/>
        <v>158950</v>
      </c>
      <c r="W22" s="42">
        <f t="shared" si="8"/>
        <v>66214</v>
      </c>
      <c r="X22" s="129">
        <f t="shared" si="9"/>
        <v>-0.583428751179616</v>
      </c>
      <c r="Y22" s="60">
        <v>45990</v>
      </c>
      <c r="Z22" s="60"/>
      <c r="AA22" s="239">
        <f t="shared" si="10"/>
        <v>-1</v>
      </c>
      <c r="AB22" s="60">
        <f t="shared" si="11"/>
        <v>204940</v>
      </c>
      <c r="AC22" s="60">
        <f t="shared" si="12"/>
        <v>66214</v>
      </c>
      <c r="AD22" s="239">
        <f t="shared" si="13"/>
        <v>-0.676910315214209</v>
      </c>
      <c r="AE22" s="61">
        <v>26265</v>
      </c>
      <c r="AF22" s="235">
        <v>-3281.96</v>
      </c>
      <c r="AG22" s="239">
        <f t="shared" si="14"/>
        <v>-1.12495564439368</v>
      </c>
      <c r="AH22" s="235">
        <f t="shared" si="15"/>
        <v>231205</v>
      </c>
      <c r="AI22" s="235">
        <f t="shared" si="16"/>
        <v>62932.04</v>
      </c>
      <c r="AJ22" s="239">
        <f t="shared" si="17"/>
        <v>-0.727808481650483</v>
      </c>
      <c r="AK22" s="241">
        <v>67133</v>
      </c>
      <c r="AL22" s="241"/>
      <c r="AM22" s="239">
        <f t="shared" si="18"/>
        <v>-1</v>
      </c>
      <c r="AN22" s="241">
        <f t="shared" si="19"/>
        <v>298338</v>
      </c>
      <c r="AO22" s="241">
        <f t="shared" si="20"/>
        <v>62932.04</v>
      </c>
      <c r="AP22" s="239">
        <f t="shared" si="21"/>
        <v>-0.789057914177879</v>
      </c>
      <c r="AQ22" s="241">
        <v>58226</v>
      </c>
      <c r="AR22" s="241"/>
      <c r="AS22" s="239">
        <f t="shared" si="22"/>
        <v>-1</v>
      </c>
      <c r="AT22" s="241">
        <f t="shared" si="23"/>
        <v>356564</v>
      </c>
      <c r="AU22" s="241">
        <f t="shared" si="24"/>
        <v>62932.04</v>
      </c>
      <c r="AV22" s="239">
        <f t="shared" si="25"/>
        <v>-0.823504223645685</v>
      </c>
      <c r="AW22" s="69">
        <v>24848</v>
      </c>
      <c r="AX22" s="69"/>
      <c r="AY22" s="239">
        <f t="shared" si="26"/>
        <v>-1</v>
      </c>
      <c r="AZ22" s="69">
        <f t="shared" si="27"/>
        <v>381412</v>
      </c>
      <c r="BA22" s="69">
        <f t="shared" si="28"/>
        <v>62932.04</v>
      </c>
      <c r="BB22" s="239">
        <f t="shared" si="29"/>
        <v>-0.835002464526549</v>
      </c>
      <c r="BC22" s="69">
        <v>34493</v>
      </c>
      <c r="BD22" s="70">
        <v>20231</v>
      </c>
      <c r="BE22" s="70">
        <v>24237</v>
      </c>
      <c r="BF22" s="70">
        <v>103577</v>
      </c>
      <c r="BG22" s="70">
        <v>563950</v>
      </c>
      <c r="BH22" s="129" t="e">
        <f t="shared" si="30"/>
        <v>#DIV/0!</v>
      </c>
    </row>
    <row r="23" s="111" customFormat="1" spans="1:60">
      <c r="A23" s="116" t="s">
        <v>22</v>
      </c>
      <c r="B23" s="116" t="s">
        <v>22</v>
      </c>
      <c r="C23" s="223" t="s">
        <v>98</v>
      </c>
      <c r="D23" s="141" t="s">
        <v>83</v>
      </c>
      <c r="E23" s="141" t="s">
        <v>83</v>
      </c>
      <c r="F23" s="141" t="s">
        <v>75</v>
      </c>
      <c r="G23" s="141" t="s">
        <v>99</v>
      </c>
      <c r="H23" s="60" t="s">
        <v>84</v>
      </c>
      <c r="I23" s="235">
        <v>280</v>
      </c>
      <c r="J23" s="238">
        <v>155330</v>
      </c>
      <c r="K23" s="236">
        <v>156262</v>
      </c>
      <c r="L23" s="129">
        <f t="shared" si="31"/>
        <v>0.00600012875812794</v>
      </c>
      <c r="M23" s="238">
        <v>84728</v>
      </c>
      <c r="N23" s="236">
        <v>143497</v>
      </c>
      <c r="O23" s="129">
        <f t="shared" si="1"/>
        <v>0.693619582664526</v>
      </c>
      <c r="P23" s="236">
        <f t="shared" si="4"/>
        <v>240058</v>
      </c>
      <c r="Q23" s="236">
        <f t="shared" si="5"/>
        <v>299759</v>
      </c>
      <c r="R23" s="129">
        <f t="shared" si="3"/>
        <v>0.248694065600813</v>
      </c>
      <c r="S23" s="133">
        <v>296842</v>
      </c>
      <c r="T23" s="42">
        <v>199854.6</v>
      </c>
      <c r="U23" s="129">
        <f t="shared" si="6"/>
        <v>-0.326730718698836</v>
      </c>
      <c r="V23" s="42">
        <f t="shared" si="7"/>
        <v>536900</v>
      </c>
      <c r="W23" s="42">
        <f t="shared" si="8"/>
        <v>499613.6</v>
      </c>
      <c r="X23" s="129">
        <f t="shared" si="9"/>
        <v>-0.0694475693797728</v>
      </c>
      <c r="Y23" s="60">
        <v>180500</v>
      </c>
      <c r="Z23" s="60">
        <v>131199.7</v>
      </c>
      <c r="AA23" s="239">
        <f t="shared" si="10"/>
        <v>-0.273131855955679</v>
      </c>
      <c r="AB23" s="60">
        <f t="shared" si="11"/>
        <v>717400</v>
      </c>
      <c r="AC23" s="60">
        <f t="shared" si="12"/>
        <v>630813.3</v>
      </c>
      <c r="AD23" s="239">
        <f t="shared" si="13"/>
        <v>-0.120695149149707</v>
      </c>
      <c r="AE23" s="60">
        <v>190972</v>
      </c>
      <c r="AF23" s="235">
        <v>160705</v>
      </c>
      <c r="AG23" s="239">
        <f t="shared" si="14"/>
        <v>-0.158489202605618</v>
      </c>
      <c r="AH23" s="235">
        <f t="shared" si="15"/>
        <v>908372</v>
      </c>
      <c r="AI23" s="235">
        <f t="shared" si="16"/>
        <v>791518.3</v>
      </c>
      <c r="AJ23" s="239">
        <f t="shared" si="17"/>
        <v>-0.128640799143963</v>
      </c>
      <c r="AK23" s="241">
        <v>207825</v>
      </c>
      <c r="AL23" s="241">
        <v>164883</v>
      </c>
      <c r="AM23" s="239">
        <f t="shared" si="18"/>
        <v>-0.206625766871166</v>
      </c>
      <c r="AN23" s="241">
        <f t="shared" si="19"/>
        <v>1116197</v>
      </c>
      <c r="AO23" s="241">
        <f t="shared" si="20"/>
        <v>956401.3</v>
      </c>
      <c r="AP23" s="239">
        <f t="shared" si="21"/>
        <v>-0.143160839887583</v>
      </c>
      <c r="AQ23" s="241">
        <v>114990</v>
      </c>
      <c r="AR23" s="241">
        <v>50432</v>
      </c>
      <c r="AS23" s="239">
        <f t="shared" si="22"/>
        <v>-0.561422732411514</v>
      </c>
      <c r="AT23" s="241">
        <f t="shared" si="23"/>
        <v>1231187</v>
      </c>
      <c r="AU23" s="241">
        <f t="shared" si="24"/>
        <v>1006833.3</v>
      </c>
      <c r="AV23" s="239">
        <f t="shared" si="25"/>
        <v>-0.182225527072654</v>
      </c>
      <c r="AW23" s="69">
        <v>62417</v>
      </c>
      <c r="AX23" s="69">
        <v>52672</v>
      </c>
      <c r="AY23" s="239">
        <f t="shared" si="26"/>
        <v>-0.156127337103674</v>
      </c>
      <c r="AZ23" s="69">
        <f t="shared" si="27"/>
        <v>1293604</v>
      </c>
      <c r="BA23" s="69">
        <f t="shared" si="28"/>
        <v>1059505.3</v>
      </c>
      <c r="BB23" s="239">
        <f t="shared" si="29"/>
        <v>-0.180966277160553</v>
      </c>
      <c r="BC23" s="243">
        <v>213083</v>
      </c>
      <c r="BD23" s="244">
        <v>304051.4</v>
      </c>
      <c r="BE23" s="244">
        <v>330136</v>
      </c>
      <c r="BF23" s="70">
        <v>394635</v>
      </c>
      <c r="BG23" s="70">
        <v>2535509.4</v>
      </c>
      <c r="BH23" s="129">
        <f t="shared" si="30"/>
        <v>0.37839475</v>
      </c>
    </row>
    <row r="24" s="110" customFormat="1" hidden="1" spans="1:60">
      <c r="A24" s="137" t="s">
        <v>22</v>
      </c>
      <c r="B24" s="137" t="s">
        <v>22</v>
      </c>
      <c r="C24" s="226" t="s">
        <v>100</v>
      </c>
      <c r="D24" s="197" t="s">
        <v>101</v>
      </c>
      <c r="E24" s="197" t="s">
        <v>101</v>
      </c>
      <c r="F24" s="141" t="s">
        <v>75</v>
      </c>
      <c r="G24" s="197" t="s">
        <v>92</v>
      </c>
      <c r="H24" s="133" t="s">
        <v>102</v>
      </c>
      <c r="I24" s="235"/>
      <c r="J24" s="236"/>
      <c r="K24" s="236"/>
      <c r="L24" s="129" t="e">
        <f t="shared" si="31"/>
        <v>#DIV/0!</v>
      </c>
      <c r="M24" s="236"/>
      <c r="N24" s="236"/>
      <c r="O24" s="129" t="e">
        <f t="shared" si="1"/>
        <v>#DIV/0!</v>
      </c>
      <c r="P24" s="236">
        <f t="shared" si="4"/>
        <v>0</v>
      </c>
      <c r="Q24" s="236">
        <f t="shared" si="5"/>
        <v>0</v>
      </c>
      <c r="R24" s="129" t="e">
        <f t="shared" si="3"/>
        <v>#DIV/0!</v>
      </c>
      <c r="S24" s="42">
        <v>790</v>
      </c>
      <c r="T24" s="42"/>
      <c r="U24" s="129">
        <f t="shared" si="6"/>
        <v>-1</v>
      </c>
      <c r="V24" s="42">
        <f t="shared" si="7"/>
        <v>790</v>
      </c>
      <c r="W24" s="42">
        <f t="shared" si="8"/>
        <v>0</v>
      </c>
      <c r="X24" s="129">
        <f t="shared" si="9"/>
        <v>-1</v>
      </c>
      <c r="Y24" s="60"/>
      <c r="Z24" s="60"/>
      <c r="AA24" s="239" t="e">
        <f t="shared" si="10"/>
        <v>#DIV/0!</v>
      </c>
      <c r="AB24" s="60">
        <f t="shared" si="11"/>
        <v>790</v>
      </c>
      <c r="AC24" s="60">
        <f t="shared" si="12"/>
        <v>0</v>
      </c>
      <c r="AD24" s="239">
        <f t="shared" si="13"/>
        <v>-1</v>
      </c>
      <c r="AE24" s="61"/>
      <c r="AF24" s="235"/>
      <c r="AG24" s="239" t="e">
        <f t="shared" si="14"/>
        <v>#DIV/0!</v>
      </c>
      <c r="AH24" s="235">
        <f t="shared" si="15"/>
        <v>790</v>
      </c>
      <c r="AI24" s="235">
        <f t="shared" si="16"/>
        <v>0</v>
      </c>
      <c r="AJ24" s="239">
        <f t="shared" si="17"/>
        <v>-1</v>
      </c>
      <c r="AK24" s="241"/>
      <c r="AL24" s="241"/>
      <c r="AM24" s="239" t="e">
        <f t="shared" si="18"/>
        <v>#DIV/0!</v>
      </c>
      <c r="AN24" s="241">
        <f t="shared" si="19"/>
        <v>790</v>
      </c>
      <c r="AO24" s="241">
        <f t="shared" si="20"/>
        <v>0</v>
      </c>
      <c r="AP24" s="239">
        <f t="shared" si="21"/>
        <v>-1</v>
      </c>
      <c r="AQ24" s="241"/>
      <c r="AR24" s="241"/>
      <c r="AS24" s="239" t="e">
        <f t="shared" si="22"/>
        <v>#DIV/0!</v>
      </c>
      <c r="AT24" s="241">
        <f t="shared" si="23"/>
        <v>790</v>
      </c>
      <c r="AU24" s="241">
        <f t="shared" si="24"/>
        <v>0</v>
      </c>
      <c r="AV24" s="239">
        <f t="shared" si="25"/>
        <v>-1</v>
      </c>
      <c r="AW24" s="69"/>
      <c r="AX24" s="69"/>
      <c r="AY24" s="239" t="e">
        <f t="shared" si="26"/>
        <v>#DIV/0!</v>
      </c>
      <c r="AZ24" s="69">
        <f t="shared" si="27"/>
        <v>790</v>
      </c>
      <c r="BA24" s="69">
        <f t="shared" si="28"/>
        <v>0</v>
      </c>
      <c r="BB24" s="239">
        <f t="shared" si="29"/>
        <v>-1</v>
      </c>
      <c r="BC24" s="69"/>
      <c r="BD24" s="70"/>
      <c r="BE24" s="70"/>
      <c r="BF24" s="70"/>
      <c r="BG24" s="70">
        <v>790</v>
      </c>
      <c r="BH24" s="129" t="e">
        <f t="shared" si="30"/>
        <v>#DIV/0!</v>
      </c>
    </row>
    <row r="25" s="110" customFormat="1" hidden="1" spans="1:60">
      <c r="A25" s="137" t="s">
        <v>22</v>
      </c>
      <c r="B25" s="137" t="s">
        <v>22</v>
      </c>
      <c r="C25" s="227" t="s">
        <v>103</v>
      </c>
      <c r="D25" s="197" t="s">
        <v>101</v>
      </c>
      <c r="E25" s="197" t="s">
        <v>101</v>
      </c>
      <c r="F25" s="141" t="s">
        <v>75</v>
      </c>
      <c r="G25" s="197" t="s">
        <v>95</v>
      </c>
      <c r="H25" s="133" t="s">
        <v>102</v>
      </c>
      <c r="I25" s="235"/>
      <c r="J25" s="236"/>
      <c r="K25" s="236"/>
      <c r="L25" s="129" t="e">
        <f t="shared" si="31"/>
        <v>#DIV/0!</v>
      </c>
      <c r="M25" s="236"/>
      <c r="N25" s="236"/>
      <c r="O25" s="129" t="e">
        <f t="shared" si="1"/>
        <v>#DIV/0!</v>
      </c>
      <c r="P25" s="236">
        <f t="shared" si="4"/>
        <v>0</v>
      </c>
      <c r="Q25" s="236">
        <f t="shared" si="5"/>
        <v>0</v>
      </c>
      <c r="R25" s="129" t="e">
        <f t="shared" si="3"/>
        <v>#DIV/0!</v>
      </c>
      <c r="S25" s="42"/>
      <c r="T25" s="42"/>
      <c r="U25" s="129" t="e">
        <f t="shared" si="6"/>
        <v>#DIV/0!</v>
      </c>
      <c r="V25" s="42">
        <f t="shared" si="7"/>
        <v>0</v>
      </c>
      <c r="W25" s="42">
        <f t="shared" si="8"/>
        <v>0</v>
      </c>
      <c r="X25" s="129" t="e">
        <f t="shared" si="9"/>
        <v>#DIV/0!</v>
      </c>
      <c r="Y25" s="60"/>
      <c r="Z25" s="60"/>
      <c r="AA25" s="239" t="e">
        <f t="shared" si="10"/>
        <v>#DIV/0!</v>
      </c>
      <c r="AB25" s="60">
        <f t="shared" si="11"/>
        <v>0</v>
      </c>
      <c r="AC25" s="60">
        <f t="shared" si="12"/>
        <v>0</v>
      </c>
      <c r="AD25" s="239" t="e">
        <f t="shared" si="13"/>
        <v>#DIV/0!</v>
      </c>
      <c r="AE25" s="61"/>
      <c r="AF25" s="235"/>
      <c r="AG25" s="239" t="e">
        <f t="shared" si="14"/>
        <v>#DIV/0!</v>
      </c>
      <c r="AH25" s="235">
        <f t="shared" si="15"/>
        <v>0</v>
      </c>
      <c r="AI25" s="235">
        <f t="shared" si="16"/>
        <v>0</v>
      </c>
      <c r="AJ25" s="239" t="e">
        <f t="shared" si="17"/>
        <v>#DIV/0!</v>
      </c>
      <c r="AK25" s="241"/>
      <c r="AL25" s="241"/>
      <c r="AM25" s="239" t="e">
        <f t="shared" si="18"/>
        <v>#DIV/0!</v>
      </c>
      <c r="AN25" s="241">
        <f t="shared" si="19"/>
        <v>0</v>
      </c>
      <c r="AO25" s="241">
        <f t="shared" si="20"/>
        <v>0</v>
      </c>
      <c r="AP25" s="239" t="e">
        <f t="shared" si="21"/>
        <v>#DIV/0!</v>
      </c>
      <c r="AQ25" s="241"/>
      <c r="AR25" s="241"/>
      <c r="AS25" s="239" t="e">
        <f t="shared" si="22"/>
        <v>#DIV/0!</v>
      </c>
      <c r="AT25" s="241">
        <f t="shared" si="23"/>
        <v>0</v>
      </c>
      <c r="AU25" s="241">
        <f t="shared" si="24"/>
        <v>0</v>
      </c>
      <c r="AV25" s="239" t="e">
        <f t="shared" si="25"/>
        <v>#DIV/0!</v>
      </c>
      <c r="AW25" s="69"/>
      <c r="AX25" s="69"/>
      <c r="AY25" s="239" t="e">
        <f t="shared" si="26"/>
        <v>#DIV/0!</v>
      </c>
      <c r="AZ25" s="69">
        <f t="shared" si="27"/>
        <v>0</v>
      </c>
      <c r="BA25" s="69">
        <f t="shared" si="28"/>
        <v>0</v>
      </c>
      <c r="BB25" s="239" t="e">
        <f t="shared" si="29"/>
        <v>#DIV/0!</v>
      </c>
      <c r="BC25" s="69"/>
      <c r="BD25" s="70">
        <v>12039</v>
      </c>
      <c r="BE25" s="70"/>
      <c r="BF25" s="70"/>
      <c r="BG25" s="70">
        <v>12039</v>
      </c>
      <c r="BH25" s="129" t="e">
        <f t="shared" si="30"/>
        <v>#DIV/0!</v>
      </c>
    </row>
    <row r="26" s="110" customFormat="1" hidden="1" spans="1:60">
      <c r="A26" s="137" t="s">
        <v>22</v>
      </c>
      <c r="B26" s="137" t="s">
        <v>22</v>
      </c>
      <c r="C26" s="227" t="s">
        <v>104</v>
      </c>
      <c r="D26" s="197" t="s">
        <v>60</v>
      </c>
      <c r="E26" s="197" t="s">
        <v>60</v>
      </c>
      <c r="F26" s="141" t="s">
        <v>75</v>
      </c>
      <c r="G26" s="197" t="s">
        <v>105</v>
      </c>
      <c r="H26" s="61" t="s">
        <v>57</v>
      </c>
      <c r="I26" s="235">
        <v>24</v>
      </c>
      <c r="J26" s="236">
        <v>20000</v>
      </c>
      <c r="K26" s="236">
        <v>10000</v>
      </c>
      <c r="L26" s="129">
        <f t="shared" si="31"/>
        <v>-0.5</v>
      </c>
      <c r="M26" s="236"/>
      <c r="N26" s="236"/>
      <c r="O26" s="129" t="e">
        <f t="shared" si="1"/>
        <v>#DIV/0!</v>
      </c>
      <c r="P26" s="236">
        <f t="shared" si="4"/>
        <v>20000</v>
      </c>
      <c r="Q26" s="236">
        <f t="shared" si="5"/>
        <v>10000</v>
      </c>
      <c r="R26" s="129">
        <f t="shared" si="3"/>
        <v>-0.5</v>
      </c>
      <c r="S26" s="42">
        <v>40000</v>
      </c>
      <c r="T26" s="42">
        <v>24752.5</v>
      </c>
      <c r="U26" s="129">
        <f t="shared" si="6"/>
        <v>-0.3811875</v>
      </c>
      <c r="V26" s="42">
        <f t="shared" si="7"/>
        <v>60000</v>
      </c>
      <c r="W26" s="42">
        <f t="shared" si="8"/>
        <v>34752.5</v>
      </c>
      <c r="X26" s="129">
        <f t="shared" si="9"/>
        <v>-0.420791666666667</v>
      </c>
      <c r="Y26" s="60">
        <v>30000</v>
      </c>
      <c r="Z26" s="60"/>
      <c r="AA26" s="239">
        <f t="shared" si="10"/>
        <v>-1</v>
      </c>
      <c r="AB26" s="60">
        <f t="shared" si="11"/>
        <v>90000</v>
      </c>
      <c r="AC26" s="60">
        <f t="shared" si="12"/>
        <v>34752.5</v>
      </c>
      <c r="AD26" s="239">
        <f t="shared" si="13"/>
        <v>-0.613861111111111</v>
      </c>
      <c r="AE26" s="61">
        <v>40100</v>
      </c>
      <c r="AF26" s="235"/>
      <c r="AG26" s="239">
        <f t="shared" si="14"/>
        <v>-1</v>
      </c>
      <c r="AH26" s="235">
        <f t="shared" si="15"/>
        <v>130100</v>
      </c>
      <c r="AI26" s="235">
        <f t="shared" si="16"/>
        <v>34752.5</v>
      </c>
      <c r="AJ26" s="239">
        <f t="shared" si="17"/>
        <v>-0.732878554957725</v>
      </c>
      <c r="AK26" s="241"/>
      <c r="AL26" s="241"/>
      <c r="AM26" s="239" t="e">
        <f t="shared" si="18"/>
        <v>#DIV/0!</v>
      </c>
      <c r="AN26" s="241">
        <f t="shared" si="19"/>
        <v>130100</v>
      </c>
      <c r="AO26" s="241">
        <f t="shared" si="20"/>
        <v>34752.5</v>
      </c>
      <c r="AP26" s="239">
        <f t="shared" si="21"/>
        <v>-0.732878554957725</v>
      </c>
      <c r="AQ26" s="241">
        <v>20000</v>
      </c>
      <c r="AR26" s="241"/>
      <c r="AS26" s="239">
        <f t="shared" si="22"/>
        <v>-1</v>
      </c>
      <c r="AT26" s="241">
        <f t="shared" si="23"/>
        <v>150100</v>
      </c>
      <c r="AU26" s="241">
        <f t="shared" si="24"/>
        <v>34752.5</v>
      </c>
      <c r="AV26" s="239">
        <f t="shared" si="25"/>
        <v>-0.768471019320453</v>
      </c>
      <c r="AW26" s="69">
        <v>20000</v>
      </c>
      <c r="AX26" s="69"/>
      <c r="AY26" s="239">
        <f t="shared" si="26"/>
        <v>-1</v>
      </c>
      <c r="AZ26" s="69">
        <f t="shared" si="27"/>
        <v>170100</v>
      </c>
      <c r="BA26" s="69">
        <f t="shared" si="28"/>
        <v>34752.5</v>
      </c>
      <c r="BB26" s="239">
        <f t="shared" si="29"/>
        <v>-0.795693709582598</v>
      </c>
      <c r="BC26" s="69"/>
      <c r="BD26" s="70">
        <v>11428</v>
      </c>
      <c r="BE26" s="70">
        <v>20000</v>
      </c>
      <c r="BF26" s="70">
        <v>20000</v>
      </c>
      <c r="BG26" s="70">
        <v>221528</v>
      </c>
      <c r="BH26" s="129">
        <f t="shared" si="30"/>
        <v>0.144802083333333</v>
      </c>
    </row>
    <row r="27" s="111" customFormat="1" spans="1:60">
      <c r="A27" s="116" t="s">
        <v>22</v>
      </c>
      <c r="B27" s="116" t="s">
        <v>22</v>
      </c>
      <c r="C27" s="228" t="s">
        <v>106</v>
      </c>
      <c r="D27" s="141" t="s">
        <v>83</v>
      </c>
      <c r="E27" s="141" t="s">
        <v>83</v>
      </c>
      <c r="F27" s="141" t="s">
        <v>75</v>
      </c>
      <c r="G27" s="141" t="s">
        <v>92</v>
      </c>
      <c r="H27" s="60" t="s">
        <v>84</v>
      </c>
      <c r="I27" s="235">
        <v>400</v>
      </c>
      <c r="J27" s="238">
        <v>304654</v>
      </c>
      <c r="K27" s="236">
        <v>248878.5</v>
      </c>
      <c r="L27" s="129">
        <f t="shared" si="31"/>
        <v>-0.183078180493281</v>
      </c>
      <c r="M27" s="238">
        <v>67549</v>
      </c>
      <c r="N27" s="236">
        <v>359062</v>
      </c>
      <c r="O27" s="129">
        <f t="shared" si="1"/>
        <v>4.31557832092259</v>
      </c>
      <c r="P27" s="236">
        <f t="shared" si="4"/>
        <v>372203</v>
      </c>
      <c r="Q27" s="236">
        <f t="shared" si="5"/>
        <v>607940.5</v>
      </c>
      <c r="R27" s="129">
        <f t="shared" si="3"/>
        <v>0.6333573345728</v>
      </c>
      <c r="S27" s="133">
        <v>191851</v>
      </c>
      <c r="T27" s="42">
        <v>586860</v>
      </c>
      <c r="U27" s="129">
        <f t="shared" si="6"/>
        <v>2.05893636207265</v>
      </c>
      <c r="V27" s="42">
        <f t="shared" si="7"/>
        <v>564054</v>
      </c>
      <c r="W27" s="42">
        <f t="shared" si="8"/>
        <v>1194800.5</v>
      </c>
      <c r="X27" s="129">
        <f t="shared" si="9"/>
        <v>1.11823779283544</v>
      </c>
      <c r="Y27" s="60">
        <v>73138</v>
      </c>
      <c r="Z27" s="60">
        <v>381502</v>
      </c>
      <c r="AA27" s="239">
        <f t="shared" si="10"/>
        <v>4.21619404413574</v>
      </c>
      <c r="AB27" s="60">
        <f t="shared" si="11"/>
        <v>637192</v>
      </c>
      <c r="AC27" s="60">
        <f t="shared" si="12"/>
        <v>1576302.5</v>
      </c>
      <c r="AD27" s="239">
        <f t="shared" si="13"/>
        <v>1.47382657032731</v>
      </c>
      <c r="AE27" s="60">
        <v>208668</v>
      </c>
      <c r="AF27" s="235">
        <v>418566</v>
      </c>
      <c r="AG27" s="239">
        <f t="shared" si="14"/>
        <v>1.00589453102536</v>
      </c>
      <c r="AH27" s="235">
        <f t="shared" si="15"/>
        <v>845860</v>
      </c>
      <c r="AI27" s="235">
        <f t="shared" si="16"/>
        <v>1994868.5</v>
      </c>
      <c r="AJ27" s="239">
        <f t="shared" si="17"/>
        <v>1.35839086846523</v>
      </c>
      <c r="AK27" s="241">
        <v>296204</v>
      </c>
      <c r="AL27" s="241">
        <v>579201</v>
      </c>
      <c r="AM27" s="239">
        <f t="shared" si="18"/>
        <v>0.955412485989386</v>
      </c>
      <c r="AN27" s="241">
        <f t="shared" si="19"/>
        <v>1142064</v>
      </c>
      <c r="AO27" s="241">
        <f t="shared" si="20"/>
        <v>2574069.5</v>
      </c>
      <c r="AP27" s="239">
        <f t="shared" si="21"/>
        <v>1.25387500175122</v>
      </c>
      <c r="AQ27" s="241">
        <v>217892</v>
      </c>
      <c r="AR27" s="241">
        <v>250281</v>
      </c>
      <c r="AS27" s="239">
        <f t="shared" si="22"/>
        <v>0.148647036146348</v>
      </c>
      <c r="AT27" s="241">
        <f t="shared" si="23"/>
        <v>1359956</v>
      </c>
      <c r="AU27" s="241">
        <f t="shared" si="24"/>
        <v>2824350.5</v>
      </c>
      <c r="AV27" s="239">
        <f t="shared" si="25"/>
        <v>1.07679549926615</v>
      </c>
      <c r="AW27" s="69">
        <v>307848</v>
      </c>
      <c r="AX27" s="69">
        <v>403353</v>
      </c>
      <c r="AY27" s="239">
        <f t="shared" si="26"/>
        <v>0.310234271458642</v>
      </c>
      <c r="AZ27" s="69">
        <f t="shared" si="27"/>
        <v>1667804</v>
      </c>
      <c r="BA27" s="69">
        <f t="shared" si="28"/>
        <v>3227703.5</v>
      </c>
      <c r="BB27" s="239">
        <f t="shared" si="29"/>
        <v>0.935301450290322</v>
      </c>
      <c r="BC27" s="69">
        <v>427373</v>
      </c>
      <c r="BD27" s="244">
        <v>677990.8</v>
      </c>
      <c r="BE27" s="244">
        <v>260034.45</v>
      </c>
      <c r="BF27" s="70">
        <v>408726.6</v>
      </c>
      <c r="BG27" s="70">
        <v>3441928.85</v>
      </c>
      <c r="BH27" s="129">
        <f t="shared" si="30"/>
        <v>0.806925875</v>
      </c>
    </row>
    <row r="28" s="110" customFormat="1" hidden="1" spans="1:60">
      <c r="A28" s="137" t="s">
        <v>22</v>
      </c>
      <c r="B28" s="137" t="s">
        <v>22</v>
      </c>
      <c r="C28" s="227" t="s">
        <v>107</v>
      </c>
      <c r="D28" s="197" t="s">
        <v>60</v>
      </c>
      <c r="E28" s="197" t="s">
        <v>60</v>
      </c>
      <c r="F28" s="141" t="s">
        <v>75</v>
      </c>
      <c r="G28" s="197" t="s">
        <v>105</v>
      </c>
      <c r="H28" s="61" t="s">
        <v>62</v>
      </c>
      <c r="I28" s="235">
        <v>0</v>
      </c>
      <c r="J28" s="236">
        <v>4124</v>
      </c>
      <c r="K28" s="236"/>
      <c r="L28" s="129">
        <f t="shared" si="31"/>
        <v>-1</v>
      </c>
      <c r="M28" s="236"/>
      <c r="N28" s="236"/>
      <c r="O28" s="129" t="e">
        <f t="shared" si="1"/>
        <v>#DIV/0!</v>
      </c>
      <c r="P28" s="236">
        <f t="shared" si="4"/>
        <v>4124</v>
      </c>
      <c r="Q28" s="236">
        <f t="shared" si="5"/>
        <v>0</v>
      </c>
      <c r="R28" s="129">
        <f t="shared" si="3"/>
        <v>-1</v>
      </c>
      <c r="S28" s="42">
        <v>4124</v>
      </c>
      <c r="T28" s="42"/>
      <c r="U28" s="129">
        <f t="shared" si="6"/>
        <v>-1</v>
      </c>
      <c r="V28" s="42">
        <f t="shared" si="7"/>
        <v>8248</v>
      </c>
      <c r="W28" s="42">
        <f t="shared" si="8"/>
        <v>0</v>
      </c>
      <c r="X28" s="129">
        <f t="shared" si="9"/>
        <v>-1</v>
      </c>
      <c r="Y28" s="60"/>
      <c r="Z28" s="60"/>
      <c r="AA28" s="239" t="e">
        <f t="shared" si="10"/>
        <v>#DIV/0!</v>
      </c>
      <c r="AB28" s="60">
        <f t="shared" si="11"/>
        <v>8248</v>
      </c>
      <c r="AC28" s="60">
        <f t="shared" si="12"/>
        <v>0</v>
      </c>
      <c r="AD28" s="239">
        <f t="shared" si="13"/>
        <v>-1</v>
      </c>
      <c r="AE28" s="61"/>
      <c r="AF28" s="235"/>
      <c r="AG28" s="239" t="e">
        <f t="shared" si="14"/>
        <v>#DIV/0!</v>
      </c>
      <c r="AH28" s="235">
        <f t="shared" si="15"/>
        <v>8248</v>
      </c>
      <c r="AI28" s="235">
        <f t="shared" si="16"/>
        <v>0</v>
      </c>
      <c r="AJ28" s="239">
        <f t="shared" si="17"/>
        <v>-1</v>
      </c>
      <c r="AK28" s="241"/>
      <c r="AL28" s="241"/>
      <c r="AM28" s="239" t="e">
        <f t="shared" si="18"/>
        <v>#DIV/0!</v>
      </c>
      <c r="AN28" s="241">
        <f t="shared" si="19"/>
        <v>8248</v>
      </c>
      <c r="AO28" s="241">
        <f t="shared" si="20"/>
        <v>0</v>
      </c>
      <c r="AP28" s="239">
        <f t="shared" si="21"/>
        <v>-1</v>
      </c>
      <c r="AQ28" s="241"/>
      <c r="AR28" s="241"/>
      <c r="AS28" s="239" t="e">
        <f t="shared" si="22"/>
        <v>#DIV/0!</v>
      </c>
      <c r="AT28" s="241">
        <f t="shared" si="23"/>
        <v>8248</v>
      </c>
      <c r="AU28" s="241">
        <f t="shared" si="24"/>
        <v>0</v>
      </c>
      <c r="AV28" s="239">
        <f t="shared" si="25"/>
        <v>-1</v>
      </c>
      <c r="AW28" s="69"/>
      <c r="AX28" s="69"/>
      <c r="AY28" s="239" t="e">
        <f t="shared" si="26"/>
        <v>#DIV/0!</v>
      </c>
      <c r="AZ28" s="69">
        <f t="shared" si="27"/>
        <v>8248</v>
      </c>
      <c r="BA28" s="69">
        <f t="shared" si="28"/>
        <v>0</v>
      </c>
      <c r="BB28" s="239">
        <f t="shared" si="29"/>
        <v>-1</v>
      </c>
      <c r="BC28" s="69"/>
      <c r="BD28" s="70"/>
      <c r="BE28" s="70"/>
      <c r="BF28" s="70"/>
      <c r="BG28" s="70">
        <v>8248</v>
      </c>
      <c r="BH28" s="129" t="e">
        <f t="shared" si="30"/>
        <v>#DIV/0!</v>
      </c>
    </row>
    <row r="29" s="110" customFormat="1" hidden="1" spans="1:60">
      <c r="A29" s="137" t="s">
        <v>22</v>
      </c>
      <c r="B29" s="137" t="s">
        <v>22</v>
      </c>
      <c r="C29" s="227" t="s">
        <v>108</v>
      </c>
      <c r="D29" s="197" t="s">
        <v>60</v>
      </c>
      <c r="E29" s="197" t="s">
        <v>60</v>
      </c>
      <c r="F29" s="141" t="s">
        <v>61</v>
      </c>
      <c r="G29" s="141" t="s">
        <v>61</v>
      </c>
      <c r="H29" s="61" t="s">
        <v>62</v>
      </c>
      <c r="I29" s="235"/>
      <c r="J29" s="236">
        <v>10000</v>
      </c>
      <c r="K29" s="236"/>
      <c r="L29" s="129">
        <f t="shared" si="31"/>
        <v>-1</v>
      </c>
      <c r="M29" s="236"/>
      <c r="N29" s="236"/>
      <c r="O29" s="129" t="e">
        <f t="shared" si="1"/>
        <v>#DIV/0!</v>
      </c>
      <c r="P29" s="236">
        <f t="shared" si="4"/>
        <v>10000</v>
      </c>
      <c r="Q29" s="236">
        <f t="shared" si="5"/>
        <v>0</v>
      </c>
      <c r="R29" s="129">
        <f t="shared" si="3"/>
        <v>-1</v>
      </c>
      <c r="S29" s="42"/>
      <c r="T29" s="42"/>
      <c r="U29" s="129" t="e">
        <f t="shared" si="6"/>
        <v>#DIV/0!</v>
      </c>
      <c r="V29" s="42">
        <f t="shared" si="7"/>
        <v>10000</v>
      </c>
      <c r="W29" s="42">
        <f t="shared" si="8"/>
        <v>0</v>
      </c>
      <c r="X29" s="129">
        <f t="shared" si="9"/>
        <v>-1</v>
      </c>
      <c r="Y29" s="60"/>
      <c r="Z29" s="60"/>
      <c r="AA29" s="239" t="e">
        <f t="shared" si="10"/>
        <v>#DIV/0!</v>
      </c>
      <c r="AB29" s="60">
        <f t="shared" si="11"/>
        <v>10000</v>
      </c>
      <c r="AC29" s="60">
        <f t="shared" si="12"/>
        <v>0</v>
      </c>
      <c r="AD29" s="239">
        <f t="shared" si="13"/>
        <v>-1</v>
      </c>
      <c r="AE29" s="61"/>
      <c r="AF29" s="235"/>
      <c r="AG29" s="239" t="e">
        <f t="shared" si="14"/>
        <v>#DIV/0!</v>
      </c>
      <c r="AH29" s="235">
        <f t="shared" si="15"/>
        <v>10000</v>
      </c>
      <c r="AI29" s="235">
        <f t="shared" si="16"/>
        <v>0</v>
      </c>
      <c r="AJ29" s="239">
        <f t="shared" si="17"/>
        <v>-1</v>
      </c>
      <c r="AK29" s="241"/>
      <c r="AL29" s="241"/>
      <c r="AM29" s="239" t="e">
        <f t="shared" si="18"/>
        <v>#DIV/0!</v>
      </c>
      <c r="AN29" s="241">
        <f t="shared" si="19"/>
        <v>10000</v>
      </c>
      <c r="AO29" s="241">
        <f t="shared" si="20"/>
        <v>0</v>
      </c>
      <c r="AP29" s="239">
        <f t="shared" si="21"/>
        <v>-1</v>
      </c>
      <c r="AQ29" s="241"/>
      <c r="AR29" s="241"/>
      <c r="AS29" s="239" t="e">
        <f t="shared" si="22"/>
        <v>#DIV/0!</v>
      </c>
      <c r="AT29" s="241">
        <f t="shared" si="23"/>
        <v>10000</v>
      </c>
      <c r="AU29" s="241">
        <f t="shared" si="24"/>
        <v>0</v>
      </c>
      <c r="AV29" s="239">
        <f t="shared" si="25"/>
        <v>-1</v>
      </c>
      <c r="AW29" s="69">
        <v>491</v>
      </c>
      <c r="AX29" s="69"/>
      <c r="AY29" s="239">
        <f t="shared" si="26"/>
        <v>-1</v>
      </c>
      <c r="AZ29" s="69">
        <f t="shared" si="27"/>
        <v>10491</v>
      </c>
      <c r="BA29" s="69">
        <f t="shared" si="28"/>
        <v>0</v>
      </c>
      <c r="BB29" s="239">
        <f t="shared" si="29"/>
        <v>-1</v>
      </c>
      <c r="BC29" s="69"/>
      <c r="BD29" s="70"/>
      <c r="BE29" s="70"/>
      <c r="BF29" s="70"/>
      <c r="BG29" s="70">
        <v>10491</v>
      </c>
      <c r="BH29" s="129" t="e">
        <f t="shared" si="30"/>
        <v>#DIV/0!</v>
      </c>
    </row>
    <row r="30" s="110" customFormat="1" hidden="1" spans="1:60">
      <c r="A30" s="137" t="s">
        <v>22</v>
      </c>
      <c r="B30" s="137" t="s">
        <v>22</v>
      </c>
      <c r="C30" s="227" t="s">
        <v>109</v>
      </c>
      <c r="D30" s="197" t="s">
        <v>101</v>
      </c>
      <c r="E30" s="197" t="s">
        <v>101</v>
      </c>
      <c r="F30" s="141" t="s">
        <v>75</v>
      </c>
      <c r="G30" s="197" t="s">
        <v>76</v>
      </c>
      <c r="H30" s="133" t="s">
        <v>102</v>
      </c>
      <c r="I30" s="235"/>
      <c r="J30" s="236">
        <v>2591</v>
      </c>
      <c r="K30" s="236"/>
      <c r="L30" s="129">
        <f t="shared" si="31"/>
        <v>-1</v>
      </c>
      <c r="M30" s="236"/>
      <c r="N30" s="236"/>
      <c r="O30" s="129" t="e">
        <f t="shared" si="1"/>
        <v>#DIV/0!</v>
      </c>
      <c r="P30" s="236">
        <f t="shared" si="4"/>
        <v>2591</v>
      </c>
      <c r="Q30" s="236">
        <f t="shared" si="5"/>
        <v>0</v>
      </c>
      <c r="R30" s="129">
        <f t="shared" si="3"/>
        <v>-1</v>
      </c>
      <c r="S30" s="42"/>
      <c r="T30" s="42"/>
      <c r="U30" s="129" t="e">
        <f t="shared" si="6"/>
        <v>#DIV/0!</v>
      </c>
      <c r="V30" s="42">
        <f t="shared" si="7"/>
        <v>2591</v>
      </c>
      <c r="W30" s="42">
        <f t="shared" si="8"/>
        <v>0</v>
      </c>
      <c r="X30" s="129">
        <f t="shared" si="9"/>
        <v>-1</v>
      </c>
      <c r="Y30" s="60"/>
      <c r="Z30" s="60"/>
      <c r="AA30" s="239" t="e">
        <f t="shared" si="10"/>
        <v>#DIV/0!</v>
      </c>
      <c r="AB30" s="60">
        <f t="shared" si="11"/>
        <v>2591</v>
      </c>
      <c r="AC30" s="60">
        <f t="shared" si="12"/>
        <v>0</v>
      </c>
      <c r="AD30" s="239">
        <f t="shared" si="13"/>
        <v>-1</v>
      </c>
      <c r="AE30" s="61"/>
      <c r="AF30" s="235"/>
      <c r="AG30" s="239" t="e">
        <f t="shared" si="14"/>
        <v>#DIV/0!</v>
      </c>
      <c r="AH30" s="235">
        <f t="shared" si="15"/>
        <v>2591</v>
      </c>
      <c r="AI30" s="235">
        <f t="shared" si="16"/>
        <v>0</v>
      </c>
      <c r="AJ30" s="239">
        <f t="shared" si="17"/>
        <v>-1</v>
      </c>
      <c r="AK30" s="241"/>
      <c r="AL30" s="241"/>
      <c r="AM30" s="239" t="e">
        <f t="shared" si="18"/>
        <v>#DIV/0!</v>
      </c>
      <c r="AN30" s="241">
        <f t="shared" si="19"/>
        <v>2591</v>
      </c>
      <c r="AO30" s="241">
        <f t="shared" si="20"/>
        <v>0</v>
      </c>
      <c r="AP30" s="239">
        <f t="shared" si="21"/>
        <v>-1</v>
      </c>
      <c r="AQ30" s="241"/>
      <c r="AR30" s="241"/>
      <c r="AS30" s="239" t="e">
        <f t="shared" si="22"/>
        <v>#DIV/0!</v>
      </c>
      <c r="AT30" s="241">
        <f t="shared" si="23"/>
        <v>2591</v>
      </c>
      <c r="AU30" s="241">
        <f t="shared" si="24"/>
        <v>0</v>
      </c>
      <c r="AV30" s="239">
        <f t="shared" si="25"/>
        <v>-1</v>
      </c>
      <c r="AW30" s="69"/>
      <c r="AX30" s="69"/>
      <c r="AY30" s="239" t="e">
        <f t="shared" si="26"/>
        <v>#DIV/0!</v>
      </c>
      <c r="AZ30" s="69">
        <f t="shared" si="27"/>
        <v>2591</v>
      </c>
      <c r="BA30" s="69">
        <f t="shared" si="28"/>
        <v>0</v>
      </c>
      <c r="BB30" s="239">
        <f t="shared" si="29"/>
        <v>-1</v>
      </c>
      <c r="BC30" s="69"/>
      <c r="BD30" s="70"/>
      <c r="BE30" s="70"/>
      <c r="BF30" s="70"/>
      <c r="BG30" s="70">
        <v>2591</v>
      </c>
      <c r="BH30" s="129" t="e">
        <f t="shared" si="30"/>
        <v>#DIV/0!</v>
      </c>
    </row>
    <row r="31" s="110" customFormat="1" hidden="1" spans="1:60">
      <c r="A31" s="137" t="s">
        <v>22</v>
      </c>
      <c r="B31" s="137" t="s">
        <v>22</v>
      </c>
      <c r="C31" s="227" t="s">
        <v>110</v>
      </c>
      <c r="D31" s="197" t="s">
        <v>60</v>
      </c>
      <c r="E31" s="197" t="s">
        <v>60</v>
      </c>
      <c r="F31" s="141" t="s">
        <v>75</v>
      </c>
      <c r="G31" s="197" t="s">
        <v>99</v>
      </c>
      <c r="H31" s="61" t="s">
        <v>111</v>
      </c>
      <c r="I31" s="235">
        <v>30</v>
      </c>
      <c r="J31" s="236">
        <v>20582</v>
      </c>
      <c r="K31" s="236">
        <v>14679</v>
      </c>
      <c r="L31" s="129">
        <f t="shared" si="31"/>
        <v>-0.286804003498202</v>
      </c>
      <c r="M31" s="236">
        <v>3939</v>
      </c>
      <c r="N31" s="236"/>
      <c r="O31" s="129">
        <f t="shared" si="1"/>
        <v>-1</v>
      </c>
      <c r="P31" s="236">
        <f t="shared" si="4"/>
        <v>24521</v>
      </c>
      <c r="Q31" s="236">
        <f t="shared" si="5"/>
        <v>14679</v>
      </c>
      <c r="R31" s="129">
        <f t="shared" si="3"/>
        <v>-0.401370254067942</v>
      </c>
      <c r="S31" s="42"/>
      <c r="T31" s="42">
        <v>3148</v>
      </c>
      <c r="U31" s="129" t="e">
        <f t="shared" si="6"/>
        <v>#DIV/0!</v>
      </c>
      <c r="V31" s="42">
        <f t="shared" si="7"/>
        <v>24521</v>
      </c>
      <c r="W31" s="42">
        <f t="shared" si="8"/>
        <v>17827</v>
      </c>
      <c r="X31" s="129">
        <f t="shared" si="9"/>
        <v>-0.272990497940541</v>
      </c>
      <c r="Y31" s="60">
        <v>23069</v>
      </c>
      <c r="Z31" s="60">
        <v>13909</v>
      </c>
      <c r="AA31" s="239">
        <f t="shared" si="10"/>
        <v>-0.397069660583467</v>
      </c>
      <c r="AB31" s="60">
        <f t="shared" si="11"/>
        <v>47590</v>
      </c>
      <c r="AC31" s="60">
        <f t="shared" si="12"/>
        <v>31736</v>
      </c>
      <c r="AD31" s="239">
        <f t="shared" si="13"/>
        <v>-0.333137213700357</v>
      </c>
      <c r="AE31" s="61">
        <v>27908</v>
      </c>
      <c r="AF31" s="235">
        <v>8765</v>
      </c>
      <c r="AG31" s="239">
        <f t="shared" si="14"/>
        <v>-0.685932349147198</v>
      </c>
      <c r="AH31" s="235">
        <f t="shared" si="15"/>
        <v>75498</v>
      </c>
      <c r="AI31" s="235">
        <f t="shared" si="16"/>
        <v>40501</v>
      </c>
      <c r="AJ31" s="239">
        <f t="shared" si="17"/>
        <v>-0.463548703276908</v>
      </c>
      <c r="AK31" s="241">
        <v>25192</v>
      </c>
      <c r="AL31" s="241">
        <v>9307</v>
      </c>
      <c r="AM31" s="239">
        <f t="shared" si="18"/>
        <v>-0.630557319784058</v>
      </c>
      <c r="AN31" s="241">
        <f t="shared" si="19"/>
        <v>100690</v>
      </c>
      <c r="AO31" s="241">
        <f t="shared" si="20"/>
        <v>49808</v>
      </c>
      <c r="AP31" s="239">
        <f t="shared" si="21"/>
        <v>-0.505333200913695</v>
      </c>
      <c r="AQ31" s="241"/>
      <c r="AR31" s="241">
        <v>11183</v>
      </c>
      <c r="AS31" s="239" t="e">
        <f t="shared" si="22"/>
        <v>#DIV/0!</v>
      </c>
      <c r="AT31" s="241">
        <f t="shared" si="23"/>
        <v>100690</v>
      </c>
      <c r="AU31" s="241">
        <f t="shared" si="24"/>
        <v>60991</v>
      </c>
      <c r="AV31" s="239">
        <f t="shared" si="25"/>
        <v>-0.394269540172808</v>
      </c>
      <c r="AW31" s="69">
        <v>16800</v>
      </c>
      <c r="AX31" s="69">
        <v>6109</v>
      </c>
      <c r="AY31" s="239">
        <f t="shared" si="26"/>
        <v>-0.636369047619048</v>
      </c>
      <c r="AZ31" s="69">
        <f t="shared" si="27"/>
        <v>117490</v>
      </c>
      <c r="BA31" s="69">
        <f t="shared" si="28"/>
        <v>67100</v>
      </c>
      <c r="BB31" s="239">
        <f t="shared" si="29"/>
        <v>-0.42888756489914</v>
      </c>
      <c r="BC31" s="69">
        <v>24480</v>
      </c>
      <c r="BD31" s="70"/>
      <c r="BE31" s="70">
        <v>18985</v>
      </c>
      <c r="BF31" s="70"/>
      <c r="BG31" s="70">
        <v>160955</v>
      </c>
      <c r="BH31" s="129">
        <f t="shared" si="30"/>
        <v>0.223666666666667</v>
      </c>
    </row>
    <row r="32" s="110" customFormat="1" hidden="1" spans="1:60">
      <c r="A32" s="137" t="s">
        <v>22</v>
      </c>
      <c r="B32" s="137" t="s">
        <v>22</v>
      </c>
      <c r="C32" s="227" t="s">
        <v>112</v>
      </c>
      <c r="D32" s="197" t="s">
        <v>113</v>
      </c>
      <c r="E32" s="197" t="s">
        <v>113</v>
      </c>
      <c r="F32" s="141" t="s">
        <v>75</v>
      </c>
      <c r="G32" s="197" t="s">
        <v>105</v>
      </c>
      <c r="H32" s="61" t="s">
        <v>111</v>
      </c>
      <c r="I32" s="235"/>
      <c r="J32" s="236">
        <v>7088</v>
      </c>
      <c r="K32" s="236"/>
      <c r="L32" s="129">
        <f t="shared" si="31"/>
        <v>-1</v>
      </c>
      <c r="M32" s="236"/>
      <c r="N32" s="236"/>
      <c r="O32" s="129" t="e">
        <f t="shared" si="1"/>
        <v>#DIV/0!</v>
      </c>
      <c r="P32" s="236">
        <f t="shared" si="4"/>
        <v>7088</v>
      </c>
      <c r="Q32" s="236">
        <f t="shared" si="5"/>
        <v>0</v>
      </c>
      <c r="R32" s="129">
        <f t="shared" si="3"/>
        <v>-1</v>
      </c>
      <c r="S32" s="42"/>
      <c r="T32" s="42"/>
      <c r="U32" s="129" t="e">
        <f t="shared" si="6"/>
        <v>#DIV/0!</v>
      </c>
      <c r="V32" s="42">
        <f t="shared" si="7"/>
        <v>7088</v>
      </c>
      <c r="W32" s="42">
        <f t="shared" si="8"/>
        <v>0</v>
      </c>
      <c r="X32" s="129">
        <f t="shared" si="9"/>
        <v>-1</v>
      </c>
      <c r="Y32" s="60"/>
      <c r="Z32" s="60"/>
      <c r="AA32" s="239" t="e">
        <f t="shared" si="10"/>
        <v>#DIV/0!</v>
      </c>
      <c r="AB32" s="60">
        <f t="shared" si="11"/>
        <v>7088</v>
      </c>
      <c r="AC32" s="60">
        <f t="shared" si="12"/>
        <v>0</v>
      </c>
      <c r="AD32" s="239">
        <f t="shared" si="13"/>
        <v>-1</v>
      </c>
      <c r="AE32" s="61"/>
      <c r="AF32" s="235"/>
      <c r="AG32" s="239" t="e">
        <f t="shared" si="14"/>
        <v>#DIV/0!</v>
      </c>
      <c r="AH32" s="235">
        <f t="shared" si="15"/>
        <v>7088</v>
      </c>
      <c r="AI32" s="235">
        <f t="shared" si="16"/>
        <v>0</v>
      </c>
      <c r="AJ32" s="239">
        <f t="shared" si="17"/>
        <v>-1</v>
      </c>
      <c r="AK32" s="241"/>
      <c r="AL32" s="241"/>
      <c r="AM32" s="239" t="e">
        <f t="shared" si="18"/>
        <v>#DIV/0!</v>
      </c>
      <c r="AN32" s="241">
        <f t="shared" si="19"/>
        <v>7088</v>
      </c>
      <c r="AO32" s="241">
        <f t="shared" si="20"/>
        <v>0</v>
      </c>
      <c r="AP32" s="239">
        <f t="shared" si="21"/>
        <v>-1</v>
      </c>
      <c r="AQ32" s="241"/>
      <c r="AR32" s="241"/>
      <c r="AS32" s="239" t="e">
        <f t="shared" si="22"/>
        <v>#DIV/0!</v>
      </c>
      <c r="AT32" s="241">
        <f t="shared" si="23"/>
        <v>7088</v>
      </c>
      <c r="AU32" s="241">
        <f t="shared" si="24"/>
        <v>0</v>
      </c>
      <c r="AV32" s="239">
        <f t="shared" si="25"/>
        <v>-1</v>
      </c>
      <c r="AW32" s="69"/>
      <c r="AX32" s="69"/>
      <c r="AY32" s="239" t="e">
        <f t="shared" si="26"/>
        <v>#DIV/0!</v>
      </c>
      <c r="AZ32" s="69">
        <f t="shared" si="27"/>
        <v>7088</v>
      </c>
      <c r="BA32" s="69">
        <f t="shared" si="28"/>
        <v>0</v>
      </c>
      <c r="BB32" s="239">
        <f t="shared" si="29"/>
        <v>-1</v>
      </c>
      <c r="BC32" s="69"/>
      <c r="BD32" s="70"/>
      <c r="BE32" s="70"/>
      <c r="BF32" s="70"/>
      <c r="BG32" s="70">
        <v>7088</v>
      </c>
      <c r="BH32" s="129" t="e">
        <f t="shared" si="30"/>
        <v>#DIV/0!</v>
      </c>
    </row>
    <row r="33" s="110" customFormat="1" hidden="1" spans="1:60">
      <c r="A33" s="137" t="s">
        <v>22</v>
      </c>
      <c r="B33" s="137" t="s">
        <v>22</v>
      </c>
      <c r="C33" s="227" t="s">
        <v>114</v>
      </c>
      <c r="D33" s="197" t="s">
        <v>113</v>
      </c>
      <c r="E33" s="197" t="s">
        <v>113</v>
      </c>
      <c r="F33" s="141" t="s">
        <v>75</v>
      </c>
      <c r="G33" s="197" t="s">
        <v>105</v>
      </c>
      <c r="H33" s="61" t="s">
        <v>111</v>
      </c>
      <c r="I33" s="235">
        <v>200</v>
      </c>
      <c r="J33" s="236">
        <v>91657.28</v>
      </c>
      <c r="K33" s="236">
        <v>218873.82</v>
      </c>
      <c r="L33" s="129">
        <f t="shared" si="31"/>
        <v>1.38795892699412</v>
      </c>
      <c r="M33" s="236"/>
      <c r="N33" s="236">
        <v>131893.4</v>
      </c>
      <c r="O33" s="129" t="e">
        <f t="shared" si="1"/>
        <v>#DIV/0!</v>
      </c>
      <c r="P33" s="236">
        <f t="shared" si="4"/>
        <v>91657.28</v>
      </c>
      <c r="Q33" s="236">
        <f t="shared" si="5"/>
        <v>350767.22</v>
      </c>
      <c r="R33" s="129">
        <f t="shared" si="3"/>
        <v>2.82694336991017</v>
      </c>
      <c r="S33" s="42">
        <v>98407.6</v>
      </c>
      <c r="T33" s="42">
        <v>143496.71</v>
      </c>
      <c r="U33" s="129">
        <f t="shared" si="6"/>
        <v>0.458187274153622</v>
      </c>
      <c r="V33" s="42">
        <f t="shared" si="7"/>
        <v>190064.88</v>
      </c>
      <c r="W33" s="42">
        <f t="shared" si="8"/>
        <v>494263.93</v>
      </c>
      <c r="X33" s="129">
        <f t="shared" si="9"/>
        <v>1.60050110257087</v>
      </c>
      <c r="Y33" s="60">
        <v>88389.8</v>
      </c>
      <c r="Z33" s="60">
        <v>34200.39</v>
      </c>
      <c r="AA33" s="239">
        <f t="shared" si="10"/>
        <v>-0.613073114771161</v>
      </c>
      <c r="AB33" s="60">
        <f t="shared" si="11"/>
        <v>278454.68</v>
      </c>
      <c r="AC33" s="60">
        <f t="shared" si="12"/>
        <v>528464.32</v>
      </c>
      <c r="AD33" s="239">
        <f t="shared" si="13"/>
        <v>0.897846787850719</v>
      </c>
      <c r="AE33" s="61">
        <v>181882.45</v>
      </c>
      <c r="AF33" s="235">
        <v>134290.18</v>
      </c>
      <c r="AG33" s="239">
        <f t="shared" si="14"/>
        <v>-0.261664992966611</v>
      </c>
      <c r="AH33" s="235">
        <f t="shared" si="15"/>
        <v>460337.13</v>
      </c>
      <c r="AI33" s="235">
        <f t="shared" si="16"/>
        <v>662754.5</v>
      </c>
      <c r="AJ33" s="239">
        <f t="shared" si="17"/>
        <v>0.439715497205277</v>
      </c>
      <c r="AK33" s="241">
        <v>187566.88</v>
      </c>
      <c r="AL33" s="241">
        <v>128859.37</v>
      </c>
      <c r="AM33" s="239">
        <f t="shared" si="18"/>
        <v>-0.31299507674276</v>
      </c>
      <c r="AN33" s="241">
        <f t="shared" si="19"/>
        <v>647904.01</v>
      </c>
      <c r="AO33" s="241">
        <f t="shared" si="20"/>
        <v>791613.87</v>
      </c>
      <c r="AP33" s="239">
        <f t="shared" si="21"/>
        <v>0.221807332231205</v>
      </c>
      <c r="AQ33" s="241">
        <v>130044.44</v>
      </c>
      <c r="AR33" s="241">
        <v>273758.72</v>
      </c>
      <c r="AS33" s="239">
        <f t="shared" si="22"/>
        <v>1.10511668165129</v>
      </c>
      <c r="AT33" s="241">
        <f t="shared" si="23"/>
        <v>777948.45</v>
      </c>
      <c r="AU33" s="241">
        <f t="shared" si="24"/>
        <v>1065372.59</v>
      </c>
      <c r="AV33" s="239">
        <f t="shared" si="25"/>
        <v>0.369464249205715</v>
      </c>
      <c r="AW33" s="69">
        <v>128967.95</v>
      </c>
      <c r="AX33" s="69">
        <v>121546.09</v>
      </c>
      <c r="AY33" s="239">
        <f t="shared" si="26"/>
        <v>-0.0575480962518207</v>
      </c>
      <c r="AZ33" s="69">
        <f t="shared" si="27"/>
        <v>906916.4</v>
      </c>
      <c r="BA33" s="69">
        <f t="shared" si="28"/>
        <v>1186918.68</v>
      </c>
      <c r="BB33" s="239">
        <f t="shared" si="29"/>
        <v>0.308741004132244</v>
      </c>
      <c r="BC33" s="69">
        <v>101883.54</v>
      </c>
      <c r="BD33" s="70">
        <v>164644.69</v>
      </c>
      <c r="BE33" s="70">
        <v>214221.12</v>
      </c>
      <c r="BF33" s="70">
        <v>171825.22</v>
      </c>
      <c r="BG33" s="70">
        <v>1559490.97</v>
      </c>
      <c r="BH33" s="129">
        <f t="shared" si="30"/>
        <v>0.59345934</v>
      </c>
    </row>
    <row r="34" s="110" customFormat="1" hidden="1" spans="1:60">
      <c r="A34" s="137" t="s">
        <v>22</v>
      </c>
      <c r="B34" s="137" t="s">
        <v>22</v>
      </c>
      <c r="C34" s="227" t="s">
        <v>115</v>
      </c>
      <c r="D34" s="197" t="s">
        <v>113</v>
      </c>
      <c r="E34" s="197" t="s">
        <v>113</v>
      </c>
      <c r="F34" s="141" t="s">
        <v>75</v>
      </c>
      <c r="G34" s="197" t="s">
        <v>95</v>
      </c>
      <c r="H34" s="61" t="s">
        <v>111</v>
      </c>
      <c r="I34" s="235">
        <v>60</v>
      </c>
      <c r="J34" s="236">
        <v>16779</v>
      </c>
      <c r="K34" s="236">
        <v>37387</v>
      </c>
      <c r="L34" s="129">
        <f t="shared" si="31"/>
        <v>1.2282019190655</v>
      </c>
      <c r="M34" s="236"/>
      <c r="N34" s="236"/>
      <c r="O34" s="129" t="e">
        <f t="shared" si="1"/>
        <v>#DIV/0!</v>
      </c>
      <c r="P34" s="236">
        <f t="shared" si="4"/>
        <v>16779</v>
      </c>
      <c r="Q34" s="236">
        <f t="shared" si="5"/>
        <v>37387</v>
      </c>
      <c r="R34" s="129">
        <f t="shared" si="3"/>
        <v>1.2282019190655</v>
      </c>
      <c r="S34" s="42">
        <v>7332</v>
      </c>
      <c r="T34" s="42"/>
      <c r="U34" s="129">
        <f t="shared" si="6"/>
        <v>-1</v>
      </c>
      <c r="V34" s="42">
        <f t="shared" si="7"/>
        <v>24111</v>
      </c>
      <c r="W34" s="42">
        <f t="shared" si="8"/>
        <v>37387</v>
      </c>
      <c r="X34" s="129">
        <f t="shared" si="9"/>
        <v>0.550620048940318</v>
      </c>
      <c r="Y34" s="60">
        <v>49926</v>
      </c>
      <c r="Z34" s="60">
        <v>71744</v>
      </c>
      <c r="AA34" s="239">
        <f t="shared" si="10"/>
        <v>0.437006770019629</v>
      </c>
      <c r="AB34" s="60">
        <f t="shared" si="11"/>
        <v>74037</v>
      </c>
      <c r="AC34" s="60">
        <f t="shared" si="12"/>
        <v>109131</v>
      </c>
      <c r="AD34" s="239">
        <f t="shared" si="13"/>
        <v>0.474006240123182</v>
      </c>
      <c r="AE34" s="61">
        <v>57887</v>
      </c>
      <c r="AF34" s="235">
        <f>85422-575</f>
        <v>84847</v>
      </c>
      <c r="AG34" s="239">
        <f t="shared" si="14"/>
        <v>0.465734966400055</v>
      </c>
      <c r="AH34" s="235">
        <f t="shared" si="15"/>
        <v>131924</v>
      </c>
      <c r="AI34" s="235">
        <f t="shared" si="16"/>
        <v>193978</v>
      </c>
      <c r="AJ34" s="239">
        <f t="shared" si="17"/>
        <v>0.470376883660289</v>
      </c>
      <c r="AK34" s="241">
        <v>40556</v>
      </c>
      <c r="AL34" s="241">
        <f>20243+141304</f>
        <v>161547</v>
      </c>
      <c r="AM34" s="239">
        <f t="shared" si="18"/>
        <v>2.9833070322517</v>
      </c>
      <c r="AN34" s="241">
        <f t="shared" si="19"/>
        <v>172480</v>
      </c>
      <c r="AO34" s="241">
        <f t="shared" si="20"/>
        <v>355525</v>
      </c>
      <c r="AP34" s="239">
        <f t="shared" si="21"/>
        <v>1.06125347866419</v>
      </c>
      <c r="AQ34" s="241">
        <v>50598</v>
      </c>
      <c r="AR34" s="241">
        <v>25131</v>
      </c>
      <c r="AS34" s="239">
        <f t="shared" si="22"/>
        <v>-0.5033202893395</v>
      </c>
      <c r="AT34" s="241">
        <f t="shared" si="23"/>
        <v>223078</v>
      </c>
      <c r="AU34" s="241">
        <f t="shared" si="24"/>
        <v>380656</v>
      </c>
      <c r="AV34" s="239">
        <f t="shared" si="25"/>
        <v>0.706380727817176</v>
      </c>
      <c r="AW34" s="69">
        <v>56103</v>
      </c>
      <c r="AX34" s="69">
        <v>17220</v>
      </c>
      <c r="AY34" s="239">
        <f t="shared" si="26"/>
        <v>-0.693064542003101</v>
      </c>
      <c r="AZ34" s="69">
        <f t="shared" si="27"/>
        <v>279181</v>
      </c>
      <c r="BA34" s="69">
        <f t="shared" si="28"/>
        <v>397876</v>
      </c>
      <c r="BB34" s="239">
        <f t="shared" si="29"/>
        <v>0.425154290585677</v>
      </c>
      <c r="BC34" s="69">
        <v>42232</v>
      </c>
      <c r="BD34" s="70">
        <v>50318</v>
      </c>
      <c r="BE34" s="70">
        <v>21001</v>
      </c>
      <c r="BF34" s="70"/>
      <c r="BG34" s="70">
        <v>392732</v>
      </c>
      <c r="BH34" s="129">
        <f t="shared" si="30"/>
        <v>0.663126666666667</v>
      </c>
    </row>
    <row r="35" s="110" customFormat="1" hidden="1" spans="1:60">
      <c r="A35" s="137" t="s">
        <v>22</v>
      </c>
      <c r="B35" s="133" t="s">
        <v>22</v>
      </c>
      <c r="C35" s="146" t="s">
        <v>116</v>
      </c>
      <c r="D35" s="229" t="s">
        <v>60</v>
      </c>
      <c r="E35" s="197" t="s">
        <v>60</v>
      </c>
      <c r="F35" s="133" t="s">
        <v>69</v>
      </c>
      <c r="G35" s="133" t="s">
        <v>69</v>
      </c>
      <c r="H35" s="133" t="s">
        <v>62</v>
      </c>
      <c r="I35" s="235">
        <v>0</v>
      </c>
      <c r="J35" s="236"/>
      <c r="K35" s="236"/>
      <c r="L35" s="129" t="e">
        <f t="shared" si="31"/>
        <v>#DIV/0!</v>
      </c>
      <c r="M35" s="236"/>
      <c r="N35" s="236"/>
      <c r="O35" s="129" t="e">
        <f t="shared" si="1"/>
        <v>#DIV/0!</v>
      </c>
      <c r="P35" s="236">
        <f t="shared" si="4"/>
        <v>0</v>
      </c>
      <c r="Q35" s="236">
        <f t="shared" si="5"/>
        <v>0</v>
      </c>
      <c r="R35" s="129" t="e">
        <f t="shared" si="3"/>
        <v>#DIV/0!</v>
      </c>
      <c r="S35" s="42">
        <v>26405</v>
      </c>
      <c r="T35" s="42"/>
      <c r="U35" s="129">
        <f t="shared" si="6"/>
        <v>-1</v>
      </c>
      <c r="V35" s="42">
        <f t="shared" si="7"/>
        <v>26405</v>
      </c>
      <c r="W35" s="42">
        <f t="shared" si="8"/>
        <v>0</v>
      </c>
      <c r="X35" s="129">
        <f t="shared" si="9"/>
        <v>-1</v>
      </c>
      <c r="Y35" s="60"/>
      <c r="Z35" s="60"/>
      <c r="AA35" s="239" t="e">
        <f t="shared" si="10"/>
        <v>#DIV/0!</v>
      </c>
      <c r="AB35" s="60">
        <f t="shared" si="11"/>
        <v>26405</v>
      </c>
      <c r="AC35" s="60">
        <f t="shared" si="12"/>
        <v>0</v>
      </c>
      <c r="AD35" s="239">
        <f t="shared" si="13"/>
        <v>-1</v>
      </c>
      <c r="AE35" s="61"/>
      <c r="AF35" s="235"/>
      <c r="AG35" s="239" t="e">
        <f t="shared" si="14"/>
        <v>#DIV/0!</v>
      </c>
      <c r="AH35" s="235">
        <f t="shared" si="15"/>
        <v>26405</v>
      </c>
      <c r="AI35" s="235">
        <f t="shared" si="16"/>
        <v>0</v>
      </c>
      <c r="AJ35" s="239">
        <f t="shared" si="17"/>
        <v>-1</v>
      </c>
      <c r="AK35" s="241"/>
      <c r="AL35" s="241"/>
      <c r="AM35" s="239" t="e">
        <f t="shared" si="18"/>
        <v>#DIV/0!</v>
      </c>
      <c r="AN35" s="241">
        <f t="shared" si="19"/>
        <v>26405</v>
      </c>
      <c r="AO35" s="241">
        <f t="shared" si="20"/>
        <v>0</v>
      </c>
      <c r="AP35" s="239">
        <f t="shared" si="21"/>
        <v>-1</v>
      </c>
      <c r="AQ35" s="241"/>
      <c r="AR35" s="241"/>
      <c r="AS35" s="239" t="e">
        <f t="shared" si="22"/>
        <v>#DIV/0!</v>
      </c>
      <c r="AT35" s="241">
        <f t="shared" si="23"/>
        <v>26405</v>
      </c>
      <c r="AU35" s="241">
        <f t="shared" si="24"/>
        <v>0</v>
      </c>
      <c r="AV35" s="239">
        <f t="shared" si="25"/>
        <v>-1</v>
      </c>
      <c r="AW35" s="69"/>
      <c r="AX35" s="69"/>
      <c r="AY35" s="239" t="e">
        <f t="shared" si="26"/>
        <v>#DIV/0!</v>
      </c>
      <c r="AZ35" s="69">
        <f t="shared" si="27"/>
        <v>26405</v>
      </c>
      <c r="BA35" s="69">
        <f t="shared" si="28"/>
        <v>0</v>
      </c>
      <c r="BB35" s="239">
        <f t="shared" si="29"/>
        <v>-1</v>
      </c>
      <c r="BC35" s="69"/>
      <c r="BD35" s="70"/>
      <c r="BE35" s="70"/>
      <c r="BF35" s="70"/>
      <c r="BG35" s="70">
        <v>26405</v>
      </c>
      <c r="BH35" s="129" t="e">
        <f t="shared" si="30"/>
        <v>#DIV/0!</v>
      </c>
    </row>
    <row r="36" s="110" customFormat="1" hidden="1" spans="1:60">
      <c r="A36" s="137" t="s">
        <v>22</v>
      </c>
      <c r="B36" s="133" t="s">
        <v>22</v>
      </c>
      <c r="C36" s="189" t="s">
        <v>117</v>
      </c>
      <c r="D36" s="229" t="s">
        <v>60</v>
      </c>
      <c r="E36" s="197" t="s">
        <v>60</v>
      </c>
      <c r="F36" s="141" t="s">
        <v>75</v>
      </c>
      <c r="G36" s="197" t="s">
        <v>79</v>
      </c>
      <c r="H36" s="133" t="s">
        <v>102</v>
      </c>
      <c r="I36" s="235"/>
      <c r="J36" s="236">
        <v>50000</v>
      </c>
      <c r="K36" s="236"/>
      <c r="L36" s="129">
        <f t="shared" si="31"/>
        <v>-1</v>
      </c>
      <c r="M36" s="236">
        <v>39000</v>
      </c>
      <c r="N36" s="236">
        <v>20000</v>
      </c>
      <c r="O36" s="129">
        <f t="shared" si="1"/>
        <v>-0.487179487179487</v>
      </c>
      <c r="P36" s="236">
        <f t="shared" si="4"/>
        <v>89000</v>
      </c>
      <c r="Q36" s="236">
        <f t="shared" si="5"/>
        <v>20000</v>
      </c>
      <c r="R36" s="129">
        <f t="shared" si="3"/>
        <v>-0.775280898876405</v>
      </c>
      <c r="S36" s="42">
        <v>35000</v>
      </c>
      <c r="T36" s="42"/>
      <c r="U36" s="129">
        <f t="shared" si="6"/>
        <v>-1</v>
      </c>
      <c r="V36" s="42">
        <f t="shared" si="7"/>
        <v>124000</v>
      </c>
      <c r="W36" s="42">
        <f t="shared" si="8"/>
        <v>20000</v>
      </c>
      <c r="X36" s="129">
        <f t="shared" si="9"/>
        <v>-0.838709677419355</v>
      </c>
      <c r="Y36" s="60">
        <v>190000</v>
      </c>
      <c r="Z36" s="60"/>
      <c r="AA36" s="239">
        <f t="shared" si="10"/>
        <v>-1</v>
      </c>
      <c r="AB36" s="60">
        <f t="shared" si="11"/>
        <v>314000</v>
      </c>
      <c r="AC36" s="60">
        <f t="shared" si="12"/>
        <v>20000</v>
      </c>
      <c r="AD36" s="239">
        <f t="shared" si="13"/>
        <v>-0.936305732484076</v>
      </c>
      <c r="AE36" s="61">
        <v>50000</v>
      </c>
      <c r="AF36" s="235"/>
      <c r="AG36" s="239">
        <f t="shared" si="14"/>
        <v>-1</v>
      </c>
      <c r="AH36" s="235">
        <f t="shared" si="15"/>
        <v>364000</v>
      </c>
      <c r="AI36" s="235">
        <f t="shared" si="16"/>
        <v>20000</v>
      </c>
      <c r="AJ36" s="239">
        <f t="shared" si="17"/>
        <v>-0.945054945054945</v>
      </c>
      <c r="AK36" s="241">
        <v>139500</v>
      </c>
      <c r="AL36" s="241">
        <v>10000</v>
      </c>
      <c r="AM36" s="239">
        <f t="shared" si="18"/>
        <v>-0.92831541218638</v>
      </c>
      <c r="AN36" s="241">
        <f t="shared" si="19"/>
        <v>503500</v>
      </c>
      <c r="AO36" s="241">
        <f t="shared" si="20"/>
        <v>30000</v>
      </c>
      <c r="AP36" s="239">
        <f t="shared" si="21"/>
        <v>-0.940417080436941</v>
      </c>
      <c r="AQ36" s="241">
        <v>52000</v>
      </c>
      <c r="AR36" s="241"/>
      <c r="AS36" s="239">
        <f t="shared" si="22"/>
        <v>-1</v>
      </c>
      <c r="AT36" s="241">
        <f t="shared" si="23"/>
        <v>555500</v>
      </c>
      <c r="AU36" s="241">
        <f t="shared" si="24"/>
        <v>30000</v>
      </c>
      <c r="AV36" s="239">
        <f t="shared" si="25"/>
        <v>-0.945994599459946</v>
      </c>
      <c r="AW36" s="69"/>
      <c r="AX36" s="69"/>
      <c r="AY36" s="239" t="e">
        <f t="shared" si="26"/>
        <v>#DIV/0!</v>
      </c>
      <c r="AZ36" s="69">
        <f t="shared" si="27"/>
        <v>555500</v>
      </c>
      <c r="BA36" s="69">
        <f t="shared" si="28"/>
        <v>30000</v>
      </c>
      <c r="BB36" s="239">
        <f t="shared" si="29"/>
        <v>-0.945994599459946</v>
      </c>
      <c r="BC36" s="69">
        <v>30000</v>
      </c>
      <c r="BD36" s="70">
        <v>27000</v>
      </c>
      <c r="BE36" s="70"/>
      <c r="BF36" s="70">
        <v>28000</v>
      </c>
      <c r="BG36" s="70">
        <v>554479</v>
      </c>
      <c r="BH36" s="129" t="e">
        <f t="shared" si="30"/>
        <v>#DIV/0!</v>
      </c>
    </row>
    <row r="37" s="110" customFormat="1" hidden="1" spans="1:60">
      <c r="A37" s="137" t="s">
        <v>22</v>
      </c>
      <c r="B37" s="133" t="s">
        <v>22</v>
      </c>
      <c r="C37" s="133" t="s">
        <v>118</v>
      </c>
      <c r="D37" s="145" t="s">
        <v>60</v>
      </c>
      <c r="E37" s="197" t="s">
        <v>60</v>
      </c>
      <c r="F37" s="141" t="s">
        <v>75</v>
      </c>
      <c r="G37" s="197" t="s">
        <v>79</v>
      </c>
      <c r="H37" s="133" t="s">
        <v>102</v>
      </c>
      <c r="I37" s="235"/>
      <c r="J37" s="236"/>
      <c r="K37" s="236">
        <v>5208.12</v>
      </c>
      <c r="L37" s="129" t="e">
        <f t="shared" si="31"/>
        <v>#DIV/0!</v>
      </c>
      <c r="M37" s="236"/>
      <c r="N37" s="236">
        <v>713</v>
      </c>
      <c r="O37" s="129" t="e">
        <f t="shared" si="1"/>
        <v>#DIV/0!</v>
      </c>
      <c r="P37" s="236">
        <f t="shared" si="4"/>
        <v>0</v>
      </c>
      <c r="Q37" s="236">
        <f t="shared" si="5"/>
        <v>5921.12</v>
      </c>
      <c r="R37" s="129" t="e">
        <f t="shared" si="3"/>
        <v>#DIV/0!</v>
      </c>
      <c r="S37" s="42"/>
      <c r="T37" s="42"/>
      <c r="U37" s="129" t="e">
        <f t="shared" si="6"/>
        <v>#DIV/0!</v>
      </c>
      <c r="V37" s="42">
        <f t="shared" si="7"/>
        <v>0</v>
      </c>
      <c r="W37" s="42">
        <f t="shared" si="8"/>
        <v>5921.12</v>
      </c>
      <c r="X37" s="129" t="e">
        <f t="shared" si="9"/>
        <v>#DIV/0!</v>
      </c>
      <c r="Y37" s="60"/>
      <c r="Z37" s="60"/>
      <c r="AA37" s="239" t="e">
        <f t="shared" si="10"/>
        <v>#DIV/0!</v>
      </c>
      <c r="AB37" s="60">
        <f t="shared" si="11"/>
        <v>0</v>
      </c>
      <c r="AC37" s="60">
        <f t="shared" si="12"/>
        <v>5921.12</v>
      </c>
      <c r="AD37" s="239" t="e">
        <f t="shared" si="13"/>
        <v>#DIV/0!</v>
      </c>
      <c r="AE37" s="61"/>
      <c r="AF37" s="235"/>
      <c r="AG37" s="239" t="e">
        <f t="shared" si="14"/>
        <v>#DIV/0!</v>
      </c>
      <c r="AH37" s="235">
        <f t="shared" si="15"/>
        <v>0</v>
      </c>
      <c r="AI37" s="235">
        <f t="shared" si="16"/>
        <v>5921.12</v>
      </c>
      <c r="AJ37" s="239" t="e">
        <f t="shared" si="17"/>
        <v>#DIV/0!</v>
      </c>
      <c r="AK37" s="60"/>
      <c r="AL37" s="241"/>
      <c r="AM37" s="239" t="e">
        <f t="shared" si="18"/>
        <v>#DIV/0!</v>
      </c>
      <c r="AN37" s="241">
        <f t="shared" si="19"/>
        <v>0</v>
      </c>
      <c r="AO37" s="241">
        <f t="shared" si="20"/>
        <v>5921.12</v>
      </c>
      <c r="AP37" s="239" t="e">
        <f t="shared" si="21"/>
        <v>#DIV/0!</v>
      </c>
      <c r="AQ37" s="241">
        <v>1971.76</v>
      </c>
      <c r="AR37" s="241"/>
      <c r="AS37" s="239">
        <f t="shared" si="22"/>
        <v>-1</v>
      </c>
      <c r="AT37" s="241">
        <f t="shared" si="23"/>
        <v>1971.76</v>
      </c>
      <c r="AU37" s="241">
        <f t="shared" si="24"/>
        <v>5921.12</v>
      </c>
      <c r="AV37" s="239">
        <f t="shared" si="25"/>
        <v>2.00296182091127</v>
      </c>
      <c r="AW37" s="69">
        <v>3472.08</v>
      </c>
      <c r="AX37" s="69"/>
      <c r="AY37" s="239">
        <f t="shared" si="26"/>
        <v>-1</v>
      </c>
      <c r="AZ37" s="69">
        <f t="shared" si="27"/>
        <v>5443.84</v>
      </c>
      <c r="BA37" s="69">
        <f t="shared" si="28"/>
        <v>5921.12</v>
      </c>
      <c r="BB37" s="239">
        <f t="shared" si="29"/>
        <v>0.0876734070068186</v>
      </c>
      <c r="BC37" s="69">
        <v>885.4</v>
      </c>
      <c r="BD37" s="70">
        <v>3797.04</v>
      </c>
      <c r="BE37" s="70">
        <v>2514.36</v>
      </c>
      <c r="BF37" s="70">
        <v>0</v>
      </c>
      <c r="BG37" s="70">
        <v>12640.64</v>
      </c>
      <c r="BH37" s="129" t="e">
        <f t="shared" si="30"/>
        <v>#DIV/0!</v>
      </c>
    </row>
    <row r="38" s="110" customFormat="1" hidden="1" spans="1:60">
      <c r="A38" s="137" t="s">
        <v>22</v>
      </c>
      <c r="B38" s="133" t="s">
        <v>22</v>
      </c>
      <c r="C38" s="146" t="s">
        <v>119</v>
      </c>
      <c r="D38" s="145" t="s">
        <v>60</v>
      </c>
      <c r="E38" s="197" t="s">
        <v>60</v>
      </c>
      <c r="F38" s="141" t="s">
        <v>75</v>
      </c>
      <c r="G38" s="197" t="s">
        <v>79</v>
      </c>
      <c r="H38" s="133" t="s">
        <v>80</v>
      </c>
      <c r="I38" s="235">
        <v>10</v>
      </c>
      <c r="J38" s="236"/>
      <c r="K38" s="236"/>
      <c r="L38" s="129" t="e">
        <f t="shared" si="31"/>
        <v>#DIV/0!</v>
      </c>
      <c r="M38" s="236"/>
      <c r="N38" s="236"/>
      <c r="O38" s="129" t="e">
        <f t="shared" si="1"/>
        <v>#DIV/0!</v>
      </c>
      <c r="P38" s="236">
        <f t="shared" si="4"/>
        <v>0</v>
      </c>
      <c r="Q38" s="236">
        <f t="shared" si="5"/>
        <v>0</v>
      </c>
      <c r="R38" s="129" t="e">
        <f t="shared" si="3"/>
        <v>#DIV/0!</v>
      </c>
      <c r="S38" s="42"/>
      <c r="T38" s="42"/>
      <c r="U38" s="129" t="e">
        <f t="shared" si="6"/>
        <v>#DIV/0!</v>
      </c>
      <c r="V38" s="42">
        <f t="shared" si="7"/>
        <v>0</v>
      </c>
      <c r="W38" s="42">
        <f t="shared" si="8"/>
        <v>0</v>
      </c>
      <c r="X38" s="129" t="e">
        <f t="shared" si="9"/>
        <v>#DIV/0!</v>
      </c>
      <c r="Y38" s="60"/>
      <c r="Z38" s="60"/>
      <c r="AA38" s="239" t="e">
        <f t="shared" si="10"/>
        <v>#DIV/0!</v>
      </c>
      <c r="AB38" s="60">
        <f t="shared" si="11"/>
        <v>0</v>
      </c>
      <c r="AC38" s="60">
        <f t="shared" si="12"/>
        <v>0</v>
      </c>
      <c r="AD38" s="239" t="e">
        <f t="shared" si="13"/>
        <v>#DIV/0!</v>
      </c>
      <c r="AE38" s="61"/>
      <c r="AF38" s="235"/>
      <c r="AG38" s="239" t="e">
        <f t="shared" si="14"/>
        <v>#DIV/0!</v>
      </c>
      <c r="AH38" s="235">
        <f t="shared" si="15"/>
        <v>0</v>
      </c>
      <c r="AI38" s="235">
        <f t="shared" si="16"/>
        <v>0</v>
      </c>
      <c r="AJ38" s="239" t="e">
        <f t="shared" si="17"/>
        <v>#DIV/0!</v>
      </c>
      <c r="AK38" s="60"/>
      <c r="AL38" s="241"/>
      <c r="AM38" s="239" t="e">
        <f t="shared" si="18"/>
        <v>#DIV/0!</v>
      </c>
      <c r="AN38" s="241">
        <f t="shared" si="19"/>
        <v>0</v>
      </c>
      <c r="AO38" s="241">
        <f t="shared" si="20"/>
        <v>0</v>
      </c>
      <c r="AP38" s="239" t="e">
        <f t="shared" si="21"/>
        <v>#DIV/0!</v>
      </c>
      <c r="AQ38" s="241"/>
      <c r="AR38" s="241">
        <v>6789</v>
      </c>
      <c r="AS38" s="239" t="e">
        <f t="shared" si="22"/>
        <v>#DIV/0!</v>
      </c>
      <c r="AT38" s="241">
        <f t="shared" si="23"/>
        <v>0</v>
      </c>
      <c r="AU38" s="241">
        <f t="shared" si="24"/>
        <v>6789</v>
      </c>
      <c r="AV38" s="239" t="e">
        <f t="shared" si="25"/>
        <v>#DIV/0!</v>
      </c>
      <c r="AW38" s="69">
        <v>18173</v>
      </c>
      <c r="AX38" s="69"/>
      <c r="AY38" s="239">
        <f t="shared" si="26"/>
        <v>-1</v>
      </c>
      <c r="AZ38" s="69">
        <f t="shared" si="27"/>
        <v>18173</v>
      </c>
      <c r="BA38" s="69">
        <f t="shared" si="28"/>
        <v>6789</v>
      </c>
      <c r="BB38" s="239">
        <f t="shared" si="29"/>
        <v>-0.626423815550542</v>
      </c>
      <c r="BC38" s="69">
        <v>10416</v>
      </c>
      <c r="BD38" s="70"/>
      <c r="BE38" s="70"/>
      <c r="BF38" s="70"/>
      <c r="BG38" s="70">
        <v>28589</v>
      </c>
      <c r="BH38" s="129">
        <f t="shared" si="30"/>
        <v>0.06789</v>
      </c>
    </row>
    <row r="39" s="110" customFormat="1" spans="1:60">
      <c r="A39" s="230" t="s">
        <v>22</v>
      </c>
      <c r="B39" s="231" t="s">
        <v>22</v>
      </c>
      <c r="C39" s="146" t="s">
        <v>120</v>
      </c>
      <c r="D39" s="145" t="s">
        <v>83</v>
      </c>
      <c r="E39" s="197" t="s">
        <v>83</v>
      </c>
      <c r="F39" s="141" t="s">
        <v>75</v>
      </c>
      <c r="G39" s="197" t="s">
        <v>99</v>
      </c>
      <c r="H39" s="61" t="s">
        <v>84</v>
      </c>
      <c r="I39" s="235">
        <v>370</v>
      </c>
      <c r="J39" s="236"/>
      <c r="K39" s="236">
        <v>128272</v>
      </c>
      <c r="L39" s="129" t="e">
        <f t="shared" si="31"/>
        <v>#DIV/0!</v>
      </c>
      <c r="M39" s="236"/>
      <c r="N39" s="236">
        <f>306557-6125</f>
        <v>300432</v>
      </c>
      <c r="O39" s="129" t="e">
        <f t="shared" si="1"/>
        <v>#DIV/0!</v>
      </c>
      <c r="P39" s="236">
        <f t="shared" si="4"/>
        <v>0</v>
      </c>
      <c r="Q39" s="236">
        <f t="shared" si="5"/>
        <v>428704</v>
      </c>
      <c r="R39" s="129" t="e">
        <f t="shared" si="3"/>
        <v>#DIV/0!</v>
      </c>
      <c r="S39" s="42"/>
      <c r="T39" s="42">
        <v>378127</v>
      </c>
      <c r="U39" s="129" t="e">
        <f t="shared" si="6"/>
        <v>#DIV/0!</v>
      </c>
      <c r="V39" s="42">
        <f t="shared" si="7"/>
        <v>0</v>
      </c>
      <c r="W39" s="42">
        <f t="shared" si="8"/>
        <v>806831</v>
      </c>
      <c r="X39" s="129" t="e">
        <f t="shared" si="9"/>
        <v>#DIV/0!</v>
      </c>
      <c r="Y39" s="60"/>
      <c r="Z39" s="60">
        <v>418240</v>
      </c>
      <c r="AA39" s="239" t="e">
        <f t="shared" si="10"/>
        <v>#DIV/0!</v>
      </c>
      <c r="AB39" s="60">
        <f t="shared" si="11"/>
        <v>0</v>
      </c>
      <c r="AC39" s="60">
        <f t="shared" si="12"/>
        <v>1225071</v>
      </c>
      <c r="AD39" s="239" t="e">
        <f t="shared" si="13"/>
        <v>#DIV/0!</v>
      </c>
      <c r="AE39" s="61"/>
      <c r="AF39" s="235">
        <v>306225</v>
      </c>
      <c r="AG39" s="239" t="e">
        <f t="shared" si="14"/>
        <v>#DIV/0!</v>
      </c>
      <c r="AH39" s="235">
        <f t="shared" si="15"/>
        <v>0</v>
      </c>
      <c r="AI39" s="235">
        <f t="shared" si="16"/>
        <v>1531296</v>
      </c>
      <c r="AJ39" s="239" t="e">
        <f t="shared" si="17"/>
        <v>#DIV/0!</v>
      </c>
      <c r="AK39" s="60"/>
      <c r="AL39" s="241">
        <v>574778</v>
      </c>
      <c r="AM39" s="239" t="e">
        <f t="shared" si="18"/>
        <v>#DIV/0!</v>
      </c>
      <c r="AN39" s="241">
        <f t="shared" si="19"/>
        <v>0</v>
      </c>
      <c r="AO39" s="241">
        <f t="shared" si="20"/>
        <v>2106074</v>
      </c>
      <c r="AP39" s="239" t="e">
        <f t="shared" si="21"/>
        <v>#DIV/0!</v>
      </c>
      <c r="AQ39" s="241"/>
      <c r="AR39" s="241">
        <v>166425</v>
      </c>
      <c r="AS39" s="239" t="e">
        <f t="shared" si="22"/>
        <v>#DIV/0!</v>
      </c>
      <c r="AT39" s="241">
        <f t="shared" si="23"/>
        <v>0</v>
      </c>
      <c r="AU39" s="241">
        <f t="shared" si="24"/>
        <v>2272499</v>
      </c>
      <c r="AV39" s="239" t="e">
        <f t="shared" si="25"/>
        <v>#DIV/0!</v>
      </c>
      <c r="AW39" s="69"/>
      <c r="AX39" s="69">
        <f>178386+17758+5061</f>
        <v>201205</v>
      </c>
      <c r="AY39" s="239" t="e">
        <f t="shared" si="26"/>
        <v>#DIV/0!</v>
      </c>
      <c r="AZ39" s="69">
        <f t="shared" si="27"/>
        <v>0</v>
      </c>
      <c r="BA39" s="69">
        <f t="shared" si="28"/>
        <v>2473704</v>
      </c>
      <c r="BB39" s="239" t="e">
        <f t="shared" si="29"/>
        <v>#DIV/0!</v>
      </c>
      <c r="BC39" s="69">
        <v>16307</v>
      </c>
      <c r="BD39" s="70">
        <v>397749</v>
      </c>
      <c r="BE39" s="70">
        <v>198239</v>
      </c>
      <c r="BF39" s="70">
        <v>452484</v>
      </c>
      <c r="BG39" s="70">
        <v>1064779</v>
      </c>
      <c r="BH39" s="129">
        <f t="shared" si="30"/>
        <v>0.668568648648649</v>
      </c>
    </row>
    <row r="40" s="110" customFormat="1" spans="1:60">
      <c r="A40" s="230" t="s">
        <v>22</v>
      </c>
      <c r="B40" s="231" t="s">
        <v>22</v>
      </c>
      <c r="C40" s="146" t="s">
        <v>121</v>
      </c>
      <c r="D40" s="145" t="s">
        <v>83</v>
      </c>
      <c r="E40" s="197" t="s">
        <v>83</v>
      </c>
      <c r="F40" s="141" t="s">
        <v>56</v>
      </c>
      <c r="G40" s="197" t="s">
        <v>79</v>
      </c>
      <c r="H40" s="61" t="s">
        <v>84</v>
      </c>
      <c r="I40" s="235">
        <v>170</v>
      </c>
      <c r="J40" s="236"/>
      <c r="K40" s="236">
        <v>840</v>
      </c>
      <c r="L40" s="129" t="e">
        <f t="shared" si="31"/>
        <v>#DIV/0!</v>
      </c>
      <c r="M40" s="236"/>
      <c r="N40" s="236">
        <v>30008</v>
      </c>
      <c r="O40" s="129" t="e">
        <f t="shared" si="1"/>
        <v>#DIV/0!</v>
      </c>
      <c r="P40" s="236">
        <f t="shared" si="4"/>
        <v>0</v>
      </c>
      <c r="Q40" s="236">
        <f t="shared" si="5"/>
        <v>30848</v>
      </c>
      <c r="R40" s="129" t="e">
        <f t="shared" si="3"/>
        <v>#DIV/0!</v>
      </c>
      <c r="S40" s="42"/>
      <c r="T40" s="42">
        <v>250109.6</v>
      </c>
      <c r="U40" s="129" t="e">
        <f t="shared" si="6"/>
        <v>#DIV/0!</v>
      </c>
      <c r="V40" s="42">
        <f t="shared" si="7"/>
        <v>0</v>
      </c>
      <c r="W40" s="42">
        <f t="shared" si="8"/>
        <v>280957.6</v>
      </c>
      <c r="X40" s="129" t="e">
        <f t="shared" si="9"/>
        <v>#DIV/0!</v>
      </c>
      <c r="Y40" s="60"/>
      <c r="Z40" s="60">
        <v>296574</v>
      </c>
      <c r="AA40" s="239" t="e">
        <f t="shared" si="10"/>
        <v>#DIV/0!</v>
      </c>
      <c r="AB40" s="60">
        <f t="shared" si="11"/>
        <v>0</v>
      </c>
      <c r="AC40" s="60">
        <f t="shared" si="12"/>
        <v>577531.6</v>
      </c>
      <c r="AD40" s="239" t="e">
        <f t="shared" si="13"/>
        <v>#DIV/0!</v>
      </c>
      <c r="AE40" s="61"/>
      <c r="AF40" s="235">
        <v>255533</v>
      </c>
      <c r="AG40" s="239" t="e">
        <f t="shared" si="14"/>
        <v>#DIV/0!</v>
      </c>
      <c r="AH40" s="235">
        <f t="shared" si="15"/>
        <v>0</v>
      </c>
      <c r="AI40" s="235">
        <f t="shared" si="16"/>
        <v>833064.6</v>
      </c>
      <c r="AJ40" s="239" t="e">
        <f t="shared" si="17"/>
        <v>#DIV/0!</v>
      </c>
      <c r="AK40" s="60"/>
      <c r="AL40" s="241">
        <v>386476</v>
      </c>
      <c r="AM40" s="239" t="e">
        <f t="shared" si="18"/>
        <v>#DIV/0!</v>
      </c>
      <c r="AN40" s="241">
        <f t="shared" si="19"/>
        <v>0</v>
      </c>
      <c r="AO40" s="241">
        <f t="shared" si="20"/>
        <v>1219540.6</v>
      </c>
      <c r="AP40" s="239" t="e">
        <f t="shared" si="21"/>
        <v>#DIV/0!</v>
      </c>
      <c r="AQ40" s="241"/>
      <c r="AR40" s="241">
        <v>63776</v>
      </c>
      <c r="AS40" s="239" t="e">
        <f t="shared" si="22"/>
        <v>#DIV/0!</v>
      </c>
      <c r="AT40" s="241">
        <f t="shared" si="23"/>
        <v>0</v>
      </c>
      <c r="AU40" s="241">
        <f t="shared" si="24"/>
        <v>1283316.6</v>
      </c>
      <c r="AV40" s="239" t="e">
        <f t="shared" si="25"/>
        <v>#DIV/0!</v>
      </c>
      <c r="AW40" s="69"/>
      <c r="AX40" s="69">
        <v>105175</v>
      </c>
      <c r="AY40" s="239" t="e">
        <f t="shared" si="26"/>
        <v>#DIV/0!</v>
      </c>
      <c r="AZ40" s="69">
        <f t="shared" si="27"/>
        <v>0</v>
      </c>
      <c r="BA40" s="69">
        <f t="shared" si="28"/>
        <v>1388491.6</v>
      </c>
      <c r="BB40" s="239" t="e">
        <f t="shared" si="29"/>
        <v>#DIV/0!</v>
      </c>
      <c r="BC40" s="69"/>
      <c r="BD40" s="70"/>
      <c r="BE40" s="70">
        <v>898</v>
      </c>
      <c r="BF40" s="70">
        <v>11486</v>
      </c>
      <c r="BG40" s="70">
        <v>12384</v>
      </c>
      <c r="BH40" s="129">
        <f t="shared" si="30"/>
        <v>0.816759764705882</v>
      </c>
    </row>
    <row r="41" s="110" customFormat="1" hidden="1" spans="1:60">
      <c r="A41" s="230" t="s">
        <v>22</v>
      </c>
      <c r="B41" s="231" t="s">
        <v>22</v>
      </c>
      <c r="C41" s="146" t="s">
        <v>122</v>
      </c>
      <c r="D41" s="145" t="s">
        <v>60</v>
      </c>
      <c r="E41" s="197" t="s">
        <v>60</v>
      </c>
      <c r="F41" s="141" t="s">
        <v>75</v>
      </c>
      <c r="G41" s="197"/>
      <c r="H41" s="133" t="s">
        <v>102</v>
      </c>
      <c r="I41" s="235"/>
      <c r="J41" s="236"/>
      <c r="K41" s="236"/>
      <c r="L41" s="129" t="e">
        <f t="shared" si="31"/>
        <v>#DIV/0!</v>
      </c>
      <c r="M41" s="236"/>
      <c r="N41" s="236"/>
      <c r="O41" s="129" t="e">
        <f t="shared" si="1"/>
        <v>#DIV/0!</v>
      </c>
      <c r="P41" s="236">
        <f t="shared" si="4"/>
        <v>0</v>
      </c>
      <c r="Q41" s="236">
        <f t="shared" si="5"/>
        <v>0</v>
      </c>
      <c r="R41" s="129" t="e">
        <f t="shared" si="3"/>
        <v>#DIV/0!</v>
      </c>
      <c r="S41" s="42"/>
      <c r="T41" s="42"/>
      <c r="U41" s="129" t="e">
        <f t="shared" si="6"/>
        <v>#DIV/0!</v>
      </c>
      <c r="V41" s="42">
        <f t="shared" si="7"/>
        <v>0</v>
      </c>
      <c r="W41" s="42">
        <f t="shared" si="8"/>
        <v>0</v>
      </c>
      <c r="X41" s="129" t="e">
        <f t="shared" si="9"/>
        <v>#DIV/0!</v>
      </c>
      <c r="Y41" s="60"/>
      <c r="Z41" s="60"/>
      <c r="AA41" s="239" t="e">
        <f t="shared" si="10"/>
        <v>#DIV/0!</v>
      </c>
      <c r="AB41" s="60">
        <f t="shared" si="11"/>
        <v>0</v>
      </c>
      <c r="AC41" s="60">
        <f t="shared" si="12"/>
        <v>0</v>
      </c>
      <c r="AD41" s="239" t="e">
        <f t="shared" si="13"/>
        <v>#DIV/0!</v>
      </c>
      <c r="AE41" s="61"/>
      <c r="AF41" s="235"/>
      <c r="AG41" s="239" t="e">
        <f t="shared" si="14"/>
        <v>#DIV/0!</v>
      </c>
      <c r="AH41" s="235">
        <f t="shared" si="15"/>
        <v>0</v>
      </c>
      <c r="AI41" s="235">
        <f t="shared" si="16"/>
        <v>0</v>
      </c>
      <c r="AJ41" s="239" t="e">
        <f t="shared" si="17"/>
        <v>#DIV/0!</v>
      </c>
      <c r="AK41" s="60"/>
      <c r="AL41" s="241"/>
      <c r="AM41" s="239" t="e">
        <f t="shared" si="18"/>
        <v>#DIV/0!</v>
      </c>
      <c r="AN41" s="241">
        <f t="shared" si="19"/>
        <v>0</v>
      </c>
      <c r="AO41" s="241">
        <f t="shared" si="20"/>
        <v>0</v>
      </c>
      <c r="AP41" s="239" t="e">
        <f t="shared" si="21"/>
        <v>#DIV/0!</v>
      </c>
      <c r="AQ41" s="241"/>
      <c r="AR41" s="241"/>
      <c r="AS41" s="239" t="e">
        <f t="shared" si="22"/>
        <v>#DIV/0!</v>
      </c>
      <c r="AT41" s="241">
        <f t="shared" si="23"/>
        <v>0</v>
      </c>
      <c r="AU41" s="241">
        <f t="shared" si="24"/>
        <v>0</v>
      </c>
      <c r="AV41" s="239" t="e">
        <f t="shared" si="25"/>
        <v>#DIV/0!</v>
      </c>
      <c r="AW41" s="69"/>
      <c r="AX41" s="69"/>
      <c r="AY41" s="239" t="e">
        <f t="shared" si="26"/>
        <v>#DIV/0!</v>
      </c>
      <c r="AZ41" s="69">
        <f t="shared" si="27"/>
        <v>0</v>
      </c>
      <c r="BA41" s="69">
        <f t="shared" si="28"/>
        <v>0</v>
      </c>
      <c r="BB41" s="239" t="e">
        <f t="shared" si="29"/>
        <v>#DIV/0!</v>
      </c>
      <c r="BC41" s="69"/>
      <c r="BD41" s="70"/>
      <c r="BE41" s="70"/>
      <c r="BF41" s="70">
        <v>836</v>
      </c>
      <c r="BG41" s="70">
        <v>836</v>
      </c>
      <c r="BH41" s="129" t="e">
        <f t="shared" si="30"/>
        <v>#DIV/0!</v>
      </c>
    </row>
    <row r="42" s="110" customFormat="1" hidden="1" spans="1:62">
      <c r="A42" s="230" t="s">
        <v>22</v>
      </c>
      <c r="B42" s="231" t="s">
        <v>22</v>
      </c>
      <c r="C42" s="146" t="s">
        <v>123</v>
      </c>
      <c r="D42" s="141" t="s">
        <v>113</v>
      </c>
      <c r="E42" s="141" t="s">
        <v>113</v>
      </c>
      <c r="F42" s="141" t="s">
        <v>75</v>
      </c>
      <c r="G42" s="197" t="s">
        <v>124</v>
      </c>
      <c r="H42" s="61" t="s">
        <v>111</v>
      </c>
      <c r="I42" s="235">
        <v>80</v>
      </c>
      <c r="J42" s="236"/>
      <c r="K42" s="236"/>
      <c r="L42" s="129"/>
      <c r="M42" s="236"/>
      <c r="N42" s="236"/>
      <c r="O42" s="129"/>
      <c r="P42" s="236"/>
      <c r="Q42" s="236"/>
      <c r="R42" s="129"/>
      <c r="S42" s="42"/>
      <c r="T42" s="42">
        <v>10661</v>
      </c>
      <c r="U42" s="129" t="e">
        <f t="shared" si="6"/>
        <v>#DIV/0!</v>
      </c>
      <c r="V42" s="42">
        <f t="shared" si="7"/>
        <v>0</v>
      </c>
      <c r="W42" s="42">
        <f t="shared" si="8"/>
        <v>10661</v>
      </c>
      <c r="X42" s="129" t="e">
        <f t="shared" si="9"/>
        <v>#DIV/0!</v>
      </c>
      <c r="Y42" s="60"/>
      <c r="Z42" s="60">
        <v>15411</v>
      </c>
      <c r="AA42" s="239" t="e">
        <f t="shared" si="10"/>
        <v>#DIV/0!</v>
      </c>
      <c r="AB42" s="60">
        <f t="shared" si="11"/>
        <v>0</v>
      </c>
      <c r="AC42" s="60">
        <f t="shared" si="12"/>
        <v>26072</v>
      </c>
      <c r="AD42" s="239" t="e">
        <f t="shared" si="13"/>
        <v>#DIV/0!</v>
      </c>
      <c r="AE42" s="61"/>
      <c r="AF42" s="235">
        <v>3348</v>
      </c>
      <c r="AG42" s="239" t="e">
        <f t="shared" si="14"/>
        <v>#DIV/0!</v>
      </c>
      <c r="AH42" s="235">
        <f t="shared" si="15"/>
        <v>0</v>
      </c>
      <c r="AI42" s="235">
        <f t="shared" si="16"/>
        <v>29420</v>
      </c>
      <c r="AJ42" s="239" t="e">
        <f t="shared" si="17"/>
        <v>#DIV/0!</v>
      </c>
      <c r="AK42" s="60"/>
      <c r="AL42" s="241"/>
      <c r="AM42" s="239" t="e">
        <f t="shared" si="18"/>
        <v>#DIV/0!</v>
      </c>
      <c r="AN42" s="241">
        <f t="shared" si="19"/>
        <v>0</v>
      </c>
      <c r="AO42" s="241">
        <f t="shared" si="20"/>
        <v>29420</v>
      </c>
      <c r="AP42" s="239" t="e">
        <f t="shared" si="21"/>
        <v>#DIV/0!</v>
      </c>
      <c r="AQ42" s="241"/>
      <c r="AR42" s="241"/>
      <c r="AS42" s="239" t="e">
        <f t="shared" si="22"/>
        <v>#DIV/0!</v>
      </c>
      <c r="AT42" s="241">
        <f t="shared" si="23"/>
        <v>0</v>
      </c>
      <c r="AU42" s="241">
        <f t="shared" si="24"/>
        <v>29420</v>
      </c>
      <c r="AV42" s="239" t="e">
        <f t="shared" si="25"/>
        <v>#DIV/0!</v>
      </c>
      <c r="AW42" s="69"/>
      <c r="AX42" s="69"/>
      <c r="AY42" s="239" t="e">
        <f t="shared" si="26"/>
        <v>#DIV/0!</v>
      </c>
      <c r="AZ42" s="69">
        <f t="shared" si="27"/>
        <v>0</v>
      </c>
      <c r="BA42" s="69">
        <f t="shared" si="28"/>
        <v>29420</v>
      </c>
      <c r="BB42" s="239" t="e">
        <f t="shared" si="29"/>
        <v>#DIV/0!</v>
      </c>
      <c r="BC42" s="69"/>
      <c r="BD42" s="70"/>
      <c r="BE42" s="70"/>
      <c r="BF42" s="70"/>
      <c r="BG42" s="70"/>
      <c r="BH42" s="129">
        <f t="shared" si="30"/>
        <v>0.036775</v>
      </c>
      <c r="BJ42" s="110">
        <v>20000</v>
      </c>
    </row>
    <row r="43" s="110" customFormat="1" hidden="1" spans="1:60">
      <c r="A43" s="230" t="s">
        <v>22</v>
      </c>
      <c r="B43" s="231" t="s">
        <v>22</v>
      </c>
      <c r="C43" s="146" t="s">
        <v>125</v>
      </c>
      <c r="D43" s="141" t="s">
        <v>113</v>
      </c>
      <c r="E43" s="141" t="s">
        <v>113</v>
      </c>
      <c r="F43" s="141" t="s">
        <v>75</v>
      </c>
      <c r="G43" s="197" t="s">
        <v>95</v>
      </c>
      <c r="H43" s="61" t="s">
        <v>111</v>
      </c>
      <c r="I43" s="235">
        <v>200</v>
      </c>
      <c r="J43" s="236"/>
      <c r="K43" s="236"/>
      <c r="L43" s="129"/>
      <c r="M43" s="236"/>
      <c r="N43" s="236"/>
      <c r="O43" s="129"/>
      <c r="P43" s="236"/>
      <c r="Q43" s="236"/>
      <c r="R43" s="129"/>
      <c r="S43" s="42"/>
      <c r="T43" s="42">
        <v>7250</v>
      </c>
      <c r="U43" s="129" t="e">
        <f t="shared" si="6"/>
        <v>#DIV/0!</v>
      </c>
      <c r="V43" s="42">
        <f t="shared" si="7"/>
        <v>0</v>
      </c>
      <c r="W43" s="42">
        <f t="shared" si="8"/>
        <v>7250</v>
      </c>
      <c r="X43" s="129" t="e">
        <f t="shared" si="9"/>
        <v>#DIV/0!</v>
      </c>
      <c r="Y43" s="60"/>
      <c r="Z43" s="60"/>
      <c r="AA43" s="239" t="e">
        <f t="shared" si="10"/>
        <v>#DIV/0!</v>
      </c>
      <c r="AB43" s="60">
        <f t="shared" si="11"/>
        <v>0</v>
      </c>
      <c r="AC43" s="60">
        <f t="shared" si="12"/>
        <v>7250</v>
      </c>
      <c r="AD43" s="239" t="e">
        <f t="shared" si="13"/>
        <v>#DIV/0!</v>
      </c>
      <c r="AE43" s="61"/>
      <c r="AF43" s="235"/>
      <c r="AG43" s="239" t="e">
        <f t="shared" si="14"/>
        <v>#DIV/0!</v>
      </c>
      <c r="AH43" s="235">
        <f t="shared" si="15"/>
        <v>0</v>
      </c>
      <c r="AI43" s="235">
        <f t="shared" si="16"/>
        <v>7250</v>
      </c>
      <c r="AJ43" s="239" t="e">
        <f t="shared" si="17"/>
        <v>#DIV/0!</v>
      </c>
      <c r="AK43" s="60"/>
      <c r="AL43" s="241"/>
      <c r="AM43" s="239" t="e">
        <f t="shared" si="18"/>
        <v>#DIV/0!</v>
      </c>
      <c r="AN43" s="241">
        <f t="shared" si="19"/>
        <v>0</v>
      </c>
      <c r="AO43" s="241">
        <f t="shared" si="20"/>
        <v>7250</v>
      </c>
      <c r="AP43" s="239" t="e">
        <f t="shared" si="21"/>
        <v>#DIV/0!</v>
      </c>
      <c r="AQ43" s="241"/>
      <c r="AR43" s="241">
        <v>53816</v>
      </c>
      <c r="AS43" s="239" t="e">
        <f t="shared" si="22"/>
        <v>#DIV/0!</v>
      </c>
      <c r="AT43" s="241">
        <f t="shared" si="23"/>
        <v>0</v>
      </c>
      <c r="AU43" s="241">
        <f t="shared" si="24"/>
        <v>61066</v>
      </c>
      <c r="AV43" s="239" t="e">
        <f t="shared" si="25"/>
        <v>#DIV/0!</v>
      </c>
      <c r="AW43" s="69"/>
      <c r="AX43" s="69">
        <f>22281+11274</f>
        <v>33555</v>
      </c>
      <c r="AY43" s="239" t="e">
        <f t="shared" si="26"/>
        <v>#DIV/0!</v>
      </c>
      <c r="AZ43" s="69">
        <f t="shared" si="27"/>
        <v>0</v>
      </c>
      <c r="BA43" s="69">
        <f t="shared" si="28"/>
        <v>94621</v>
      </c>
      <c r="BB43" s="239" t="e">
        <f t="shared" si="29"/>
        <v>#DIV/0!</v>
      </c>
      <c r="BC43" s="69"/>
      <c r="BD43" s="70"/>
      <c r="BE43" s="70"/>
      <c r="BF43" s="70"/>
      <c r="BG43" s="70"/>
      <c r="BH43" s="129">
        <f t="shared" si="30"/>
        <v>0.0473105</v>
      </c>
    </row>
    <row r="44" s="110" customFormat="1" hidden="1" spans="1:60">
      <c r="A44" s="230" t="s">
        <v>22</v>
      </c>
      <c r="B44" s="231" t="s">
        <v>22</v>
      </c>
      <c r="C44" s="146" t="s">
        <v>126</v>
      </c>
      <c r="D44" s="141" t="s">
        <v>113</v>
      </c>
      <c r="E44" s="141" t="s">
        <v>113</v>
      </c>
      <c r="F44" s="141" t="s">
        <v>75</v>
      </c>
      <c r="G44" s="197" t="s">
        <v>95</v>
      </c>
      <c r="H44" s="61" t="s">
        <v>111</v>
      </c>
      <c r="I44" s="235">
        <v>25</v>
      </c>
      <c r="J44" s="236"/>
      <c r="K44" s="236"/>
      <c r="L44" s="129"/>
      <c r="M44" s="236"/>
      <c r="N44" s="236"/>
      <c r="O44" s="129"/>
      <c r="P44" s="236"/>
      <c r="Q44" s="236"/>
      <c r="R44" s="129"/>
      <c r="S44" s="42"/>
      <c r="T44" s="42"/>
      <c r="U44" s="129"/>
      <c r="V44" s="42"/>
      <c r="W44" s="42"/>
      <c r="X44" s="129"/>
      <c r="Y44" s="60"/>
      <c r="Z44" s="60"/>
      <c r="AA44" s="239"/>
      <c r="AB44" s="60">
        <f t="shared" si="11"/>
        <v>0</v>
      </c>
      <c r="AC44" s="60"/>
      <c r="AD44" s="239"/>
      <c r="AE44" s="61"/>
      <c r="AF44" s="235"/>
      <c r="AG44" s="239" t="e">
        <f t="shared" si="14"/>
        <v>#DIV/0!</v>
      </c>
      <c r="AH44" s="235">
        <f t="shared" si="15"/>
        <v>0</v>
      </c>
      <c r="AI44" s="235">
        <f t="shared" si="16"/>
        <v>0</v>
      </c>
      <c r="AJ44" s="239" t="e">
        <f t="shared" si="17"/>
        <v>#DIV/0!</v>
      </c>
      <c r="AK44" s="60"/>
      <c r="AL44" s="241"/>
      <c r="AM44" s="239" t="e">
        <f t="shared" si="18"/>
        <v>#DIV/0!</v>
      </c>
      <c r="AN44" s="241">
        <f t="shared" si="19"/>
        <v>0</v>
      </c>
      <c r="AO44" s="241">
        <f t="shared" si="20"/>
        <v>0</v>
      </c>
      <c r="AP44" s="239" t="e">
        <f t="shared" si="21"/>
        <v>#DIV/0!</v>
      </c>
      <c r="AQ44" s="241"/>
      <c r="AR44" s="241"/>
      <c r="AS44" s="239" t="e">
        <f t="shared" si="22"/>
        <v>#DIV/0!</v>
      </c>
      <c r="AT44" s="241">
        <f t="shared" si="23"/>
        <v>0</v>
      </c>
      <c r="AU44" s="241">
        <f t="shared" si="24"/>
        <v>0</v>
      </c>
      <c r="AV44" s="239" t="e">
        <f t="shared" si="25"/>
        <v>#DIV/0!</v>
      </c>
      <c r="AW44" s="69"/>
      <c r="AX44" s="69"/>
      <c r="AY44" s="239" t="e">
        <f t="shared" si="26"/>
        <v>#DIV/0!</v>
      </c>
      <c r="AZ44" s="69">
        <f t="shared" si="27"/>
        <v>0</v>
      </c>
      <c r="BA44" s="69">
        <f t="shared" si="28"/>
        <v>0</v>
      </c>
      <c r="BB44" s="239" t="e">
        <f t="shared" si="29"/>
        <v>#DIV/0!</v>
      </c>
      <c r="BC44" s="69"/>
      <c r="BD44" s="70"/>
      <c r="BE44" s="70"/>
      <c r="BF44" s="70"/>
      <c r="BG44" s="70"/>
      <c r="BH44" s="129">
        <f t="shared" si="30"/>
        <v>0</v>
      </c>
    </row>
    <row r="45" s="110" customFormat="1" hidden="1" spans="1:60">
      <c r="A45" s="230" t="s">
        <v>22</v>
      </c>
      <c r="B45" s="231" t="s">
        <v>22</v>
      </c>
      <c r="C45" s="146" t="s">
        <v>127</v>
      </c>
      <c r="D45" s="141" t="s">
        <v>113</v>
      </c>
      <c r="E45" s="141" t="s">
        <v>113</v>
      </c>
      <c r="F45" s="141" t="s">
        <v>75</v>
      </c>
      <c r="G45" s="197" t="s">
        <v>95</v>
      </c>
      <c r="H45" s="61" t="s">
        <v>111</v>
      </c>
      <c r="I45" s="235">
        <v>20</v>
      </c>
      <c r="J45" s="236"/>
      <c r="K45" s="236"/>
      <c r="L45" s="129"/>
      <c r="M45" s="236"/>
      <c r="N45" s="236"/>
      <c r="O45" s="129"/>
      <c r="P45" s="236"/>
      <c r="Q45" s="236"/>
      <c r="R45" s="129"/>
      <c r="S45" s="42"/>
      <c r="T45" s="42"/>
      <c r="U45" s="129"/>
      <c r="V45" s="42"/>
      <c r="W45" s="42"/>
      <c r="X45" s="129"/>
      <c r="Y45" s="60"/>
      <c r="Z45" s="60"/>
      <c r="AA45" s="239"/>
      <c r="AB45" s="60"/>
      <c r="AC45" s="60"/>
      <c r="AD45" s="239"/>
      <c r="AE45" s="61"/>
      <c r="AF45" s="235"/>
      <c r="AG45" s="239" t="e">
        <f t="shared" si="14"/>
        <v>#DIV/0!</v>
      </c>
      <c r="AH45" s="235">
        <f t="shared" si="15"/>
        <v>0</v>
      </c>
      <c r="AI45" s="235">
        <f t="shared" si="16"/>
        <v>0</v>
      </c>
      <c r="AJ45" s="239" t="e">
        <f t="shared" si="17"/>
        <v>#DIV/0!</v>
      </c>
      <c r="AK45" s="60"/>
      <c r="AL45" s="241"/>
      <c r="AM45" s="239" t="e">
        <f t="shared" si="18"/>
        <v>#DIV/0!</v>
      </c>
      <c r="AN45" s="241">
        <f t="shared" si="19"/>
        <v>0</v>
      </c>
      <c r="AO45" s="241">
        <f t="shared" si="20"/>
        <v>0</v>
      </c>
      <c r="AP45" s="239" t="e">
        <f t="shared" si="21"/>
        <v>#DIV/0!</v>
      </c>
      <c r="AQ45" s="241"/>
      <c r="AR45" s="241"/>
      <c r="AS45" s="239" t="e">
        <f t="shared" si="22"/>
        <v>#DIV/0!</v>
      </c>
      <c r="AT45" s="241">
        <f t="shared" si="23"/>
        <v>0</v>
      </c>
      <c r="AU45" s="241">
        <f t="shared" si="24"/>
        <v>0</v>
      </c>
      <c r="AV45" s="239" t="e">
        <f t="shared" si="25"/>
        <v>#DIV/0!</v>
      </c>
      <c r="AW45" s="69"/>
      <c r="AX45" s="69"/>
      <c r="AY45" s="239" t="e">
        <f t="shared" si="26"/>
        <v>#DIV/0!</v>
      </c>
      <c r="AZ45" s="69">
        <f t="shared" si="27"/>
        <v>0</v>
      </c>
      <c r="BA45" s="69">
        <f t="shared" si="28"/>
        <v>0</v>
      </c>
      <c r="BB45" s="239" t="e">
        <f t="shared" si="29"/>
        <v>#DIV/0!</v>
      </c>
      <c r="BC45" s="69"/>
      <c r="BD45" s="70"/>
      <c r="BE45" s="70"/>
      <c r="BF45" s="70"/>
      <c r="BG45" s="70"/>
      <c r="BH45" s="129">
        <f t="shared" si="30"/>
        <v>0</v>
      </c>
    </row>
    <row r="46" s="110" customFormat="1" hidden="1" spans="1:60">
      <c r="A46" s="230" t="s">
        <v>22</v>
      </c>
      <c r="B46" s="231" t="s">
        <v>22</v>
      </c>
      <c r="C46" s="146" t="s">
        <v>128</v>
      </c>
      <c r="D46" s="141" t="s">
        <v>113</v>
      </c>
      <c r="E46" s="141" t="s">
        <v>113</v>
      </c>
      <c r="F46" s="141" t="s">
        <v>75</v>
      </c>
      <c r="G46" s="197" t="s">
        <v>95</v>
      </c>
      <c r="H46" s="61" t="s">
        <v>111</v>
      </c>
      <c r="I46" s="235"/>
      <c r="J46" s="236"/>
      <c r="K46" s="236"/>
      <c r="L46" s="129"/>
      <c r="M46" s="236"/>
      <c r="N46" s="236"/>
      <c r="O46" s="129"/>
      <c r="P46" s="236"/>
      <c r="Q46" s="236"/>
      <c r="R46" s="129"/>
      <c r="S46" s="42"/>
      <c r="T46" s="42"/>
      <c r="U46" s="129"/>
      <c r="V46" s="42"/>
      <c r="W46" s="42"/>
      <c r="X46" s="129"/>
      <c r="Y46" s="60"/>
      <c r="Z46" s="60"/>
      <c r="AA46" s="239"/>
      <c r="AB46" s="60"/>
      <c r="AC46" s="60"/>
      <c r="AD46" s="239"/>
      <c r="AE46" s="61"/>
      <c r="AF46" s="235">
        <v>13000</v>
      </c>
      <c r="AG46" s="239" t="e">
        <f t="shared" si="14"/>
        <v>#DIV/0!</v>
      </c>
      <c r="AH46" s="235">
        <f t="shared" si="15"/>
        <v>0</v>
      </c>
      <c r="AI46" s="235">
        <f t="shared" si="16"/>
        <v>13000</v>
      </c>
      <c r="AJ46" s="239" t="e">
        <f t="shared" si="17"/>
        <v>#DIV/0!</v>
      </c>
      <c r="AK46" s="60"/>
      <c r="AL46" s="241"/>
      <c r="AM46" s="239" t="e">
        <f t="shared" si="18"/>
        <v>#DIV/0!</v>
      </c>
      <c r="AN46" s="241">
        <f t="shared" si="19"/>
        <v>0</v>
      </c>
      <c r="AO46" s="241">
        <f t="shared" si="20"/>
        <v>13000</v>
      </c>
      <c r="AP46" s="239" t="e">
        <f t="shared" si="21"/>
        <v>#DIV/0!</v>
      </c>
      <c r="AQ46" s="241"/>
      <c r="AR46" s="241"/>
      <c r="AS46" s="239" t="e">
        <f t="shared" si="22"/>
        <v>#DIV/0!</v>
      </c>
      <c r="AT46" s="241">
        <f t="shared" si="23"/>
        <v>0</v>
      </c>
      <c r="AU46" s="241">
        <f t="shared" si="24"/>
        <v>13000</v>
      </c>
      <c r="AV46" s="239" t="e">
        <f t="shared" si="25"/>
        <v>#DIV/0!</v>
      </c>
      <c r="AW46" s="69"/>
      <c r="AX46" s="69">
        <v>3470</v>
      </c>
      <c r="AY46" s="239" t="e">
        <f t="shared" si="26"/>
        <v>#DIV/0!</v>
      </c>
      <c r="AZ46" s="69">
        <f t="shared" si="27"/>
        <v>0</v>
      </c>
      <c r="BA46" s="69">
        <f t="shared" si="28"/>
        <v>16470</v>
      </c>
      <c r="BB46" s="239" t="e">
        <f t="shared" si="29"/>
        <v>#DIV/0!</v>
      </c>
      <c r="BC46" s="69"/>
      <c r="BD46" s="70"/>
      <c r="BE46" s="70"/>
      <c r="BF46" s="70"/>
      <c r="BG46" s="70"/>
      <c r="BH46" s="129" t="e">
        <f t="shared" si="30"/>
        <v>#DIV/0!</v>
      </c>
    </row>
    <row r="47" s="110" customFormat="1" hidden="1" spans="1:60">
      <c r="A47" s="230" t="s">
        <v>22</v>
      </c>
      <c r="B47" s="231" t="s">
        <v>22</v>
      </c>
      <c r="C47" s="146" t="s">
        <v>129</v>
      </c>
      <c r="D47" s="145" t="s">
        <v>60</v>
      </c>
      <c r="E47" s="145" t="s">
        <v>60</v>
      </c>
      <c r="F47" s="141" t="s">
        <v>75</v>
      </c>
      <c r="G47" s="197"/>
      <c r="H47" s="133" t="s">
        <v>102</v>
      </c>
      <c r="I47" s="235"/>
      <c r="J47" s="236"/>
      <c r="K47" s="236"/>
      <c r="L47" s="129"/>
      <c r="M47" s="236"/>
      <c r="N47" s="236"/>
      <c r="O47" s="129"/>
      <c r="P47" s="236"/>
      <c r="Q47" s="236"/>
      <c r="R47" s="129"/>
      <c r="S47" s="42"/>
      <c r="T47" s="42"/>
      <c r="U47" s="129"/>
      <c r="V47" s="42"/>
      <c r="W47" s="42"/>
      <c r="X47" s="129"/>
      <c r="Y47" s="60"/>
      <c r="Z47" s="60"/>
      <c r="AA47" s="239"/>
      <c r="AB47" s="60"/>
      <c r="AC47" s="60"/>
      <c r="AD47" s="239"/>
      <c r="AE47" s="61"/>
      <c r="AF47" s="235">
        <v>66234</v>
      </c>
      <c r="AG47" s="239" t="e">
        <f t="shared" si="14"/>
        <v>#DIV/0!</v>
      </c>
      <c r="AH47" s="235">
        <f t="shared" si="15"/>
        <v>0</v>
      </c>
      <c r="AI47" s="235">
        <f t="shared" si="16"/>
        <v>66234</v>
      </c>
      <c r="AJ47" s="239" t="e">
        <f t="shared" si="17"/>
        <v>#DIV/0!</v>
      </c>
      <c r="AK47" s="60"/>
      <c r="AL47" s="241">
        <v>10341.7</v>
      </c>
      <c r="AM47" s="239" t="e">
        <f t="shared" si="18"/>
        <v>#DIV/0!</v>
      </c>
      <c r="AN47" s="241">
        <f t="shared" si="19"/>
        <v>0</v>
      </c>
      <c r="AO47" s="241">
        <f t="shared" si="20"/>
        <v>76575.7</v>
      </c>
      <c r="AP47" s="239" t="e">
        <f t="shared" si="21"/>
        <v>#DIV/0!</v>
      </c>
      <c r="AQ47" s="241"/>
      <c r="AR47" s="241">
        <v>12445</v>
      </c>
      <c r="AS47" s="239" t="e">
        <f t="shared" si="22"/>
        <v>#DIV/0!</v>
      </c>
      <c r="AT47" s="241">
        <f t="shared" si="23"/>
        <v>0</v>
      </c>
      <c r="AU47" s="241">
        <f t="shared" si="24"/>
        <v>89020.7</v>
      </c>
      <c r="AV47" s="239" t="e">
        <f t="shared" si="25"/>
        <v>#DIV/0!</v>
      </c>
      <c r="AW47" s="69"/>
      <c r="AX47" s="69">
        <v>8999</v>
      </c>
      <c r="AY47" s="239" t="e">
        <f t="shared" si="26"/>
        <v>#DIV/0!</v>
      </c>
      <c r="AZ47" s="69">
        <f t="shared" si="27"/>
        <v>0</v>
      </c>
      <c r="BA47" s="69">
        <f t="shared" si="28"/>
        <v>98019.7</v>
      </c>
      <c r="BB47" s="239" t="e">
        <f t="shared" si="29"/>
        <v>#DIV/0!</v>
      </c>
      <c r="BC47" s="69"/>
      <c r="BD47" s="70"/>
      <c r="BE47" s="70"/>
      <c r="BF47" s="70"/>
      <c r="BG47" s="70"/>
      <c r="BH47" s="129" t="e">
        <f t="shared" si="30"/>
        <v>#DIV/0!</v>
      </c>
    </row>
    <row r="48" s="110" customFormat="1" hidden="1" spans="1:60">
      <c r="A48" s="137" t="s">
        <v>22</v>
      </c>
      <c r="B48" s="137" t="s">
        <v>22</v>
      </c>
      <c r="C48" s="202" t="s">
        <v>130</v>
      </c>
      <c r="D48" s="141" t="s">
        <v>113</v>
      </c>
      <c r="E48" s="141" t="s">
        <v>113</v>
      </c>
      <c r="F48" s="141" t="s">
        <v>75</v>
      </c>
      <c r="G48" s="141" t="s">
        <v>95</v>
      </c>
      <c r="H48" s="61" t="s">
        <v>111</v>
      </c>
      <c r="I48" s="235">
        <v>60</v>
      </c>
      <c r="J48" s="236"/>
      <c r="K48" s="236"/>
      <c r="L48" s="129"/>
      <c r="M48" s="236"/>
      <c r="N48" s="236"/>
      <c r="O48" s="129"/>
      <c r="P48" s="236"/>
      <c r="Q48" s="236"/>
      <c r="R48" s="129"/>
      <c r="S48" s="42"/>
      <c r="T48" s="42">
        <v>35400</v>
      </c>
      <c r="U48" s="129" t="e">
        <f>T48/S48-1</f>
        <v>#DIV/0!</v>
      </c>
      <c r="V48" s="42">
        <f>S48+P48</f>
        <v>0</v>
      </c>
      <c r="W48" s="42">
        <f>T48+Q48</f>
        <v>35400</v>
      </c>
      <c r="X48" s="129" t="e">
        <f>W48/V48-1</f>
        <v>#DIV/0!</v>
      </c>
      <c r="Y48" s="60"/>
      <c r="Z48" s="60"/>
      <c r="AA48" s="239" t="e">
        <f>Z48/Y48-1</f>
        <v>#DIV/0!</v>
      </c>
      <c r="AB48" s="60">
        <f>Y48+V48</f>
        <v>0</v>
      </c>
      <c r="AC48" s="60">
        <f>Z48+W48</f>
        <v>35400</v>
      </c>
      <c r="AD48" s="239" t="e">
        <f>AC48/AB48-1</f>
        <v>#DIV/0!</v>
      </c>
      <c r="AE48" s="61"/>
      <c r="AF48" s="235">
        <v>27200</v>
      </c>
      <c r="AG48" s="239" t="e">
        <f t="shared" si="14"/>
        <v>#DIV/0!</v>
      </c>
      <c r="AH48" s="235">
        <f t="shared" si="15"/>
        <v>0</v>
      </c>
      <c r="AI48" s="235">
        <f t="shared" si="16"/>
        <v>62600</v>
      </c>
      <c r="AJ48" s="239" t="e">
        <f t="shared" si="17"/>
        <v>#DIV/0!</v>
      </c>
      <c r="AK48" s="60"/>
      <c r="AL48" s="241"/>
      <c r="AM48" s="239" t="e">
        <f t="shared" si="18"/>
        <v>#DIV/0!</v>
      </c>
      <c r="AN48" s="241">
        <f t="shared" si="19"/>
        <v>0</v>
      </c>
      <c r="AO48" s="241">
        <f t="shared" si="20"/>
        <v>62600</v>
      </c>
      <c r="AP48" s="239" t="e">
        <f t="shared" si="21"/>
        <v>#DIV/0!</v>
      </c>
      <c r="AQ48" s="241"/>
      <c r="AR48" s="241">
        <v>47200</v>
      </c>
      <c r="AS48" s="239" t="e">
        <f t="shared" si="22"/>
        <v>#DIV/0!</v>
      </c>
      <c r="AT48" s="241">
        <f t="shared" si="23"/>
        <v>0</v>
      </c>
      <c r="AU48" s="241">
        <f t="shared" si="24"/>
        <v>109800</v>
      </c>
      <c r="AV48" s="239" t="e">
        <f t="shared" si="25"/>
        <v>#DIV/0!</v>
      </c>
      <c r="AW48" s="69"/>
      <c r="AX48" s="69">
        <v>17700</v>
      </c>
      <c r="AY48" s="239" t="e">
        <f t="shared" si="26"/>
        <v>#DIV/0!</v>
      </c>
      <c r="AZ48" s="69">
        <f t="shared" si="27"/>
        <v>0</v>
      </c>
      <c r="BA48" s="69">
        <f t="shared" si="28"/>
        <v>127500</v>
      </c>
      <c r="BB48" s="239" t="e">
        <f t="shared" si="29"/>
        <v>#DIV/0!</v>
      </c>
      <c r="BC48" s="69"/>
      <c r="BD48" s="70"/>
      <c r="BE48" s="70"/>
      <c r="BF48" s="70"/>
      <c r="BG48" s="70"/>
      <c r="BH48" s="129">
        <f t="shared" si="30"/>
        <v>0.2125</v>
      </c>
    </row>
    <row r="49" spans="1:60">
      <c r="A49" s="137"/>
      <c r="B49" s="68"/>
      <c r="C49" s="232" t="s">
        <v>29</v>
      </c>
      <c r="D49" s="68"/>
      <c r="E49" s="197"/>
      <c r="F49" s="150"/>
      <c r="G49" s="68"/>
      <c r="H49" s="68"/>
      <c r="I49" s="42">
        <f>SUBTOTAL(9,I3:I48)</f>
        <v>1630</v>
      </c>
      <c r="J49" s="42">
        <f>SUBTOTAL(9,J3:J48)</f>
        <v>843528</v>
      </c>
      <c r="K49" s="42">
        <f>SUBTOTAL(9,K3:K48)</f>
        <v>689480</v>
      </c>
      <c r="L49" s="129">
        <f>K49/J49-1</f>
        <v>-0.182623457668269</v>
      </c>
      <c r="M49" s="42">
        <f>SUBTOTAL(9,M3:M48)</f>
        <v>315439</v>
      </c>
      <c r="N49" s="42">
        <f>SUBTOTAL(9,N3:N48)</f>
        <v>971987.4</v>
      </c>
      <c r="O49" s="129">
        <f>N49/M49-1</f>
        <v>2.08137991814582</v>
      </c>
      <c r="P49" s="42">
        <f>SUBTOTAL(9,P3:P48)</f>
        <v>1158967</v>
      </c>
      <c r="Q49" s="42">
        <f>SUBTOTAL(9,Q3:Q48)</f>
        <v>1661467.4</v>
      </c>
      <c r="R49" s="129">
        <f>Q49/P49-1</f>
        <v>0.433576106998733</v>
      </c>
      <c r="S49" s="42">
        <f>SUBTOTAL(9,S3:S48)</f>
        <v>961574</v>
      </c>
      <c r="T49" s="42">
        <f>SUBTOTAL(9,T3:T48)</f>
        <v>1626326.3</v>
      </c>
      <c r="U49" s="129">
        <f>T49/S49-1</f>
        <v>0.691316840929559</v>
      </c>
      <c r="V49" s="42">
        <f>SUBTOTAL(9,V3:V48)</f>
        <v>2120541</v>
      </c>
      <c r="W49" s="42">
        <f>SUBTOTAL(9,W3:W48)</f>
        <v>3287793.7</v>
      </c>
      <c r="X49" s="129">
        <f>W49/V49-1</f>
        <v>0.550450427508829</v>
      </c>
      <c r="Y49" s="42">
        <f>SUBTOTAL(9,Y3:Y48)</f>
        <v>695469</v>
      </c>
      <c r="Z49" s="42">
        <f>SUBTOTAL(9,Z3:Z48)</f>
        <v>1425563.7</v>
      </c>
      <c r="AA49" s="239">
        <f>Z49/Y49-1</f>
        <v>1.04978755343516</v>
      </c>
      <c r="AB49" s="42">
        <f>SUBTOTAL(9,AB3:AB48)</f>
        <v>2816010</v>
      </c>
      <c r="AC49" s="42">
        <f>SUBTOTAL(9,AC3:AC48)</f>
        <v>4713357.4</v>
      </c>
      <c r="AD49" s="239">
        <f>AC49/AB49-1</f>
        <v>0.673771542004467</v>
      </c>
      <c r="AE49" s="42">
        <f>SUM(AE3:AE48)</f>
        <v>2754128.27</v>
      </c>
      <c r="AF49" s="42">
        <f>SUM(AF3:AF48)</f>
        <v>2967154.72</v>
      </c>
      <c r="AG49" s="239">
        <f t="shared" si="14"/>
        <v>0.0773480495881187</v>
      </c>
      <c r="AH49" s="42">
        <f>SUM(AH3:AH48)</f>
        <v>10508653.13</v>
      </c>
      <c r="AI49" s="42">
        <f>SUM(AI3:AI48)</f>
        <v>13954267.23</v>
      </c>
      <c r="AJ49" s="239">
        <f t="shared" si="17"/>
        <v>0.327883512508705</v>
      </c>
      <c r="AK49" s="42">
        <f>SUM(AK3:AK48)</f>
        <v>3834503.49</v>
      </c>
      <c r="AL49" s="42">
        <f>SUM(AL3:AL48)</f>
        <v>3744100.99</v>
      </c>
      <c r="AM49" s="239">
        <f t="shared" si="18"/>
        <v>-0.0235760640812455</v>
      </c>
      <c r="AN49" s="42">
        <f t="shared" ref="AN49:AR49" si="32">SUM(AN3:AN48)</f>
        <v>14343156.62</v>
      </c>
      <c r="AO49" s="42">
        <f t="shared" si="32"/>
        <v>17698368.22</v>
      </c>
      <c r="AP49" s="239">
        <f t="shared" si="21"/>
        <v>0.233924211307957</v>
      </c>
      <c r="AQ49" s="42">
        <f t="shared" si="32"/>
        <v>2104345.24</v>
      </c>
      <c r="AR49" s="42">
        <f t="shared" si="32"/>
        <v>2351069.78</v>
      </c>
      <c r="AS49" s="239">
        <f t="shared" si="22"/>
        <v>0.117245276730353</v>
      </c>
      <c r="AT49" s="42">
        <f t="shared" ref="AT49:AX49" si="33">SUM(AT3:AT48)</f>
        <v>16447501.86</v>
      </c>
      <c r="AU49" s="42">
        <f t="shared" si="33"/>
        <v>20049438</v>
      </c>
      <c r="AV49" s="239">
        <f t="shared" si="25"/>
        <v>0.218995940578663</v>
      </c>
      <c r="AW49" s="42">
        <f t="shared" si="33"/>
        <v>1930214.36</v>
      </c>
      <c r="AX49" s="42">
        <f t="shared" si="33"/>
        <v>1841887.65</v>
      </c>
      <c r="AY49" s="239">
        <f t="shared" si="26"/>
        <v>-0.0457600522669409</v>
      </c>
      <c r="AZ49" s="42">
        <f>SUM(AZ3:AZ48)</f>
        <v>18377716.22</v>
      </c>
      <c r="BA49" s="42">
        <f>SUM(BA3:BA48)</f>
        <v>21891325.65</v>
      </c>
      <c r="BB49" s="239">
        <f t="shared" si="29"/>
        <v>0.191188577946167</v>
      </c>
      <c r="BC49" s="42">
        <f>SUM(BC3:BC41)</f>
        <v>2928380.34</v>
      </c>
      <c r="BD49" s="42">
        <f>SUM(BD3:BD41)</f>
        <v>4365273.73</v>
      </c>
      <c r="BE49" s="42">
        <f>SUM(BE3:BE41)</f>
        <v>3575920.73</v>
      </c>
      <c r="BF49" s="42">
        <f>SUM(BF3:BF41)</f>
        <v>3946077.97</v>
      </c>
      <c r="BG49" s="42">
        <f>SUM(BG3:BG41)</f>
        <v>33107347.99</v>
      </c>
      <c r="BH49" s="129">
        <f t="shared" si="30"/>
        <v>1.34302611349693</v>
      </c>
    </row>
    <row r="50" spans="25:30">
      <c r="Y50" s="240"/>
      <c r="Z50" s="240"/>
      <c r="AA50" s="240"/>
      <c r="AB50" s="240"/>
      <c r="AC50" s="240"/>
      <c r="AD50" s="240"/>
    </row>
  </sheetData>
  <autoFilter xmlns:etc="http://www.wps.cn/officeDocument/2017/etCustomData" ref="A2:BK48" etc:filterBottomFollowUsedRange="0">
    <filterColumn colId="7">
      <filters>
        <filter val="专卖店"/>
      </filters>
    </filterColumn>
    <extLst/>
  </autoFilter>
  <mergeCells count="34">
    <mergeCell ref="J1:K1"/>
    <mergeCell ref="M1:N1"/>
    <mergeCell ref="P1:Q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T1:AU1"/>
    <mergeCell ref="AW1:AX1"/>
    <mergeCell ref="AZ1:BA1"/>
    <mergeCell ref="I1:I2"/>
    <mergeCell ref="I3:I4"/>
    <mergeCell ref="L1:L2"/>
    <mergeCell ref="O1:O2"/>
    <mergeCell ref="R1:R2"/>
    <mergeCell ref="U1:U2"/>
    <mergeCell ref="X1:X2"/>
    <mergeCell ref="AA1:AA2"/>
    <mergeCell ref="AD1:AD2"/>
    <mergeCell ref="AG1:AG2"/>
    <mergeCell ref="AJ1:AJ2"/>
    <mergeCell ref="AM1:AM2"/>
    <mergeCell ref="AP1:AP2"/>
    <mergeCell ref="AS1:AS2"/>
    <mergeCell ref="AV1:AV2"/>
    <mergeCell ref="AY1:AY2"/>
    <mergeCell ref="BB1:BB2"/>
    <mergeCell ref="BH1:BH2"/>
    <mergeCell ref="BH3:BH4"/>
  </mergeCell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C000"/>
  </sheetPr>
  <dimension ref="A1:BI28"/>
  <sheetViews>
    <sheetView workbookViewId="0">
      <pane xSplit="9" ySplit="2" topLeftCell="AV3" activePane="bottomRight" state="frozen"/>
      <selection/>
      <selection pane="topRight"/>
      <selection pane="bottomLeft"/>
      <selection pane="bottomRight" activeCell="AZ23" sqref="AZ23:BA23"/>
    </sheetView>
  </sheetViews>
  <sheetFormatPr defaultColWidth="9" defaultRowHeight="14"/>
  <cols>
    <col min="1" max="1" width="6.25454545454545" style="110" customWidth="1"/>
    <col min="2" max="2" width="4.37272727272727" style="39" customWidth="1"/>
    <col min="3" max="3" width="21.5090909090909" style="195" customWidth="1"/>
    <col min="4" max="5" width="6.12727272727273" customWidth="1"/>
    <col min="6" max="6" width="7" customWidth="1"/>
    <col min="7" max="7" width="8" hidden="1" customWidth="1"/>
    <col min="8" max="9" width="8" customWidth="1"/>
    <col min="10" max="12" width="9" style="3" customWidth="1"/>
    <col min="13" max="18" width="10.5090909090909" customWidth="1"/>
    <col min="19" max="24" width="9.37272727272727" customWidth="1"/>
    <col min="25" max="30" width="9" customWidth="1"/>
    <col min="31" max="36" width="9.25454545454545" customWidth="1"/>
    <col min="37" max="42" width="10.2545454545455" style="40" customWidth="1"/>
    <col min="43" max="48" width="9.75454545454545" customWidth="1"/>
    <col min="49" max="51" width="9" customWidth="1"/>
    <col min="52" max="53" width="10.3727272727273" customWidth="1"/>
    <col min="54" max="54" width="9" customWidth="1"/>
    <col min="55" max="55" width="10.1272727272727" style="112" hidden="1" customWidth="1"/>
    <col min="56" max="56" width="10.5090909090909" hidden="1" customWidth="1"/>
    <col min="57" max="57" width="10.8727272727273" hidden="1" customWidth="1"/>
    <col min="58" max="58" width="10.5090909090909" style="2" hidden="1" customWidth="1"/>
    <col min="59" max="59" width="10.5090909090909" style="39" hidden="1" customWidth="1"/>
    <col min="60" max="60" width="10.5090909090909" style="39" customWidth="1"/>
    <col min="61" max="61" width="10.3727272727273"/>
  </cols>
  <sheetData>
    <row r="1" spans="1:60">
      <c r="A1" s="42" t="s">
        <v>43</v>
      </c>
      <c r="B1" s="196" t="s">
        <v>44</v>
      </c>
      <c r="C1" s="196" t="s">
        <v>131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203" t="s">
        <v>36</v>
      </c>
      <c r="J1" s="87" t="s">
        <v>3</v>
      </c>
      <c r="K1" s="88"/>
      <c r="L1" s="89" t="s">
        <v>4</v>
      </c>
      <c r="M1" s="55" t="s">
        <v>5</v>
      </c>
      <c r="N1" s="55"/>
      <c r="O1" s="56" t="s">
        <v>4</v>
      </c>
      <c r="P1" s="55" t="s">
        <v>37</v>
      </c>
      <c r="Q1" s="55"/>
      <c r="R1" s="56" t="s">
        <v>4</v>
      </c>
      <c r="S1" s="55" t="s">
        <v>6</v>
      </c>
      <c r="T1" s="55"/>
      <c r="U1" s="56" t="s">
        <v>4</v>
      </c>
      <c r="V1" s="55" t="s">
        <v>7</v>
      </c>
      <c r="W1" s="55"/>
      <c r="X1" s="56" t="s">
        <v>4</v>
      </c>
      <c r="Y1" s="55" t="s">
        <v>8</v>
      </c>
      <c r="Z1" s="55"/>
      <c r="AA1" s="56" t="s">
        <v>4</v>
      </c>
      <c r="AB1" s="55" t="s">
        <v>9</v>
      </c>
      <c r="AC1" s="55"/>
      <c r="AD1" s="56" t="s">
        <v>4</v>
      </c>
      <c r="AE1" s="55" t="s">
        <v>10</v>
      </c>
      <c r="AF1" s="55"/>
      <c r="AG1" s="56" t="s">
        <v>4</v>
      </c>
      <c r="AH1" s="55" t="s">
        <v>11</v>
      </c>
      <c r="AI1" s="55"/>
      <c r="AJ1" s="56" t="s">
        <v>4</v>
      </c>
      <c r="AK1" s="55" t="s">
        <v>12</v>
      </c>
      <c r="AL1" s="55"/>
      <c r="AM1" s="56" t="s">
        <v>4</v>
      </c>
      <c r="AN1" s="55" t="s">
        <v>13</v>
      </c>
      <c r="AO1" s="55"/>
      <c r="AP1" s="56" t="s">
        <v>4</v>
      </c>
      <c r="AQ1" s="55" t="s">
        <v>14</v>
      </c>
      <c r="AR1" s="55"/>
      <c r="AS1" s="56" t="s">
        <v>4</v>
      </c>
      <c r="AT1" s="55" t="s">
        <v>15</v>
      </c>
      <c r="AU1" s="55"/>
      <c r="AV1" s="99" t="s">
        <v>4</v>
      </c>
      <c r="AW1" s="55" t="s">
        <v>16</v>
      </c>
      <c r="AX1" s="55"/>
      <c r="AY1" s="56" t="s">
        <v>4</v>
      </c>
      <c r="AZ1" s="55" t="s">
        <v>17</v>
      </c>
      <c r="BA1" s="55"/>
      <c r="BB1" s="99" t="s">
        <v>4</v>
      </c>
      <c r="BC1" s="206" t="s">
        <v>38</v>
      </c>
      <c r="BD1" s="206" t="s">
        <v>39</v>
      </c>
      <c r="BE1" s="206" t="s">
        <v>40</v>
      </c>
      <c r="BF1" s="206" t="s">
        <v>41</v>
      </c>
      <c r="BG1" s="100" t="s">
        <v>132</v>
      </c>
      <c r="BH1" s="100" t="s">
        <v>18</v>
      </c>
    </row>
    <row r="2" spans="1:61">
      <c r="A2" s="42"/>
      <c r="B2" s="196"/>
      <c r="C2" s="196"/>
      <c r="D2" s="53"/>
      <c r="E2" s="53"/>
      <c r="F2" s="53"/>
      <c r="G2" s="53"/>
      <c r="H2" s="53"/>
      <c r="I2" s="204"/>
      <c r="J2" s="88" t="s">
        <v>19</v>
      </c>
      <c r="K2" s="93" t="s">
        <v>20</v>
      </c>
      <c r="L2" s="94"/>
      <c r="M2" s="57" t="s">
        <v>19</v>
      </c>
      <c r="N2" s="57" t="s">
        <v>20</v>
      </c>
      <c r="O2" s="56"/>
      <c r="P2" s="57" t="s">
        <v>19</v>
      </c>
      <c r="Q2" s="57" t="s">
        <v>20</v>
      </c>
      <c r="R2" s="56"/>
      <c r="S2" s="57" t="s">
        <v>19</v>
      </c>
      <c r="T2" s="57" t="s">
        <v>20</v>
      </c>
      <c r="U2" s="56"/>
      <c r="V2" s="57" t="s">
        <v>19</v>
      </c>
      <c r="W2" s="57" t="s">
        <v>20</v>
      </c>
      <c r="X2" s="56"/>
      <c r="Y2" s="57" t="s">
        <v>19</v>
      </c>
      <c r="Z2" s="57" t="s">
        <v>20</v>
      </c>
      <c r="AA2" s="56"/>
      <c r="AB2" s="57" t="s">
        <v>19</v>
      </c>
      <c r="AC2" s="57" t="s">
        <v>20</v>
      </c>
      <c r="AD2" s="56"/>
      <c r="AE2" s="57" t="s">
        <v>19</v>
      </c>
      <c r="AF2" s="57" t="s">
        <v>20</v>
      </c>
      <c r="AG2" s="56"/>
      <c r="AH2" s="57" t="s">
        <v>19</v>
      </c>
      <c r="AI2" s="57" t="s">
        <v>20</v>
      </c>
      <c r="AJ2" s="56"/>
      <c r="AK2" s="57" t="s">
        <v>19</v>
      </c>
      <c r="AL2" s="57" t="s">
        <v>20</v>
      </c>
      <c r="AM2" s="56"/>
      <c r="AN2" s="57" t="s">
        <v>19</v>
      </c>
      <c r="AO2" s="57" t="s">
        <v>20</v>
      </c>
      <c r="AP2" s="56"/>
      <c r="AQ2" s="57" t="s">
        <v>19</v>
      </c>
      <c r="AR2" s="57" t="s">
        <v>20</v>
      </c>
      <c r="AS2" s="56"/>
      <c r="AT2" s="57" t="s">
        <v>19</v>
      </c>
      <c r="AU2" s="57" t="s">
        <v>20</v>
      </c>
      <c r="AV2" s="99"/>
      <c r="AW2" s="57" t="s">
        <v>19</v>
      </c>
      <c r="AX2" s="57" t="s">
        <v>20</v>
      </c>
      <c r="AY2" s="56"/>
      <c r="AZ2" s="57" t="s">
        <v>19</v>
      </c>
      <c r="BA2" s="57" t="s">
        <v>20</v>
      </c>
      <c r="BB2" s="99"/>
      <c r="BC2" s="100" t="s">
        <v>19</v>
      </c>
      <c r="BD2" s="100" t="s">
        <v>19</v>
      </c>
      <c r="BE2" s="100" t="s">
        <v>19</v>
      </c>
      <c r="BF2" s="100" t="s">
        <v>19</v>
      </c>
      <c r="BG2" s="100" t="s">
        <v>19</v>
      </c>
      <c r="BH2" s="100"/>
      <c r="BI2" t="s">
        <v>52</v>
      </c>
    </row>
    <row r="3" spans="1:60">
      <c r="A3" s="42" t="s">
        <v>25</v>
      </c>
      <c r="B3" s="197" t="s">
        <v>25</v>
      </c>
      <c r="C3" s="272" t="s">
        <v>133</v>
      </c>
      <c r="D3" s="198" t="s">
        <v>60</v>
      </c>
      <c r="E3" s="198" t="s">
        <v>60</v>
      </c>
      <c r="F3" s="273" t="s">
        <v>134</v>
      </c>
      <c r="G3" s="274" t="s">
        <v>134</v>
      </c>
      <c r="H3" s="53" t="s">
        <v>135</v>
      </c>
      <c r="I3" s="53">
        <v>15</v>
      </c>
      <c r="J3" s="4"/>
      <c r="K3" s="4"/>
      <c r="L3" s="129" t="e">
        <f>K3/J3-1</f>
        <v>#DIV/0!</v>
      </c>
      <c r="M3" s="48"/>
      <c r="N3" s="48">
        <v>4405</v>
      </c>
      <c r="O3" s="129" t="e">
        <f>N3/M3-1</f>
        <v>#DIV/0!</v>
      </c>
      <c r="P3" s="48">
        <f>M3+J3</f>
        <v>0</v>
      </c>
      <c r="Q3" s="48">
        <f>N3+K3</f>
        <v>4405</v>
      </c>
      <c r="R3" s="129" t="e">
        <f>Q3/P3-1</f>
        <v>#DIV/0!</v>
      </c>
      <c r="S3" s="42">
        <v>10579</v>
      </c>
      <c r="T3" s="42">
        <v>30000</v>
      </c>
      <c r="U3" s="129">
        <f t="shared" ref="U3:U22" si="0">T3/S3-1</f>
        <v>1.83580678703091</v>
      </c>
      <c r="V3" s="42">
        <f>S3+P3</f>
        <v>10579</v>
      </c>
      <c r="W3" s="42">
        <f>Q3+T3</f>
        <v>34405</v>
      </c>
      <c r="X3" s="129">
        <f t="shared" ref="X3:X22" si="1">W3/V3-1</f>
        <v>2.25219775025995</v>
      </c>
      <c r="Y3" s="67"/>
      <c r="Z3" s="67"/>
      <c r="AA3" s="129" t="e">
        <f t="shared" ref="AA3:AA22" si="2">Z3/Y3-1</f>
        <v>#DIV/0!</v>
      </c>
      <c r="AB3" s="42">
        <f>V3+Y3</f>
        <v>10579</v>
      </c>
      <c r="AC3" s="42">
        <f>W3+Z3</f>
        <v>34405</v>
      </c>
      <c r="AD3" s="129">
        <f t="shared" ref="AD3:AD22" si="3">AC3/AB3-1</f>
        <v>2.25219775025995</v>
      </c>
      <c r="AE3" s="42"/>
      <c r="AF3" s="42"/>
      <c r="AG3" s="129" t="e">
        <f t="shared" ref="AG3:AG23" si="4">AF3/AE3-1</f>
        <v>#DIV/0!</v>
      </c>
      <c r="AH3" s="42">
        <f>AE3+AB3</f>
        <v>10579</v>
      </c>
      <c r="AI3" s="42">
        <f>AF3+AC3</f>
        <v>34405</v>
      </c>
      <c r="AJ3" s="129">
        <f t="shared" ref="AJ3:AJ23" si="5">AI3/AH3-1</f>
        <v>2.25219775025995</v>
      </c>
      <c r="AK3" s="134">
        <v>6097</v>
      </c>
      <c r="AL3" s="134"/>
      <c r="AM3" s="129">
        <f t="shared" ref="AM3:AM24" si="6">AL3/AK3-1</f>
        <v>-1</v>
      </c>
      <c r="AN3" s="134">
        <f>AH3+AK3</f>
        <v>16676</v>
      </c>
      <c r="AO3" s="134">
        <f>AI3+AL3</f>
        <v>34405</v>
      </c>
      <c r="AP3" s="129">
        <f>AO3/AN3-1</f>
        <v>1.06314463900216</v>
      </c>
      <c r="AQ3" s="61">
        <v>8810</v>
      </c>
      <c r="AR3" s="61"/>
      <c r="AS3" s="129">
        <f t="shared" ref="AS3:AS23" si="7">AR3/AQ3-1</f>
        <v>-1</v>
      </c>
      <c r="AT3" s="61">
        <f>AQ3+AN3</f>
        <v>25486</v>
      </c>
      <c r="AU3" s="61">
        <f>AR3+AO3</f>
        <v>34405</v>
      </c>
      <c r="AV3" s="129">
        <f t="shared" ref="AV3:AV23" si="8">AU3/AT3-1</f>
        <v>0.34995683904889</v>
      </c>
      <c r="AW3" s="207"/>
      <c r="AX3" s="207"/>
      <c r="AY3" s="129" t="e">
        <f>AX3/AW3-1</f>
        <v>#DIV/0!</v>
      </c>
      <c r="AZ3" s="207">
        <f>AW3+AT3</f>
        <v>25486</v>
      </c>
      <c r="BA3" s="207">
        <f>AX3+AU3</f>
        <v>34405</v>
      </c>
      <c r="BB3" s="129">
        <f t="shared" ref="BB3:BB23" si="9">BA3/AZ3-1</f>
        <v>0.34995683904889</v>
      </c>
      <c r="BC3" s="60">
        <v>2148</v>
      </c>
      <c r="BD3" s="42"/>
      <c r="BE3" s="48"/>
      <c r="BF3" s="4">
        <v>2148</v>
      </c>
      <c r="BG3" s="4">
        <v>29782</v>
      </c>
      <c r="BH3" s="104">
        <f>BA3/10000/I3</f>
        <v>0.229366666666667</v>
      </c>
    </row>
    <row r="4" spans="1:60">
      <c r="A4" s="42" t="s">
        <v>25</v>
      </c>
      <c r="B4" s="197" t="s">
        <v>25</v>
      </c>
      <c r="C4" s="123" t="s">
        <v>136</v>
      </c>
      <c r="D4" s="198" t="s">
        <v>64</v>
      </c>
      <c r="E4" s="198" t="s">
        <v>64</v>
      </c>
      <c r="F4" s="273" t="s">
        <v>137</v>
      </c>
      <c r="G4" s="274" t="s">
        <v>137</v>
      </c>
      <c r="H4" s="53" t="s">
        <v>138</v>
      </c>
      <c r="I4" s="53"/>
      <c r="J4" s="4">
        <v>2000</v>
      </c>
      <c r="K4" s="4">
        <v>3500</v>
      </c>
      <c r="L4" s="129">
        <f t="shared" ref="L4:L23" si="10">K4/J4-1</f>
        <v>0.75</v>
      </c>
      <c r="M4" s="48"/>
      <c r="N4" s="48">
        <v>10000</v>
      </c>
      <c r="O4" s="129" t="e">
        <f t="shared" ref="O4:O23" si="11">N4/M4-1</f>
        <v>#DIV/0!</v>
      </c>
      <c r="P4" s="48">
        <f t="shared" ref="P4:P22" si="12">M4+J4</f>
        <v>2000</v>
      </c>
      <c r="Q4" s="48">
        <f t="shared" ref="Q4:Q22" si="13">N4+K4</f>
        <v>13500</v>
      </c>
      <c r="R4" s="129">
        <f t="shared" ref="R4:R23" si="14">Q4/P4-1</f>
        <v>5.75</v>
      </c>
      <c r="S4" s="42"/>
      <c r="T4" s="42">
        <v>13017.06</v>
      </c>
      <c r="U4" s="129" t="e">
        <f t="shared" si="0"/>
        <v>#DIV/0!</v>
      </c>
      <c r="V4" s="42">
        <f t="shared" ref="V4:V21" si="15">S4+P4</f>
        <v>2000</v>
      </c>
      <c r="W4" s="42">
        <f t="shared" ref="W4:W21" si="16">Q4+T4</f>
        <v>26517.06</v>
      </c>
      <c r="X4" s="129">
        <f t="shared" si="1"/>
        <v>12.25853</v>
      </c>
      <c r="Y4" s="61">
        <v>58500</v>
      </c>
      <c r="Z4" s="61"/>
      <c r="AA4" s="129">
        <f t="shared" si="2"/>
        <v>-1</v>
      </c>
      <c r="AB4" s="42">
        <f t="shared" ref="AB4:AB21" si="17">V4+Y4</f>
        <v>60500</v>
      </c>
      <c r="AC4" s="42">
        <f t="shared" ref="AC4:AC21" si="18">W4+Z4</f>
        <v>26517.06</v>
      </c>
      <c r="AD4" s="129">
        <f t="shared" si="3"/>
        <v>-0.561701487603306</v>
      </c>
      <c r="AE4" s="42">
        <v>47100</v>
      </c>
      <c r="AF4" s="42"/>
      <c r="AG4" s="129">
        <f t="shared" si="4"/>
        <v>-1</v>
      </c>
      <c r="AH4" s="42">
        <f t="shared" ref="AH4:AH22" si="19">AE4+AB4</f>
        <v>107600</v>
      </c>
      <c r="AI4" s="42">
        <f t="shared" ref="AI4:AI22" si="20">AF4+AC4</f>
        <v>26517.06</v>
      </c>
      <c r="AJ4" s="129">
        <f t="shared" si="5"/>
        <v>-0.753558921933085</v>
      </c>
      <c r="AK4" s="134">
        <v>104700</v>
      </c>
      <c r="AL4" s="134"/>
      <c r="AM4" s="129">
        <f t="shared" si="6"/>
        <v>-1</v>
      </c>
      <c r="AN4" s="134">
        <f t="shared" ref="AN4:AN23" si="21">AH4+AK4</f>
        <v>212300</v>
      </c>
      <c r="AO4" s="134">
        <f t="shared" ref="AO4:AO23" si="22">AI4+AL4</f>
        <v>26517.06</v>
      </c>
      <c r="AP4" s="129">
        <f>AO4/AN4-1</f>
        <v>-0.875096278850683</v>
      </c>
      <c r="AQ4" s="61">
        <v>2311</v>
      </c>
      <c r="AR4" s="61"/>
      <c r="AS4" s="129">
        <f t="shared" si="7"/>
        <v>-1</v>
      </c>
      <c r="AT4" s="61">
        <f t="shared" ref="AT4:AT22" si="23">AQ4+AN4</f>
        <v>214611</v>
      </c>
      <c r="AU4" s="61">
        <f t="shared" ref="AU4:AU22" si="24">AR4+AO4</f>
        <v>26517.06</v>
      </c>
      <c r="AV4" s="129">
        <f t="shared" si="8"/>
        <v>-0.876441282133721</v>
      </c>
      <c r="AW4" s="207"/>
      <c r="AX4" s="207"/>
      <c r="AY4" s="129" t="e">
        <f t="shared" ref="AY4:AY23" si="25">AX4/AW4-1</f>
        <v>#DIV/0!</v>
      </c>
      <c r="AZ4" s="207">
        <f t="shared" ref="AZ4:AZ22" si="26">AW4+AT4</f>
        <v>214611</v>
      </c>
      <c r="BA4" s="207">
        <f t="shared" ref="BA4:BA22" si="27">AX4+AU4</f>
        <v>26517.06</v>
      </c>
      <c r="BB4" s="129">
        <f t="shared" si="9"/>
        <v>-0.876441282133721</v>
      </c>
      <c r="BC4" s="60">
        <v>91007</v>
      </c>
      <c r="BD4" s="42">
        <v>40000</v>
      </c>
      <c r="BE4" s="48">
        <v>109300</v>
      </c>
      <c r="BF4" s="4">
        <v>113080</v>
      </c>
      <c r="BG4" s="4">
        <v>567998</v>
      </c>
      <c r="BH4" s="104" t="e">
        <f t="shared" ref="BH4:BH24" si="28">BA4/10000/I4</f>
        <v>#DIV/0!</v>
      </c>
    </row>
    <row r="5" s="40" customFormat="1" spans="1:61">
      <c r="A5" s="42" t="s">
        <v>25</v>
      </c>
      <c r="B5" s="197" t="s">
        <v>25</v>
      </c>
      <c r="C5" s="272" t="s">
        <v>139</v>
      </c>
      <c r="D5" s="199" t="s">
        <v>55</v>
      </c>
      <c r="E5" s="198" t="s">
        <v>55</v>
      </c>
      <c r="F5" s="198" t="s">
        <v>140</v>
      </c>
      <c r="G5" s="126" t="s">
        <v>79</v>
      </c>
      <c r="H5" s="53" t="s">
        <v>141</v>
      </c>
      <c r="I5" s="53">
        <v>600</v>
      </c>
      <c r="J5" s="4">
        <v>200000</v>
      </c>
      <c r="K5" s="4">
        <v>400000</v>
      </c>
      <c r="L5" s="129">
        <f t="shared" si="10"/>
        <v>1</v>
      </c>
      <c r="M5" s="48">
        <v>300000</v>
      </c>
      <c r="N5" s="48">
        <v>300000</v>
      </c>
      <c r="O5" s="129">
        <f t="shared" si="11"/>
        <v>0</v>
      </c>
      <c r="P5" s="48">
        <f t="shared" si="12"/>
        <v>500000</v>
      </c>
      <c r="Q5" s="48">
        <f t="shared" si="13"/>
        <v>700000</v>
      </c>
      <c r="R5" s="129">
        <f t="shared" si="14"/>
        <v>0.4</v>
      </c>
      <c r="S5" s="42"/>
      <c r="T5" s="42">
        <f>40000+170000</f>
        <v>210000</v>
      </c>
      <c r="U5" s="129" t="e">
        <f t="shared" si="0"/>
        <v>#DIV/0!</v>
      </c>
      <c r="V5" s="42">
        <f t="shared" si="15"/>
        <v>500000</v>
      </c>
      <c r="W5" s="42">
        <f t="shared" si="16"/>
        <v>910000</v>
      </c>
      <c r="X5" s="129">
        <f t="shared" si="1"/>
        <v>0.82</v>
      </c>
      <c r="Y5" s="61">
        <v>250000</v>
      </c>
      <c r="Z5" s="61">
        <v>400000</v>
      </c>
      <c r="AA5" s="129">
        <f t="shared" si="2"/>
        <v>0.6</v>
      </c>
      <c r="AB5" s="42">
        <f t="shared" si="17"/>
        <v>750000</v>
      </c>
      <c r="AC5" s="42">
        <f t="shared" si="18"/>
        <v>1310000</v>
      </c>
      <c r="AD5" s="129">
        <f t="shared" si="3"/>
        <v>0.746666666666667</v>
      </c>
      <c r="AE5" s="42">
        <v>420000</v>
      </c>
      <c r="AF5" s="42">
        <v>180000</v>
      </c>
      <c r="AG5" s="129">
        <f t="shared" si="4"/>
        <v>-0.571428571428571</v>
      </c>
      <c r="AH5" s="42">
        <f t="shared" si="19"/>
        <v>1170000</v>
      </c>
      <c r="AI5" s="42">
        <f t="shared" si="20"/>
        <v>1490000</v>
      </c>
      <c r="AJ5" s="129">
        <f t="shared" si="5"/>
        <v>0.273504273504273</v>
      </c>
      <c r="AK5" s="134">
        <v>150000</v>
      </c>
      <c r="AL5" s="134">
        <v>200000</v>
      </c>
      <c r="AM5" s="129">
        <f t="shared" si="6"/>
        <v>0.333333333333333</v>
      </c>
      <c r="AN5" s="134">
        <f t="shared" si="21"/>
        <v>1320000</v>
      </c>
      <c r="AO5" s="134">
        <f t="shared" si="22"/>
        <v>1690000</v>
      </c>
      <c r="AP5" s="129">
        <f t="shared" ref="AP4:AP24" si="29">AO5/AN5-1</f>
        <v>0.28030303030303</v>
      </c>
      <c r="AQ5" s="61">
        <v>200000</v>
      </c>
      <c r="AR5" s="61">
        <v>250000</v>
      </c>
      <c r="AS5" s="129">
        <f t="shared" si="7"/>
        <v>0.25</v>
      </c>
      <c r="AT5" s="61">
        <f t="shared" si="23"/>
        <v>1520000</v>
      </c>
      <c r="AU5" s="61">
        <f t="shared" si="24"/>
        <v>1940000</v>
      </c>
      <c r="AV5" s="129">
        <f t="shared" si="8"/>
        <v>0.276315789473684</v>
      </c>
      <c r="AW5" s="207">
        <v>250000</v>
      </c>
      <c r="AX5" s="207">
        <v>200000</v>
      </c>
      <c r="AY5" s="129">
        <f t="shared" si="25"/>
        <v>-0.2</v>
      </c>
      <c r="AZ5" s="207">
        <f t="shared" si="26"/>
        <v>1770000</v>
      </c>
      <c r="BA5" s="207">
        <f t="shared" si="27"/>
        <v>2140000</v>
      </c>
      <c r="BB5" s="129">
        <f t="shared" si="9"/>
        <v>0.209039548022599</v>
      </c>
      <c r="BC5" s="60">
        <v>259764.14</v>
      </c>
      <c r="BD5" s="42">
        <v>440000</v>
      </c>
      <c r="BE5" s="48">
        <v>600000</v>
      </c>
      <c r="BF5" s="4">
        <v>900000</v>
      </c>
      <c r="BG5" s="4">
        <v>3969764.14</v>
      </c>
      <c r="BH5" s="104">
        <f t="shared" si="28"/>
        <v>0.356666666666667</v>
      </c>
      <c r="BI5" s="40">
        <v>170000</v>
      </c>
    </row>
    <row r="6" s="40" customFormat="1" ht="12" customHeight="1" spans="1:60">
      <c r="A6" s="133" t="s">
        <v>25</v>
      </c>
      <c r="B6" s="141" t="s">
        <v>25</v>
      </c>
      <c r="C6" s="123" t="s">
        <v>142</v>
      </c>
      <c r="D6" s="199" t="s">
        <v>60</v>
      </c>
      <c r="E6" s="199" t="s">
        <v>60</v>
      </c>
      <c r="F6" s="275" t="s">
        <v>143</v>
      </c>
      <c r="G6" s="276" t="s">
        <v>143</v>
      </c>
      <c r="H6" s="126" t="s">
        <v>138</v>
      </c>
      <c r="I6" s="126">
        <v>70</v>
      </c>
      <c r="J6" s="10"/>
      <c r="K6" s="10">
        <v>23268</v>
      </c>
      <c r="L6" s="205" t="e">
        <f t="shared" si="10"/>
        <v>#DIV/0!</v>
      </c>
      <c r="M6" s="191"/>
      <c r="N6" s="191">
        <v>20000</v>
      </c>
      <c r="O6" s="205" t="e">
        <f t="shared" si="11"/>
        <v>#DIV/0!</v>
      </c>
      <c r="P6" s="191">
        <f t="shared" si="12"/>
        <v>0</v>
      </c>
      <c r="Q6" s="191">
        <f t="shared" si="13"/>
        <v>43268</v>
      </c>
      <c r="R6" s="205" t="e">
        <f t="shared" si="14"/>
        <v>#DIV/0!</v>
      </c>
      <c r="S6" s="133">
        <f>138700+11340</f>
        <v>150040</v>
      </c>
      <c r="T6" s="42">
        <f>505+110381</f>
        <v>110886</v>
      </c>
      <c r="U6" s="129">
        <f t="shared" si="0"/>
        <v>-0.260957078112503</v>
      </c>
      <c r="V6" s="42">
        <f t="shared" si="15"/>
        <v>150040</v>
      </c>
      <c r="W6" s="42">
        <f t="shared" si="16"/>
        <v>154154</v>
      </c>
      <c r="X6" s="129">
        <f t="shared" si="1"/>
        <v>0.0274193548387096</v>
      </c>
      <c r="Y6" s="60"/>
      <c r="Z6" s="60"/>
      <c r="AA6" s="129" t="e">
        <f t="shared" si="2"/>
        <v>#DIV/0!</v>
      </c>
      <c r="AB6" s="42">
        <f t="shared" si="17"/>
        <v>150040</v>
      </c>
      <c r="AC6" s="42">
        <f t="shared" si="18"/>
        <v>154154</v>
      </c>
      <c r="AD6" s="129">
        <f t="shared" si="3"/>
        <v>0.0274193548387096</v>
      </c>
      <c r="AE6" s="133">
        <v>39000</v>
      </c>
      <c r="AF6" s="42">
        <v>31123</v>
      </c>
      <c r="AG6" s="129">
        <f t="shared" si="4"/>
        <v>-0.201974358974359</v>
      </c>
      <c r="AH6" s="42">
        <f t="shared" si="19"/>
        <v>189040</v>
      </c>
      <c r="AI6" s="42">
        <f t="shared" si="20"/>
        <v>185277</v>
      </c>
      <c r="AJ6" s="129">
        <f t="shared" si="5"/>
        <v>-0.0199058400338553</v>
      </c>
      <c r="AK6" s="134">
        <f>26000+115000</f>
        <v>141000</v>
      </c>
      <c r="AL6" s="134">
        <v>25000</v>
      </c>
      <c r="AM6" s="129">
        <f t="shared" si="6"/>
        <v>-0.822695035460993</v>
      </c>
      <c r="AN6" s="134">
        <f t="shared" si="21"/>
        <v>330040</v>
      </c>
      <c r="AO6" s="134">
        <f t="shared" si="22"/>
        <v>210277</v>
      </c>
      <c r="AP6" s="129">
        <f t="shared" si="29"/>
        <v>-0.362874197067022</v>
      </c>
      <c r="AQ6" s="60">
        <v>2746.26</v>
      </c>
      <c r="AR6" s="61">
        <v>26000</v>
      </c>
      <c r="AS6" s="129">
        <f t="shared" si="7"/>
        <v>8.46742114730579</v>
      </c>
      <c r="AT6" s="61">
        <f t="shared" si="23"/>
        <v>332786.26</v>
      </c>
      <c r="AU6" s="61">
        <f t="shared" si="24"/>
        <v>236277</v>
      </c>
      <c r="AV6" s="129">
        <f t="shared" si="8"/>
        <v>-0.290003739938061</v>
      </c>
      <c r="AW6" s="208"/>
      <c r="AX6" s="207">
        <v>81471</v>
      </c>
      <c r="AY6" s="129" t="e">
        <f t="shared" si="25"/>
        <v>#DIV/0!</v>
      </c>
      <c r="AZ6" s="207">
        <f t="shared" si="26"/>
        <v>332786.26</v>
      </c>
      <c r="BA6" s="207">
        <f t="shared" si="27"/>
        <v>317748</v>
      </c>
      <c r="BB6" s="129">
        <f t="shared" si="9"/>
        <v>-0.0451889450003135</v>
      </c>
      <c r="BC6" s="60"/>
      <c r="BD6" s="133">
        <f>-52392+87495</f>
        <v>35103</v>
      </c>
      <c r="BE6" s="191">
        <f>-7894+13102+4456</f>
        <v>9664</v>
      </c>
      <c r="BF6" s="10">
        <v>41447</v>
      </c>
      <c r="BG6" s="10">
        <v>419000.26</v>
      </c>
      <c r="BH6" s="104">
        <f t="shared" si="28"/>
        <v>0.453925714285714</v>
      </c>
    </row>
    <row r="7" s="40" customFormat="1" spans="1:60">
      <c r="A7" s="42" t="s">
        <v>25</v>
      </c>
      <c r="B7" s="197" t="s">
        <v>25</v>
      </c>
      <c r="C7" s="123" t="s">
        <v>144</v>
      </c>
      <c r="D7" s="199" t="s">
        <v>83</v>
      </c>
      <c r="E7" s="198" t="s">
        <v>83</v>
      </c>
      <c r="F7" s="273" t="s">
        <v>134</v>
      </c>
      <c r="G7" s="276" t="s">
        <v>134</v>
      </c>
      <c r="H7" s="53" t="s">
        <v>135</v>
      </c>
      <c r="I7" s="53">
        <v>75</v>
      </c>
      <c r="J7" s="4">
        <v>68740</v>
      </c>
      <c r="K7" s="4">
        <v>41556</v>
      </c>
      <c r="L7" s="129">
        <f t="shared" si="10"/>
        <v>-0.395461157986616</v>
      </c>
      <c r="M7" s="48">
        <v>17488</v>
      </c>
      <c r="N7" s="48">
        <v>23930</v>
      </c>
      <c r="O7" s="129">
        <f t="shared" si="11"/>
        <v>0.368366880146386</v>
      </c>
      <c r="P7" s="48">
        <f t="shared" si="12"/>
        <v>86228</v>
      </c>
      <c r="Q7" s="48">
        <f t="shared" si="13"/>
        <v>65486</v>
      </c>
      <c r="R7" s="129">
        <f t="shared" si="14"/>
        <v>-0.240548313772788</v>
      </c>
      <c r="S7" s="42">
        <v>42550</v>
      </c>
      <c r="T7" s="42">
        <v>28616</v>
      </c>
      <c r="U7" s="129">
        <f t="shared" si="0"/>
        <v>-0.327473560517039</v>
      </c>
      <c r="V7" s="42">
        <f t="shared" si="15"/>
        <v>128778</v>
      </c>
      <c r="W7" s="42">
        <f t="shared" si="16"/>
        <v>94102</v>
      </c>
      <c r="X7" s="129">
        <f t="shared" si="1"/>
        <v>-0.269269595738402</v>
      </c>
      <c r="Y7" s="61">
        <v>48590</v>
      </c>
      <c r="Z7" s="61">
        <v>5936</v>
      </c>
      <c r="AA7" s="129">
        <f t="shared" si="2"/>
        <v>-0.877834945462029</v>
      </c>
      <c r="AB7" s="42">
        <f t="shared" si="17"/>
        <v>177368</v>
      </c>
      <c r="AC7" s="42">
        <f t="shared" si="18"/>
        <v>100038</v>
      </c>
      <c r="AD7" s="129">
        <f t="shared" si="3"/>
        <v>-0.435986198186821</v>
      </c>
      <c r="AE7" s="42">
        <v>76270</v>
      </c>
      <c r="AF7" s="42">
        <v>33015</v>
      </c>
      <c r="AG7" s="129">
        <f t="shared" si="4"/>
        <v>-0.567129933132293</v>
      </c>
      <c r="AH7" s="42">
        <f t="shared" si="19"/>
        <v>253638</v>
      </c>
      <c r="AI7" s="42">
        <f t="shared" si="20"/>
        <v>133053</v>
      </c>
      <c r="AJ7" s="129">
        <f t="shared" si="5"/>
        <v>-0.475421663946254</v>
      </c>
      <c r="AK7" s="134">
        <v>39070</v>
      </c>
      <c r="AL7" s="134">
        <f>12199-7600</f>
        <v>4599</v>
      </c>
      <c r="AM7" s="129">
        <f t="shared" si="6"/>
        <v>-0.882288200665472</v>
      </c>
      <c r="AN7" s="134">
        <f t="shared" si="21"/>
        <v>292708</v>
      </c>
      <c r="AO7" s="134">
        <f t="shared" si="22"/>
        <v>137652</v>
      </c>
      <c r="AP7" s="129">
        <f t="shared" si="29"/>
        <v>-0.529729286524454</v>
      </c>
      <c r="AQ7" s="61">
        <v>10450</v>
      </c>
      <c r="AR7" s="61">
        <v>-4599</v>
      </c>
      <c r="AS7" s="129">
        <f t="shared" si="7"/>
        <v>-1.4400956937799</v>
      </c>
      <c r="AT7" s="61">
        <f t="shared" si="23"/>
        <v>303158</v>
      </c>
      <c r="AU7" s="61">
        <f t="shared" si="24"/>
        <v>133053</v>
      </c>
      <c r="AV7" s="129">
        <f t="shared" si="8"/>
        <v>-0.561110048225678</v>
      </c>
      <c r="AW7" s="207">
        <v>21056</v>
      </c>
      <c r="AX7" s="207">
        <v>0</v>
      </c>
      <c r="AY7" s="129">
        <f t="shared" si="25"/>
        <v>-1</v>
      </c>
      <c r="AZ7" s="207">
        <f t="shared" si="26"/>
        <v>324214</v>
      </c>
      <c r="BA7" s="207">
        <f t="shared" si="27"/>
        <v>133053</v>
      </c>
      <c r="BB7" s="129">
        <f t="shared" si="9"/>
        <v>-0.589613650243358</v>
      </c>
      <c r="BC7" s="60">
        <v>106142</v>
      </c>
      <c r="BD7" s="42">
        <v>61139</v>
      </c>
      <c r="BE7" s="48">
        <v>25316</v>
      </c>
      <c r="BF7" s="4">
        <v>115791</v>
      </c>
      <c r="BG7" s="4">
        <v>632602</v>
      </c>
      <c r="BH7" s="104">
        <f t="shared" si="28"/>
        <v>0.177404</v>
      </c>
    </row>
    <row r="8" spans="1:60">
      <c r="A8" s="42" t="s">
        <v>25</v>
      </c>
      <c r="B8" s="197" t="s">
        <v>25</v>
      </c>
      <c r="C8" s="123" t="s">
        <v>145</v>
      </c>
      <c r="D8" s="198" t="s">
        <v>87</v>
      </c>
      <c r="E8" s="198" t="s">
        <v>87</v>
      </c>
      <c r="F8" s="198" t="s">
        <v>140</v>
      </c>
      <c r="G8" s="53" t="s">
        <v>79</v>
      </c>
      <c r="H8" s="53" t="s">
        <v>138</v>
      </c>
      <c r="I8" s="53"/>
      <c r="J8" s="4">
        <v>216965.28</v>
      </c>
      <c r="K8" s="4">
        <v>4938</v>
      </c>
      <c r="L8" s="129">
        <f t="shared" si="10"/>
        <v>-0.977240598127037</v>
      </c>
      <c r="M8" s="48">
        <v>59548</v>
      </c>
      <c r="N8" s="48"/>
      <c r="O8" s="129">
        <f t="shared" si="11"/>
        <v>-1</v>
      </c>
      <c r="P8" s="48">
        <f t="shared" si="12"/>
        <v>276513.28</v>
      </c>
      <c r="Q8" s="48">
        <f t="shared" si="13"/>
        <v>4938</v>
      </c>
      <c r="R8" s="129">
        <f t="shared" si="14"/>
        <v>-0.98214190652977</v>
      </c>
      <c r="S8" s="42">
        <v>97829.46</v>
      </c>
      <c r="T8" s="42">
        <v>2998</v>
      </c>
      <c r="U8" s="129">
        <f t="shared" si="0"/>
        <v>-0.969354834423087</v>
      </c>
      <c r="V8" s="42">
        <f t="shared" si="15"/>
        <v>374342.74</v>
      </c>
      <c r="W8" s="42">
        <f t="shared" si="16"/>
        <v>7936</v>
      </c>
      <c r="X8" s="129">
        <f t="shared" si="1"/>
        <v>-0.978800176544094</v>
      </c>
      <c r="Y8" s="61">
        <v>14652</v>
      </c>
      <c r="Z8" s="61">
        <v>2400</v>
      </c>
      <c r="AA8" s="129">
        <f t="shared" si="2"/>
        <v>-0.836199836199836</v>
      </c>
      <c r="AB8" s="42">
        <f t="shared" si="17"/>
        <v>388994.74</v>
      </c>
      <c r="AC8" s="42">
        <f t="shared" si="18"/>
        <v>10336</v>
      </c>
      <c r="AD8" s="129">
        <f t="shared" si="3"/>
        <v>-0.973428946622774</v>
      </c>
      <c r="AE8" s="42">
        <v>2100</v>
      </c>
      <c r="AF8" s="42">
        <v>11730</v>
      </c>
      <c r="AG8" s="129">
        <f t="shared" si="4"/>
        <v>4.58571428571429</v>
      </c>
      <c r="AH8" s="42">
        <f t="shared" si="19"/>
        <v>391094.74</v>
      </c>
      <c r="AI8" s="42">
        <f t="shared" si="20"/>
        <v>22066</v>
      </c>
      <c r="AJ8" s="129">
        <f t="shared" si="5"/>
        <v>-0.943578888327672</v>
      </c>
      <c r="AK8" s="134"/>
      <c r="AL8" s="134">
        <f>2998+7600</f>
        <v>10598</v>
      </c>
      <c r="AM8" s="129" t="e">
        <f t="shared" si="6"/>
        <v>#DIV/0!</v>
      </c>
      <c r="AN8" s="134">
        <f t="shared" si="21"/>
        <v>391094.74</v>
      </c>
      <c r="AO8" s="134">
        <f t="shared" si="22"/>
        <v>32664</v>
      </c>
      <c r="AP8" s="129">
        <f t="shared" si="29"/>
        <v>-0.916480594957631</v>
      </c>
      <c r="AQ8" s="61">
        <v>18196</v>
      </c>
      <c r="AR8" s="61">
        <v>8400</v>
      </c>
      <c r="AS8" s="129">
        <f t="shared" si="7"/>
        <v>-0.538360079138272</v>
      </c>
      <c r="AT8" s="61">
        <f t="shared" si="23"/>
        <v>409290.74</v>
      </c>
      <c r="AU8" s="61">
        <f t="shared" si="24"/>
        <v>41064</v>
      </c>
      <c r="AV8" s="129">
        <f t="shared" si="8"/>
        <v>-0.899670341918803</v>
      </c>
      <c r="AW8" s="207">
        <v>3666</v>
      </c>
      <c r="AX8" s="207">
        <v>8876</v>
      </c>
      <c r="AY8" s="129">
        <f t="shared" si="25"/>
        <v>1.42116748499727</v>
      </c>
      <c r="AZ8" s="207">
        <f t="shared" si="26"/>
        <v>412956.74</v>
      </c>
      <c r="BA8" s="207">
        <f t="shared" si="27"/>
        <v>49940</v>
      </c>
      <c r="BB8" s="129">
        <f t="shared" si="9"/>
        <v>-0.879067235953093</v>
      </c>
      <c r="BC8" s="60">
        <v>21554</v>
      </c>
      <c r="BD8" s="42">
        <v>2796</v>
      </c>
      <c r="BE8" s="48">
        <v>796</v>
      </c>
      <c r="BF8" s="4">
        <v>8848</v>
      </c>
      <c r="BG8" s="4">
        <v>446950.74</v>
      </c>
      <c r="BH8" s="104" t="e">
        <f t="shared" si="28"/>
        <v>#DIV/0!</v>
      </c>
    </row>
    <row r="9" spans="1:60">
      <c r="A9" s="42" t="s">
        <v>25</v>
      </c>
      <c r="B9" s="197" t="s">
        <v>25</v>
      </c>
      <c r="C9" s="123" t="s">
        <v>146</v>
      </c>
      <c r="D9" s="198" t="s">
        <v>60</v>
      </c>
      <c r="E9" s="198" t="s">
        <v>60</v>
      </c>
      <c r="F9" s="198" t="s">
        <v>140</v>
      </c>
      <c r="G9" s="274" t="s">
        <v>147</v>
      </c>
      <c r="H9" s="53" t="s">
        <v>138</v>
      </c>
      <c r="I9" s="53"/>
      <c r="J9" s="4">
        <v>4521</v>
      </c>
      <c r="K9" s="4"/>
      <c r="L9" s="129">
        <f t="shared" si="10"/>
        <v>-1</v>
      </c>
      <c r="M9" s="48"/>
      <c r="N9" s="48"/>
      <c r="O9" s="129" t="e">
        <f t="shared" si="11"/>
        <v>#DIV/0!</v>
      </c>
      <c r="P9" s="48">
        <f t="shared" si="12"/>
        <v>4521</v>
      </c>
      <c r="Q9" s="48">
        <f t="shared" si="13"/>
        <v>0</v>
      </c>
      <c r="R9" s="129">
        <f t="shared" si="14"/>
        <v>-1</v>
      </c>
      <c r="S9" s="42"/>
      <c r="T9" s="42"/>
      <c r="U9" s="129" t="e">
        <f t="shared" si="0"/>
        <v>#DIV/0!</v>
      </c>
      <c r="V9" s="42">
        <f t="shared" si="15"/>
        <v>4521</v>
      </c>
      <c r="W9" s="42">
        <f t="shared" si="16"/>
        <v>0</v>
      </c>
      <c r="X9" s="129">
        <f t="shared" si="1"/>
        <v>-1</v>
      </c>
      <c r="Y9" s="61">
        <v>3305</v>
      </c>
      <c r="Z9" s="61"/>
      <c r="AA9" s="129">
        <f t="shared" si="2"/>
        <v>-1</v>
      </c>
      <c r="AB9" s="42">
        <f t="shared" si="17"/>
        <v>7826</v>
      </c>
      <c r="AC9" s="42">
        <f t="shared" si="18"/>
        <v>0</v>
      </c>
      <c r="AD9" s="129">
        <f t="shared" si="3"/>
        <v>-1</v>
      </c>
      <c r="AE9" s="42"/>
      <c r="AF9" s="42"/>
      <c r="AG9" s="129" t="e">
        <f t="shared" si="4"/>
        <v>#DIV/0!</v>
      </c>
      <c r="AH9" s="42">
        <f t="shared" si="19"/>
        <v>7826</v>
      </c>
      <c r="AI9" s="42">
        <f t="shared" si="20"/>
        <v>0</v>
      </c>
      <c r="AJ9" s="129">
        <f t="shared" si="5"/>
        <v>-1</v>
      </c>
      <c r="AK9" s="134"/>
      <c r="AL9" s="134"/>
      <c r="AM9" s="129" t="e">
        <f t="shared" si="6"/>
        <v>#DIV/0!</v>
      </c>
      <c r="AN9" s="134">
        <f t="shared" si="21"/>
        <v>7826</v>
      </c>
      <c r="AO9" s="134">
        <f t="shared" si="22"/>
        <v>0</v>
      </c>
      <c r="AP9" s="129">
        <f t="shared" si="29"/>
        <v>-1</v>
      </c>
      <c r="AQ9" s="61"/>
      <c r="AR9" s="61"/>
      <c r="AS9" s="129" t="e">
        <f t="shared" si="7"/>
        <v>#DIV/0!</v>
      </c>
      <c r="AT9" s="61">
        <f t="shared" si="23"/>
        <v>7826</v>
      </c>
      <c r="AU9" s="61">
        <f t="shared" si="24"/>
        <v>0</v>
      </c>
      <c r="AV9" s="129">
        <f t="shared" si="8"/>
        <v>-1</v>
      </c>
      <c r="AW9" s="207"/>
      <c r="AX9" s="207"/>
      <c r="AY9" s="129" t="e">
        <f t="shared" si="25"/>
        <v>#DIV/0!</v>
      </c>
      <c r="AZ9" s="207">
        <f t="shared" si="26"/>
        <v>7826</v>
      </c>
      <c r="BA9" s="207">
        <f t="shared" si="27"/>
        <v>0</v>
      </c>
      <c r="BB9" s="129">
        <f t="shared" si="9"/>
        <v>-1</v>
      </c>
      <c r="BC9" s="60"/>
      <c r="BD9" s="42"/>
      <c r="BE9" s="48"/>
      <c r="BF9" s="4"/>
      <c r="BG9" s="4">
        <v>7826</v>
      </c>
      <c r="BH9" s="104" t="e">
        <f t="shared" si="28"/>
        <v>#DIV/0!</v>
      </c>
    </row>
    <row r="10" spans="1:60">
      <c r="A10" s="42" t="s">
        <v>25</v>
      </c>
      <c r="B10" s="197" t="s">
        <v>25</v>
      </c>
      <c r="C10" s="200" t="s">
        <v>148</v>
      </c>
      <c r="D10" s="198" t="s">
        <v>101</v>
      </c>
      <c r="E10" s="198" t="s">
        <v>101</v>
      </c>
      <c r="F10" s="198" t="s">
        <v>140</v>
      </c>
      <c r="G10" s="274" t="s">
        <v>147</v>
      </c>
      <c r="H10" s="53" t="s">
        <v>138</v>
      </c>
      <c r="I10" s="53"/>
      <c r="J10" s="4">
        <v>18336</v>
      </c>
      <c r="K10" s="4">
        <v>790</v>
      </c>
      <c r="L10" s="129">
        <f t="shared" si="10"/>
        <v>-0.956915357766143</v>
      </c>
      <c r="M10" s="48">
        <v>5885</v>
      </c>
      <c r="N10" s="48"/>
      <c r="O10" s="129">
        <f t="shared" si="11"/>
        <v>-1</v>
      </c>
      <c r="P10" s="48">
        <f t="shared" si="12"/>
        <v>24221</v>
      </c>
      <c r="Q10" s="48">
        <f t="shared" si="13"/>
        <v>790</v>
      </c>
      <c r="R10" s="129">
        <f t="shared" si="14"/>
        <v>-0.967383675323067</v>
      </c>
      <c r="S10" s="42">
        <v>9785</v>
      </c>
      <c r="T10" s="42">
        <v>9575</v>
      </c>
      <c r="U10" s="129">
        <f t="shared" si="0"/>
        <v>-0.0214614205416453</v>
      </c>
      <c r="V10" s="42">
        <f t="shared" si="15"/>
        <v>34006</v>
      </c>
      <c r="W10" s="42">
        <f t="shared" si="16"/>
        <v>10365</v>
      </c>
      <c r="X10" s="129">
        <f t="shared" si="1"/>
        <v>-0.695200846909369</v>
      </c>
      <c r="Y10" s="61">
        <v>20567</v>
      </c>
      <c r="Z10" s="61"/>
      <c r="AA10" s="129">
        <f t="shared" si="2"/>
        <v>-1</v>
      </c>
      <c r="AB10" s="42">
        <f t="shared" si="17"/>
        <v>54573</v>
      </c>
      <c r="AC10" s="42">
        <f t="shared" si="18"/>
        <v>10365</v>
      </c>
      <c r="AD10" s="129">
        <f t="shared" si="3"/>
        <v>-0.810070914188335</v>
      </c>
      <c r="AE10" s="42"/>
      <c r="AF10" s="42"/>
      <c r="AG10" s="129" t="e">
        <f t="shared" si="4"/>
        <v>#DIV/0!</v>
      </c>
      <c r="AH10" s="42">
        <f t="shared" si="19"/>
        <v>54573</v>
      </c>
      <c r="AI10" s="42">
        <f t="shared" si="20"/>
        <v>10365</v>
      </c>
      <c r="AJ10" s="129">
        <f t="shared" si="5"/>
        <v>-0.810070914188335</v>
      </c>
      <c r="AK10" s="134">
        <v>1580</v>
      </c>
      <c r="AL10" s="134"/>
      <c r="AM10" s="129">
        <f t="shared" si="6"/>
        <v>-1</v>
      </c>
      <c r="AN10" s="134">
        <f t="shared" si="21"/>
        <v>56153</v>
      </c>
      <c r="AO10" s="134">
        <f t="shared" si="22"/>
        <v>10365</v>
      </c>
      <c r="AP10" s="129">
        <f t="shared" si="29"/>
        <v>-0.815415026801774</v>
      </c>
      <c r="AQ10" s="61"/>
      <c r="AR10" s="61"/>
      <c r="AS10" s="129" t="e">
        <f t="shared" si="7"/>
        <v>#DIV/0!</v>
      </c>
      <c r="AT10" s="61">
        <f t="shared" si="23"/>
        <v>56153</v>
      </c>
      <c r="AU10" s="61">
        <f t="shared" si="24"/>
        <v>10365</v>
      </c>
      <c r="AV10" s="129">
        <f t="shared" si="8"/>
        <v>-0.815415026801774</v>
      </c>
      <c r="AW10" s="207"/>
      <c r="AX10" s="207"/>
      <c r="AY10" s="129" t="e">
        <f t="shared" si="25"/>
        <v>#DIV/0!</v>
      </c>
      <c r="AZ10" s="207">
        <f t="shared" si="26"/>
        <v>56153</v>
      </c>
      <c r="BA10" s="207">
        <f t="shared" si="27"/>
        <v>10365</v>
      </c>
      <c r="BB10" s="129">
        <f t="shared" si="9"/>
        <v>-0.815415026801774</v>
      </c>
      <c r="BC10" s="60">
        <v>13071</v>
      </c>
      <c r="BD10" s="42">
        <v>3556</v>
      </c>
      <c r="BE10" s="48"/>
      <c r="BF10" s="4">
        <v>9136</v>
      </c>
      <c r="BG10" s="4">
        <v>81916</v>
      </c>
      <c r="BH10" s="104" t="e">
        <f t="shared" si="28"/>
        <v>#DIV/0!</v>
      </c>
    </row>
    <row r="11" spans="1:60">
      <c r="A11" s="42" t="s">
        <v>25</v>
      </c>
      <c r="B11" s="197" t="s">
        <v>25</v>
      </c>
      <c r="C11" s="200" t="s">
        <v>149</v>
      </c>
      <c r="D11" s="198" t="s">
        <v>60</v>
      </c>
      <c r="E11" s="198" t="s">
        <v>60</v>
      </c>
      <c r="F11" s="273" t="s">
        <v>134</v>
      </c>
      <c r="G11" s="274" t="s">
        <v>134</v>
      </c>
      <c r="H11" s="53" t="s">
        <v>135</v>
      </c>
      <c r="I11" s="53"/>
      <c r="J11" s="4"/>
      <c r="K11" s="4"/>
      <c r="L11" s="129" t="e">
        <f t="shared" si="10"/>
        <v>#DIV/0!</v>
      </c>
      <c r="M11" s="48"/>
      <c r="N11" s="48"/>
      <c r="O11" s="129" t="e">
        <f t="shared" si="11"/>
        <v>#DIV/0!</v>
      </c>
      <c r="P11" s="48">
        <f t="shared" si="12"/>
        <v>0</v>
      </c>
      <c r="Q11" s="48">
        <f t="shared" si="13"/>
        <v>0</v>
      </c>
      <c r="R11" s="129" t="e">
        <f t="shared" si="14"/>
        <v>#DIV/0!</v>
      </c>
      <c r="S11" s="42">
        <v>2896.82</v>
      </c>
      <c r="T11" s="42"/>
      <c r="U11" s="129">
        <f t="shared" si="0"/>
        <v>-1</v>
      </c>
      <c r="V11" s="42">
        <f t="shared" si="15"/>
        <v>2896.82</v>
      </c>
      <c r="W11" s="42">
        <f t="shared" si="16"/>
        <v>0</v>
      </c>
      <c r="X11" s="129">
        <f t="shared" si="1"/>
        <v>-1</v>
      </c>
      <c r="Y11" s="61"/>
      <c r="Z11" s="61"/>
      <c r="AA11" s="129" t="e">
        <f t="shared" si="2"/>
        <v>#DIV/0!</v>
      </c>
      <c r="AB11" s="42">
        <f t="shared" si="17"/>
        <v>2896.82</v>
      </c>
      <c r="AC11" s="42">
        <f t="shared" si="18"/>
        <v>0</v>
      </c>
      <c r="AD11" s="129">
        <f t="shared" si="3"/>
        <v>-1</v>
      </c>
      <c r="AE11" s="42"/>
      <c r="AF11" s="42"/>
      <c r="AG11" s="129" t="e">
        <f t="shared" si="4"/>
        <v>#DIV/0!</v>
      </c>
      <c r="AH11" s="42">
        <f t="shared" si="19"/>
        <v>2896.82</v>
      </c>
      <c r="AI11" s="42">
        <f t="shared" si="20"/>
        <v>0</v>
      </c>
      <c r="AJ11" s="129">
        <f t="shared" si="5"/>
        <v>-1</v>
      </c>
      <c r="AK11" s="134"/>
      <c r="AL11" s="134"/>
      <c r="AM11" s="129" t="e">
        <f t="shared" si="6"/>
        <v>#DIV/0!</v>
      </c>
      <c r="AN11" s="134">
        <f t="shared" si="21"/>
        <v>2896.82</v>
      </c>
      <c r="AO11" s="134">
        <f t="shared" si="22"/>
        <v>0</v>
      </c>
      <c r="AP11" s="129">
        <f t="shared" si="29"/>
        <v>-1</v>
      </c>
      <c r="AQ11" s="61"/>
      <c r="AR11" s="61"/>
      <c r="AS11" s="129" t="e">
        <f t="shared" si="7"/>
        <v>#DIV/0!</v>
      </c>
      <c r="AT11" s="61">
        <f t="shared" si="23"/>
        <v>2896.82</v>
      </c>
      <c r="AU11" s="61">
        <f t="shared" si="24"/>
        <v>0</v>
      </c>
      <c r="AV11" s="129">
        <f t="shared" si="8"/>
        <v>-1</v>
      </c>
      <c r="AW11" s="207"/>
      <c r="AX11" s="207"/>
      <c r="AY11" s="129" t="e">
        <f t="shared" si="25"/>
        <v>#DIV/0!</v>
      </c>
      <c r="AZ11" s="207">
        <f t="shared" si="26"/>
        <v>2896.82</v>
      </c>
      <c r="BA11" s="207">
        <f t="shared" si="27"/>
        <v>0</v>
      </c>
      <c r="BB11" s="129">
        <f t="shared" si="9"/>
        <v>-1</v>
      </c>
      <c r="BC11" s="60"/>
      <c r="BD11" s="42"/>
      <c r="BE11" s="48"/>
      <c r="BF11" s="4"/>
      <c r="BG11" s="4">
        <v>2896.82</v>
      </c>
      <c r="BH11" s="104" t="e">
        <f t="shared" si="28"/>
        <v>#DIV/0!</v>
      </c>
    </row>
    <row r="12" spans="1:60">
      <c r="A12" s="42" t="s">
        <v>25</v>
      </c>
      <c r="B12" s="197" t="s">
        <v>25</v>
      </c>
      <c r="C12" s="200" t="s">
        <v>150</v>
      </c>
      <c r="D12" s="198" t="s">
        <v>60</v>
      </c>
      <c r="E12" s="198" t="s">
        <v>60</v>
      </c>
      <c r="F12" s="198" t="s">
        <v>134</v>
      </c>
      <c r="G12" s="53" t="s">
        <v>134</v>
      </c>
      <c r="H12" s="53" t="s">
        <v>135</v>
      </c>
      <c r="I12" s="53">
        <v>15</v>
      </c>
      <c r="J12" s="4">
        <v>20000</v>
      </c>
      <c r="K12" s="4"/>
      <c r="L12" s="129">
        <f t="shared" si="10"/>
        <v>-1</v>
      </c>
      <c r="M12" s="48"/>
      <c r="N12" s="48"/>
      <c r="O12" s="129" t="e">
        <f t="shared" si="11"/>
        <v>#DIV/0!</v>
      </c>
      <c r="P12" s="48">
        <f t="shared" si="12"/>
        <v>20000</v>
      </c>
      <c r="Q12" s="48">
        <f t="shared" si="13"/>
        <v>0</v>
      </c>
      <c r="R12" s="129">
        <f t="shared" si="14"/>
        <v>-1</v>
      </c>
      <c r="S12" s="42">
        <v>30000</v>
      </c>
      <c r="T12" s="42"/>
      <c r="U12" s="129">
        <f t="shared" si="0"/>
        <v>-1</v>
      </c>
      <c r="V12" s="42">
        <f t="shared" si="15"/>
        <v>50000</v>
      </c>
      <c r="W12" s="42">
        <f t="shared" si="16"/>
        <v>0</v>
      </c>
      <c r="X12" s="129">
        <f t="shared" si="1"/>
        <v>-1</v>
      </c>
      <c r="Y12" s="61"/>
      <c r="Z12" s="61"/>
      <c r="AA12" s="129" t="e">
        <f t="shared" si="2"/>
        <v>#DIV/0!</v>
      </c>
      <c r="AB12" s="42">
        <f t="shared" si="17"/>
        <v>50000</v>
      </c>
      <c r="AC12" s="42">
        <f t="shared" si="18"/>
        <v>0</v>
      </c>
      <c r="AD12" s="129">
        <f t="shared" si="3"/>
        <v>-1</v>
      </c>
      <c r="AE12" s="42"/>
      <c r="AF12" s="42"/>
      <c r="AG12" s="129" t="e">
        <f t="shared" si="4"/>
        <v>#DIV/0!</v>
      </c>
      <c r="AH12" s="42">
        <f t="shared" si="19"/>
        <v>50000</v>
      </c>
      <c r="AI12" s="42">
        <f t="shared" si="20"/>
        <v>0</v>
      </c>
      <c r="AJ12" s="129">
        <f t="shared" si="5"/>
        <v>-1</v>
      </c>
      <c r="AK12" s="134"/>
      <c r="AL12" s="134">
        <v>6167</v>
      </c>
      <c r="AM12" s="129" t="e">
        <f t="shared" si="6"/>
        <v>#DIV/0!</v>
      </c>
      <c r="AN12" s="134">
        <f t="shared" si="21"/>
        <v>50000</v>
      </c>
      <c r="AO12" s="134">
        <f t="shared" si="22"/>
        <v>6167</v>
      </c>
      <c r="AP12" s="129">
        <f t="shared" si="29"/>
        <v>-0.87666</v>
      </c>
      <c r="AQ12" s="61"/>
      <c r="AR12" s="61"/>
      <c r="AS12" s="129" t="e">
        <f t="shared" si="7"/>
        <v>#DIV/0!</v>
      </c>
      <c r="AT12" s="61">
        <f t="shared" si="23"/>
        <v>50000</v>
      </c>
      <c r="AU12" s="61">
        <f t="shared" si="24"/>
        <v>6167</v>
      </c>
      <c r="AV12" s="129">
        <f t="shared" si="8"/>
        <v>-0.87666</v>
      </c>
      <c r="AW12" s="207"/>
      <c r="AX12" s="207">
        <v>37.6</v>
      </c>
      <c r="AY12" s="129" t="e">
        <f t="shared" si="25"/>
        <v>#DIV/0!</v>
      </c>
      <c r="AZ12" s="207">
        <f t="shared" si="26"/>
        <v>50000</v>
      </c>
      <c r="BA12" s="207">
        <f t="shared" si="27"/>
        <v>6204.6</v>
      </c>
      <c r="BB12" s="129">
        <f t="shared" si="9"/>
        <v>-0.875908</v>
      </c>
      <c r="BC12" s="60"/>
      <c r="BD12" s="42">
        <v>9418</v>
      </c>
      <c r="BE12" s="48"/>
      <c r="BF12" s="4"/>
      <c r="BG12" s="4">
        <v>59418</v>
      </c>
      <c r="BH12" s="104">
        <f t="shared" si="28"/>
        <v>0.041364</v>
      </c>
    </row>
    <row r="13" spans="1:60">
      <c r="A13" s="42" t="s">
        <v>25</v>
      </c>
      <c r="B13" s="197" t="s">
        <v>25</v>
      </c>
      <c r="C13" s="200" t="s">
        <v>151</v>
      </c>
      <c r="D13" s="198" t="s">
        <v>60</v>
      </c>
      <c r="E13" s="198" t="s">
        <v>60</v>
      </c>
      <c r="F13" s="198" t="s">
        <v>134</v>
      </c>
      <c r="G13" s="53" t="s">
        <v>134</v>
      </c>
      <c r="H13" s="53" t="s">
        <v>135</v>
      </c>
      <c r="I13" s="53">
        <v>30</v>
      </c>
      <c r="J13" s="4">
        <v>26400</v>
      </c>
      <c r="K13" s="4"/>
      <c r="L13" s="129">
        <f t="shared" si="10"/>
        <v>-1</v>
      </c>
      <c r="M13" s="48"/>
      <c r="N13" s="48"/>
      <c r="O13" s="129" t="e">
        <f t="shared" si="11"/>
        <v>#DIV/0!</v>
      </c>
      <c r="P13" s="48">
        <f t="shared" si="12"/>
        <v>26400</v>
      </c>
      <c r="Q13" s="48">
        <f t="shared" si="13"/>
        <v>0</v>
      </c>
      <c r="R13" s="129">
        <f t="shared" si="14"/>
        <v>-1</v>
      </c>
      <c r="S13" s="42">
        <v>72600</v>
      </c>
      <c r="T13" s="42"/>
      <c r="U13" s="129">
        <f t="shared" si="0"/>
        <v>-1</v>
      </c>
      <c r="V13" s="42">
        <f t="shared" si="15"/>
        <v>99000</v>
      </c>
      <c r="W13" s="42">
        <f t="shared" si="16"/>
        <v>0</v>
      </c>
      <c r="X13" s="129">
        <f t="shared" si="1"/>
        <v>-1</v>
      </c>
      <c r="Y13" s="61"/>
      <c r="Z13" s="61"/>
      <c r="AA13" s="129" t="e">
        <f t="shared" si="2"/>
        <v>#DIV/0!</v>
      </c>
      <c r="AB13" s="42">
        <f t="shared" si="17"/>
        <v>99000</v>
      </c>
      <c r="AC13" s="42">
        <f t="shared" si="18"/>
        <v>0</v>
      </c>
      <c r="AD13" s="129">
        <f t="shared" si="3"/>
        <v>-1</v>
      </c>
      <c r="AE13" s="42"/>
      <c r="AF13" s="42"/>
      <c r="AG13" s="129" t="e">
        <f t="shared" si="4"/>
        <v>#DIV/0!</v>
      </c>
      <c r="AH13" s="42">
        <f t="shared" si="19"/>
        <v>99000</v>
      </c>
      <c r="AI13" s="42">
        <f t="shared" si="20"/>
        <v>0</v>
      </c>
      <c r="AJ13" s="129">
        <f t="shared" si="5"/>
        <v>-1</v>
      </c>
      <c r="AK13" s="134"/>
      <c r="AL13" s="134"/>
      <c r="AM13" s="129" t="e">
        <f t="shared" si="6"/>
        <v>#DIV/0!</v>
      </c>
      <c r="AN13" s="134">
        <f t="shared" si="21"/>
        <v>99000</v>
      </c>
      <c r="AO13" s="134">
        <f t="shared" si="22"/>
        <v>0</v>
      </c>
      <c r="AP13" s="129">
        <f t="shared" si="29"/>
        <v>-1</v>
      </c>
      <c r="AQ13" s="61"/>
      <c r="AR13" s="61"/>
      <c r="AS13" s="129" t="e">
        <f t="shared" si="7"/>
        <v>#DIV/0!</v>
      </c>
      <c r="AT13" s="61">
        <f t="shared" si="23"/>
        <v>99000</v>
      </c>
      <c r="AU13" s="61">
        <f t="shared" si="24"/>
        <v>0</v>
      </c>
      <c r="AV13" s="129">
        <f t="shared" si="8"/>
        <v>-1</v>
      </c>
      <c r="AW13" s="207">
        <v>10422</v>
      </c>
      <c r="AX13" s="207"/>
      <c r="AY13" s="129">
        <f t="shared" si="25"/>
        <v>-1</v>
      </c>
      <c r="AZ13" s="207">
        <f t="shared" si="26"/>
        <v>109422</v>
      </c>
      <c r="BA13" s="207">
        <f t="shared" si="27"/>
        <v>0</v>
      </c>
      <c r="BB13" s="129">
        <f t="shared" si="9"/>
        <v>-1</v>
      </c>
      <c r="BC13" s="60"/>
      <c r="BD13" s="42"/>
      <c r="BE13" s="48"/>
      <c r="BF13" s="4">
        <v>76431</v>
      </c>
      <c r="BG13" s="4">
        <v>185853</v>
      </c>
      <c r="BH13" s="104">
        <f t="shared" si="28"/>
        <v>0</v>
      </c>
    </row>
    <row r="14" spans="1:60">
      <c r="A14" s="42" t="s">
        <v>25</v>
      </c>
      <c r="B14" s="197" t="s">
        <v>25</v>
      </c>
      <c r="C14" s="200" t="s">
        <v>152</v>
      </c>
      <c r="D14" s="198" t="s">
        <v>60</v>
      </c>
      <c r="E14" s="198" t="s">
        <v>60</v>
      </c>
      <c r="F14" s="198" t="s">
        <v>153</v>
      </c>
      <c r="G14" s="53" t="s">
        <v>153</v>
      </c>
      <c r="H14" s="53" t="s">
        <v>138</v>
      </c>
      <c r="I14" s="53"/>
      <c r="J14" s="4">
        <v>3600</v>
      </c>
      <c r="K14" s="4"/>
      <c r="L14" s="129">
        <f t="shared" si="10"/>
        <v>-1</v>
      </c>
      <c r="M14" s="48"/>
      <c r="N14" s="48"/>
      <c r="O14" s="129" t="e">
        <f t="shared" si="11"/>
        <v>#DIV/0!</v>
      </c>
      <c r="P14" s="48">
        <f t="shared" si="12"/>
        <v>3600</v>
      </c>
      <c r="Q14" s="48">
        <f t="shared" si="13"/>
        <v>0</v>
      </c>
      <c r="R14" s="129">
        <f t="shared" si="14"/>
        <v>-1</v>
      </c>
      <c r="S14" s="42"/>
      <c r="T14" s="42"/>
      <c r="U14" s="129" t="e">
        <f t="shared" si="0"/>
        <v>#DIV/0!</v>
      </c>
      <c r="V14" s="42">
        <f t="shared" si="15"/>
        <v>3600</v>
      </c>
      <c r="W14" s="42">
        <f t="shared" si="16"/>
        <v>0</v>
      </c>
      <c r="X14" s="129">
        <f t="shared" si="1"/>
        <v>-1</v>
      </c>
      <c r="Y14" s="61"/>
      <c r="Z14" s="61"/>
      <c r="AA14" s="129" t="e">
        <f t="shared" si="2"/>
        <v>#DIV/0!</v>
      </c>
      <c r="AB14" s="42">
        <f t="shared" si="17"/>
        <v>3600</v>
      </c>
      <c r="AC14" s="42">
        <f t="shared" si="18"/>
        <v>0</v>
      </c>
      <c r="AD14" s="129">
        <f t="shared" si="3"/>
        <v>-1</v>
      </c>
      <c r="AE14" s="42">
        <v>13074</v>
      </c>
      <c r="AF14" s="42"/>
      <c r="AG14" s="129">
        <f t="shared" si="4"/>
        <v>-1</v>
      </c>
      <c r="AH14" s="42">
        <f t="shared" si="19"/>
        <v>16674</v>
      </c>
      <c r="AI14" s="42">
        <f t="shared" si="20"/>
        <v>0</v>
      </c>
      <c r="AJ14" s="129">
        <f t="shared" si="5"/>
        <v>-1</v>
      </c>
      <c r="AK14" s="134"/>
      <c r="AL14" s="134"/>
      <c r="AM14" s="129" t="e">
        <f t="shared" si="6"/>
        <v>#DIV/0!</v>
      </c>
      <c r="AN14" s="134">
        <f t="shared" si="21"/>
        <v>16674</v>
      </c>
      <c r="AO14" s="134">
        <f t="shared" si="22"/>
        <v>0</v>
      </c>
      <c r="AP14" s="129">
        <f t="shared" si="29"/>
        <v>-1</v>
      </c>
      <c r="AQ14" s="61"/>
      <c r="AR14" s="61"/>
      <c r="AS14" s="129" t="e">
        <f t="shared" si="7"/>
        <v>#DIV/0!</v>
      </c>
      <c r="AT14" s="61">
        <f t="shared" si="23"/>
        <v>16674</v>
      </c>
      <c r="AU14" s="61">
        <f t="shared" si="24"/>
        <v>0</v>
      </c>
      <c r="AV14" s="129">
        <f t="shared" si="8"/>
        <v>-1</v>
      </c>
      <c r="AW14" s="207"/>
      <c r="AX14" s="207"/>
      <c r="AY14" s="129" t="e">
        <f t="shared" si="25"/>
        <v>#DIV/0!</v>
      </c>
      <c r="AZ14" s="207">
        <f t="shared" si="26"/>
        <v>16674</v>
      </c>
      <c r="BA14" s="207">
        <f t="shared" si="27"/>
        <v>0</v>
      </c>
      <c r="BB14" s="129">
        <f t="shared" si="9"/>
        <v>-1</v>
      </c>
      <c r="BC14" s="60"/>
      <c r="BD14" s="42"/>
      <c r="BE14" s="48"/>
      <c r="BF14" s="4"/>
      <c r="BG14" s="4">
        <v>16674</v>
      </c>
      <c r="BH14" s="104" t="e">
        <f t="shared" si="28"/>
        <v>#DIV/0!</v>
      </c>
    </row>
    <row r="15" spans="1:60">
      <c r="A15" s="42" t="s">
        <v>25</v>
      </c>
      <c r="B15" s="197" t="s">
        <v>25</v>
      </c>
      <c r="C15" s="200" t="s">
        <v>154</v>
      </c>
      <c r="D15" s="198" t="s">
        <v>60</v>
      </c>
      <c r="E15" s="198" t="s">
        <v>60</v>
      </c>
      <c r="F15" s="198" t="s">
        <v>134</v>
      </c>
      <c r="G15" s="53" t="s">
        <v>134</v>
      </c>
      <c r="H15" s="53" t="s">
        <v>135</v>
      </c>
      <c r="I15" s="53"/>
      <c r="J15" s="4"/>
      <c r="K15" s="4"/>
      <c r="L15" s="129" t="e">
        <f t="shared" si="10"/>
        <v>#DIV/0!</v>
      </c>
      <c r="M15" s="48"/>
      <c r="N15" s="48"/>
      <c r="O15" s="129" t="e">
        <f t="shared" si="11"/>
        <v>#DIV/0!</v>
      </c>
      <c r="P15" s="48">
        <f t="shared" si="12"/>
        <v>0</v>
      </c>
      <c r="Q15" s="48">
        <f t="shared" si="13"/>
        <v>0</v>
      </c>
      <c r="R15" s="129" t="e">
        <f t="shared" si="14"/>
        <v>#DIV/0!</v>
      </c>
      <c r="S15" s="42"/>
      <c r="T15" s="42"/>
      <c r="U15" s="129" t="e">
        <f t="shared" si="0"/>
        <v>#DIV/0!</v>
      </c>
      <c r="V15" s="42">
        <f t="shared" si="15"/>
        <v>0</v>
      </c>
      <c r="W15" s="42">
        <f t="shared" si="16"/>
        <v>0</v>
      </c>
      <c r="X15" s="129" t="e">
        <f t="shared" si="1"/>
        <v>#DIV/0!</v>
      </c>
      <c r="Y15" s="61"/>
      <c r="Z15" s="61"/>
      <c r="AA15" s="129" t="e">
        <f t="shared" si="2"/>
        <v>#DIV/0!</v>
      </c>
      <c r="AB15" s="42">
        <f t="shared" si="17"/>
        <v>0</v>
      </c>
      <c r="AC15" s="42">
        <f t="shared" si="18"/>
        <v>0</v>
      </c>
      <c r="AD15" s="129" t="e">
        <f t="shared" si="3"/>
        <v>#DIV/0!</v>
      </c>
      <c r="AE15" s="42"/>
      <c r="AF15" s="42"/>
      <c r="AG15" s="129" t="e">
        <f t="shared" si="4"/>
        <v>#DIV/0!</v>
      </c>
      <c r="AH15" s="42">
        <f t="shared" si="19"/>
        <v>0</v>
      </c>
      <c r="AI15" s="42">
        <f t="shared" si="20"/>
        <v>0</v>
      </c>
      <c r="AJ15" s="129" t="e">
        <f t="shared" si="5"/>
        <v>#DIV/0!</v>
      </c>
      <c r="AK15" s="134"/>
      <c r="AL15" s="134"/>
      <c r="AM15" s="129" t="e">
        <f t="shared" si="6"/>
        <v>#DIV/0!</v>
      </c>
      <c r="AN15" s="134">
        <f t="shared" si="21"/>
        <v>0</v>
      </c>
      <c r="AO15" s="134">
        <f t="shared" si="22"/>
        <v>0</v>
      </c>
      <c r="AP15" s="129" t="e">
        <f t="shared" si="29"/>
        <v>#DIV/0!</v>
      </c>
      <c r="AQ15" s="61"/>
      <c r="AR15" s="61"/>
      <c r="AS15" s="129" t="e">
        <f t="shared" si="7"/>
        <v>#DIV/0!</v>
      </c>
      <c r="AT15" s="61">
        <f t="shared" si="23"/>
        <v>0</v>
      </c>
      <c r="AU15" s="61">
        <f t="shared" si="24"/>
        <v>0</v>
      </c>
      <c r="AV15" s="129" t="e">
        <f t="shared" si="8"/>
        <v>#DIV/0!</v>
      </c>
      <c r="AW15" s="207"/>
      <c r="AX15" s="207"/>
      <c r="AY15" s="129" t="e">
        <f t="shared" si="25"/>
        <v>#DIV/0!</v>
      </c>
      <c r="AZ15" s="207">
        <f t="shared" si="26"/>
        <v>0</v>
      </c>
      <c r="BA15" s="207">
        <f t="shared" si="27"/>
        <v>0</v>
      </c>
      <c r="BB15" s="129" t="e">
        <f t="shared" si="9"/>
        <v>#DIV/0!</v>
      </c>
      <c r="BC15" s="60"/>
      <c r="BD15" s="42"/>
      <c r="BE15" s="48"/>
      <c r="BF15" s="4">
        <v>5688</v>
      </c>
      <c r="BG15" s="4">
        <v>5688</v>
      </c>
      <c r="BH15" s="104" t="e">
        <f t="shared" si="28"/>
        <v>#DIV/0!</v>
      </c>
    </row>
    <row r="16" spans="1:60">
      <c r="A16" s="42" t="s">
        <v>25</v>
      </c>
      <c r="B16" s="197" t="s">
        <v>25</v>
      </c>
      <c r="C16" s="200" t="s">
        <v>155</v>
      </c>
      <c r="D16" s="198" t="s">
        <v>101</v>
      </c>
      <c r="E16" s="198" t="s">
        <v>101</v>
      </c>
      <c r="F16" s="198" t="s">
        <v>140</v>
      </c>
      <c r="G16" s="53" t="s">
        <v>147</v>
      </c>
      <c r="H16" s="53" t="s">
        <v>138</v>
      </c>
      <c r="I16" s="53"/>
      <c r="J16" s="4">
        <v>3107</v>
      </c>
      <c r="K16" s="4"/>
      <c r="L16" s="129">
        <f t="shared" si="10"/>
        <v>-1</v>
      </c>
      <c r="M16" s="48"/>
      <c r="N16" s="48"/>
      <c r="O16" s="129" t="e">
        <f t="shared" si="11"/>
        <v>#DIV/0!</v>
      </c>
      <c r="P16" s="48">
        <f t="shared" si="12"/>
        <v>3107</v>
      </c>
      <c r="Q16" s="48">
        <f t="shared" si="13"/>
        <v>0</v>
      </c>
      <c r="R16" s="129">
        <f t="shared" si="14"/>
        <v>-1</v>
      </c>
      <c r="S16" s="42"/>
      <c r="T16" s="42"/>
      <c r="U16" s="129" t="e">
        <f t="shared" si="0"/>
        <v>#DIV/0!</v>
      </c>
      <c r="V16" s="42">
        <f t="shared" si="15"/>
        <v>3107</v>
      </c>
      <c r="W16" s="42">
        <f t="shared" si="16"/>
        <v>0</v>
      </c>
      <c r="X16" s="129">
        <f t="shared" si="1"/>
        <v>-1</v>
      </c>
      <c r="Y16" s="61">
        <v>4335</v>
      </c>
      <c r="Z16" s="61"/>
      <c r="AA16" s="129">
        <f t="shared" si="2"/>
        <v>-1</v>
      </c>
      <c r="AB16" s="42">
        <f t="shared" si="17"/>
        <v>7442</v>
      </c>
      <c r="AC16" s="42">
        <f t="shared" si="18"/>
        <v>0</v>
      </c>
      <c r="AD16" s="129">
        <f t="shared" si="3"/>
        <v>-1</v>
      </c>
      <c r="AE16" s="42"/>
      <c r="AF16" s="42"/>
      <c r="AG16" s="129" t="e">
        <f t="shared" si="4"/>
        <v>#DIV/0!</v>
      </c>
      <c r="AH16" s="42">
        <f t="shared" si="19"/>
        <v>7442</v>
      </c>
      <c r="AI16" s="42">
        <f t="shared" si="20"/>
        <v>0</v>
      </c>
      <c r="AJ16" s="129">
        <f t="shared" si="5"/>
        <v>-1</v>
      </c>
      <c r="AK16" s="134"/>
      <c r="AL16" s="134"/>
      <c r="AM16" s="129" t="e">
        <f t="shared" si="6"/>
        <v>#DIV/0!</v>
      </c>
      <c r="AN16" s="134">
        <f t="shared" si="21"/>
        <v>7442</v>
      </c>
      <c r="AO16" s="134">
        <f t="shared" si="22"/>
        <v>0</v>
      </c>
      <c r="AP16" s="129">
        <f t="shared" si="29"/>
        <v>-1</v>
      </c>
      <c r="AQ16" s="61"/>
      <c r="AR16" s="61"/>
      <c r="AS16" s="129" t="e">
        <f t="shared" si="7"/>
        <v>#DIV/0!</v>
      </c>
      <c r="AT16" s="61">
        <f t="shared" si="23"/>
        <v>7442</v>
      </c>
      <c r="AU16" s="61">
        <f t="shared" si="24"/>
        <v>0</v>
      </c>
      <c r="AV16" s="129">
        <f t="shared" si="8"/>
        <v>-1</v>
      </c>
      <c r="AW16" s="207"/>
      <c r="AX16" s="207"/>
      <c r="AY16" s="129" t="e">
        <f t="shared" si="25"/>
        <v>#DIV/0!</v>
      </c>
      <c r="AZ16" s="207">
        <f t="shared" si="26"/>
        <v>7442</v>
      </c>
      <c r="BA16" s="207">
        <f t="shared" si="27"/>
        <v>0</v>
      </c>
      <c r="BB16" s="129">
        <f t="shared" si="9"/>
        <v>-1</v>
      </c>
      <c r="BC16" s="60"/>
      <c r="BD16" s="42"/>
      <c r="BE16" s="48"/>
      <c r="BF16" s="4"/>
      <c r="BG16" s="4">
        <v>7442</v>
      </c>
      <c r="BH16" s="104" t="e">
        <f t="shared" si="28"/>
        <v>#DIV/0!</v>
      </c>
    </row>
    <row r="17" customHeight="1" spans="1:60">
      <c r="A17" s="42" t="s">
        <v>25</v>
      </c>
      <c r="B17" s="197" t="s">
        <v>25</v>
      </c>
      <c r="C17" s="200" t="s">
        <v>156</v>
      </c>
      <c r="D17" s="198" t="s">
        <v>60</v>
      </c>
      <c r="E17" s="198" t="s">
        <v>60</v>
      </c>
      <c r="F17" s="198" t="s">
        <v>134</v>
      </c>
      <c r="G17" s="53" t="s">
        <v>134</v>
      </c>
      <c r="H17" s="53" t="s">
        <v>135</v>
      </c>
      <c r="I17" s="53"/>
      <c r="J17" s="4">
        <v>4789</v>
      </c>
      <c r="K17" s="4"/>
      <c r="L17" s="129">
        <f t="shared" si="10"/>
        <v>-1</v>
      </c>
      <c r="M17" s="48"/>
      <c r="N17" s="48"/>
      <c r="O17" s="129" t="e">
        <f t="shared" si="11"/>
        <v>#DIV/0!</v>
      </c>
      <c r="P17" s="48">
        <f t="shared" si="12"/>
        <v>4789</v>
      </c>
      <c r="Q17" s="48">
        <f t="shared" si="13"/>
        <v>0</v>
      </c>
      <c r="R17" s="129">
        <f t="shared" si="14"/>
        <v>-1</v>
      </c>
      <c r="S17" s="42">
        <v>7800</v>
      </c>
      <c r="T17" s="42"/>
      <c r="U17" s="129">
        <f t="shared" si="0"/>
        <v>-1</v>
      </c>
      <c r="V17" s="42">
        <f t="shared" si="15"/>
        <v>12589</v>
      </c>
      <c r="W17" s="42">
        <f t="shared" si="16"/>
        <v>0</v>
      </c>
      <c r="X17" s="129">
        <f t="shared" si="1"/>
        <v>-1</v>
      </c>
      <c r="Y17" s="67"/>
      <c r="Z17" s="67"/>
      <c r="AA17" s="129" t="e">
        <f t="shared" si="2"/>
        <v>#DIV/0!</v>
      </c>
      <c r="AB17" s="42">
        <f t="shared" si="17"/>
        <v>12589</v>
      </c>
      <c r="AC17" s="42">
        <f t="shared" si="18"/>
        <v>0</v>
      </c>
      <c r="AD17" s="129">
        <f t="shared" si="3"/>
        <v>-1</v>
      </c>
      <c r="AE17" s="42"/>
      <c r="AF17" s="42"/>
      <c r="AG17" s="129" t="e">
        <f t="shared" si="4"/>
        <v>#DIV/0!</v>
      </c>
      <c r="AH17" s="42">
        <f t="shared" si="19"/>
        <v>12589</v>
      </c>
      <c r="AI17" s="42">
        <f t="shared" si="20"/>
        <v>0</v>
      </c>
      <c r="AJ17" s="129">
        <f t="shared" si="5"/>
        <v>-1</v>
      </c>
      <c r="AK17" s="134"/>
      <c r="AL17" s="134"/>
      <c r="AM17" s="129" t="e">
        <f t="shared" si="6"/>
        <v>#DIV/0!</v>
      </c>
      <c r="AN17" s="134">
        <f t="shared" si="21"/>
        <v>12589</v>
      </c>
      <c r="AO17" s="134">
        <f t="shared" si="22"/>
        <v>0</v>
      </c>
      <c r="AP17" s="129">
        <f t="shared" si="29"/>
        <v>-1</v>
      </c>
      <c r="AQ17" s="61"/>
      <c r="AR17" s="61"/>
      <c r="AS17" s="129" t="e">
        <f t="shared" si="7"/>
        <v>#DIV/0!</v>
      </c>
      <c r="AT17" s="61">
        <f t="shared" si="23"/>
        <v>12589</v>
      </c>
      <c r="AU17" s="61">
        <f t="shared" si="24"/>
        <v>0</v>
      </c>
      <c r="AV17" s="129">
        <f t="shared" si="8"/>
        <v>-1</v>
      </c>
      <c r="AW17" s="207"/>
      <c r="AX17" s="207"/>
      <c r="AY17" s="129" t="e">
        <f t="shared" si="25"/>
        <v>#DIV/0!</v>
      </c>
      <c r="AZ17" s="207">
        <f t="shared" si="26"/>
        <v>12589</v>
      </c>
      <c r="BA17" s="207">
        <f t="shared" si="27"/>
        <v>0</v>
      </c>
      <c r="BB17" s="129">
        <f t="shared" si="9"/>
        <v>-1</v>
      </c>
      <c r="BC17" s="60"/>
      <c r="BD17" s="42"/>
      <c r="BE17" s="48"/>
      <c r="BF17" s="4"/>
      <c r="BG17" s="4">
        <v>12589</v>
      </c>
      <c r="BH17" s="104" t="e">
        <f t="shared" si="28"/>
        <v>#DIV/0!</v>
      </c>
    </row>
    <row r="18" customHeight="1" spans="1:60">
      <c r="A18" s="42" t="s">
        <v>25</v>
      </c>
      <c r="B18" s="197" t="s">
        <v>25</v>
      </c>
      <c r="C18" s="201" t="s">
        <v>157</v>
      </c>
      <c r="D18" s="198" t="s">
        <v>60</v>
      </c>
      <c r="E18" s="198" t="s">
        <v>60</v>
      </c>
      <c r="F18" s="198" t="s">
        <v>140</v>
      </c>
      <c r="G18" s="53" t="s">
        <v>79</v>
      </c>
      <c r="H18" s="53" t="s">
        <v>141</v>
      </c>
      <c r="I18" s="53"/>
      <c r="J18" s="4">
        <v>10000</v>
      </c>
      <c r="K18" s="4"/>
      <c r="L18" s="129">
        <f t="shared" si="10"/>
        <v>-1</v>
      </c>
      <c r="M18" s="48"/>
      <c r="N18" s="48">
        <v>30820</v>
      </c>
      <c r="O18" s="129" t="e">
        <f t="shared" si="11"/>
        <v>#DIV/0!</v>
      </c>
      <c r="P18" s="48">
        <f t="shared" si="12"/>
        <v>10000</v>
      </c>
      <c r="Q18" s="48">
        <f t="shared" si="13"/>
        <v>30820</v>
      </c>
      <c r="R18" s="129">
        <f t="shared" si="14"/>
        <v>2.082</v>
      </c>
      <c r="S18" s="42"/>
      <c r="T18" s="42">
        <v>9744</v>
      </c>
      <c r="U18" s="129" t="e">
        <f t="shared" si="0"/>
        <v>#DIV/0!</v>
      </c>
      <c r="V18" s="42">
        <f t="shared" si="15"/>
        <v>10000</v>
      </c>
      <c r="W18" s="42">
        <f t="shared" si="16"/>
        <v>40564</v>
      </c>
      <c r="X18" s="129">
        <f t="shared" si="1"/>
        <v>3.0564</v>
      </c>
      <c r="Y18" s="67"/>
      <c r="Z18" s="67"/>
      <c r="AA18" s="129" t="e">
        <f t="shared" si="2"/>
        <v>#DIV/0!</v>
      </c>
      <c r="AB18" s="42">
        <f t="shared" si="17"/>
        <v>10000</v>
      </c>
      <c r="AC18" s="42">
        <f t="shared" si="18"/>
        <v>40564</v>
      </c>
      <c r="AD18" s="129">
        <f t="shared" si="3"/>
        <v>3.0564</v>
      </c>
      <c r="AE18" s="42"/>
      <c r="AF18" s="42">
        <v>32390</v>
      </c>
      <c r="AG18" s="129" t="e">
        <f t="shared" si="4"/>
        <v>#DIV/0!</v>
      </c>
      <c r="AH18" s="42">
        <f t="shared" si="19"/>
        <v>10000</v>
      </c>
      <c r="AI18" s="42">
        <f t="shared" si="20"/>
        <v>72954</v>
      </c>
      <c r="AJ18" s="129">
        <f t="shared" si="5"/>
        <v>6.2954</v>
      </c>
      <c r="AK18" s="134"/>
      <c r="AL18" s="134">
        <v>21149</v>
      </c>
      <c r="AM18" s="129" t="e">
        <f t="shared" si="6"/>
        <v>#DIV/0!</v>
      </c>
      <c r="AN18" s="134">
        <f t="shared" si="21"/>
        <v>10000</v>
      </c>
      <c r="AO18" s="134">
        <f t="shared" si="22"/>
        <v>94103</v>
      </c>
      <c r="AP18" s="129">
        <f t="shared" si="29"/>
        <v>8.4103</v>
      </c>
      <c r="AQ18" s="61">
        <v>24563</v>
      </c>
      <c r="AR18" s="61">
        <v>24595</v>
      </c>
      <c r="AS18" s="129">
        <f t="shared" si="7"/>
        <v>0.00130277246264709</v>
      </c>
      <c r="AT18" s="61">
        <f t="shared" si="23"/>
        <v>34563</v>
      </c>
      <c r="AU18" s="61">
        <f t="shared" si="24"/>
        <v>118698</v>
      </c>
      <c r="AV18" s="129">
        <f t="shared" si="8"/>
        <v>2.43425049908862</v>
      </c>
      <c r="AW18" s="207"/>
      <c r="AX18" s="207">
        <v>10998</v>
      </c>
      <c r="AY18" s="129" t="e">
        <f t="shared" si="25"/>
        <v>#DIV/0!</v>
      </c>
      <c r="AZ18" s="207">
        <f t="shared" si="26"/>
        <v>34563</v>
      </c>
      <c r="BA18" s="207">
        <f t="shared" si="27"/>
        <v>129696</v>
      </c>
      <c r="BB18" s="129">
        <f t="shared" si="9"/>
        <v>2.75245204409339</v>
      </c>
      <c r="BC18" s="60"/>
      <c r="BD18" s="42"/>
      <c r="BE18" s="48"/>
      <c r="BF18" s="4">
        <v>25066</v>
      </c>
      <c r="BG18" s="4">
        <v>59629</v>
      </c>
      <c r="BH18" s="104" t="e">
        <f t="shared" si="28"/>
        <v>#DIV/0!</v>
      </c>
    </row>
    <row r="19" customHeight="1" spans="1:60">
      <c r="A19" s="42" t="s">
        <v>25</v>
      </c>
      <c r="B19" s="197" t="s">
        <v>25</v>
      </c>
      <c r="C19" s="200" t="s">
        <v>158</v>
      </c>
      <c r="D19" s="198" t="s">
        <v>60</v>
      </c>
      <c r="E19" s="198" t="s">
        <v>60</v>
      </c>
      <c r="F19" s="198" t="s">
        <v>140</v>
      </c>
      <c r="G19" s="53" t="s">
        <v>79</v>
      </c>
      <c r="H19" s="53" t="s">
        <v>138</v>
      </c>
      <c r="I19" s="53"/>
      <c r="J19" s="4"/>
      <c r="K19" s="4"/>
      <c r="L19" s="129" t="e">
        <f t="shared" si="10"/>
        <v>#DIV/0!</v>
      </c>
      <c r="M19" s="48"/>
      <c r="N19" s="48"/>
      <c r="O19" s="129" t="e">
        <f t="shared" si="11"/>
        <v>#DIV/0!</v>
      </c>
      <c r="P19" s="48">
        <f t="shared" si="12"/>
        <v>0</v>
      </c>
      <c r="Q19" s="48">
        <f t="shared" si="13"/>
        <v>0</v>
      </c>
      <c r="R19" s="129" t="e">
        <f t="shared" si="14"/>
        <v>#DIV/0!</v>
      </c>
      <c r="S19" s="42">
        <v>2962</v>
      </c>
      <c r="T19" s="42"/>
      <c r="U19" s="129">
        <f t="shared" si="0"/>
        <v>-1</v>
      </c>
      <c r="V19" s="42">
        <f t="shared" si="15"/>
        <v>2962</v>
      </c>
      <c r="W19" s="42">
        <f t="shared" si="16"/>
        <v>0</v>
      </c>
      <c r="X19" s="129">
        <f t="shared" si="1"/>
        <v>-1</v>
      </c>
      <c r="Y19" s="67"/>
      <c r="Z19" s="67"/>
      <c r="AA19" s="129" t="e">
        <f t="shared" si="2"/>
        <v>#DIV/0!</v>
      </c>
      <c r="AB19" s="42">
        <f t="shared" si="17"/>
        <v>2962</v>
      </c>
      <c r="AC19" s="42">
        <f t="shared" si="18"/>
        <v>0</v>
      </c>
      <c r="AD19" s="129">
        <f t="shared" si="3"/>
        <v>-1</v>
      </c>
      <c r="AE19" s="42"/>
      <c r="AF19" s="42"/>
      <c r="AG19" s="129" t="e">
        <f t="shared" si="4"/>
        <v>#DIV/0!</v>
      </c>
      <c r="AH19" s="42">
        <f t="shared" si="19"/>
        <v>2962</v>
      </c>
      <c r="AI19" s="42">
        <f t="shared" si="20"/>
        <v>0</v>
      </c>
      <c r="AJ19" s="129">
        <f t="shared" si="5"/>
        <v>-1</v>
      </c>
      <c r="AK19" s="134"/>
      <c r="AL19" s="134"/>
      <c r="AM19" s="129" t="e">
        <f t="shared" si="6"/>
        <v>#DIV/0!</v>
      </c>
      <c r="AN19" s="134">
        <f t="shared" si="21"/>
        <v>2962</v>
      </c>
      <c r="AO19" s="134">
        <f t="shared" si="22"/>
        <v>0</v>
      </c>
      <c r="AP19" s="129">
        <f t="shared" si="29"/>
        <v>-1</v>
      </c>
      <c r="AQ19" s="61"/>
      <c r="AR19" s="61"/>
      <c r="AS19" s="129" t="e">
        <f t="shared" si="7"/>
        <v>#DIV/0!</v>
      </c>
      <c r="AT19" s="61">
        <f t="shared" si="23"/>
        <v>2962</v>
      </c>
      <c r="AU19" s="61">
        <f t="shared" si="24"/>
        <v>0</v>
      </c>
      <c r="AV19" s="129">
        <f t="shared" si="8"/>
        <v>-1</v>
      </c>
      <c r="AW19" s="207"/>
      <c r="AX19" s="207"/>
      <c r="AY19" s="129" t="e">
        <f t="shared" si="25"/>
        <v>#DIV/0!</v>
      </c>
      <c r="AZ19" s="207">
        <f t="shared" si="26"/>
        <v>2962</v>
      </c>
      <c r="BA19" s="207">
        <f t="shared" si="27"/>
        <v>0</v>
      </c>
      <c r="BB19" s="129">
        <f t="shared" si="9"/>
        <v>-1</v>
      </c>
      <c r="BC19" s="60"/>
      <c r="BD19" s="42"/>
      <c r="BE19" s="48"/>
      <c r="BF19" s="4"/>
      <c r="BG19" s="4">
        <v>2962</v>
      </c>
      <c r="BH19" s="104" t="e">
        <f t="shared" si="28"/>
        <v>#DIV/0!</v>
      </c>
    </row>
    <row r="20" customHeight="1" spans="1:60">
      <c r="A20" s="42" t="s">
        <v>25</v>
      </c>
      <c r="B20" s="197" t="s">
        <v>25</v>
      </c>
      <c r="C20" s="200" t="s">
        <v>118</v>
      </c>
      <c r="D20" s="198" t="s">
        <v>60</v>
      </c>
      <c r="E20" s="198" t="s">
        <v>60</v>
      </c>
      <c r="F20" s="198" t="s">
        <v>140</v>
      </c>
      <c r="G20" s="53" t="s">
        <v>79</v>
      </c>
      <c r="H20" s="53" t="s">
        <v>138</v>
      </c>
      <c r="I20" s="53"/>
      <c r="J20" s="4"/>
      <c r="K20" s="4"/>
      <c r="L20" s="129" t="e">
        <f t="shared" si="10"/>
        <v>#DIV/0!</v>
      </c>
      <c r="M20" s="48"/>
      <c r="N20" s="48">
        <v>1736.04</v>
      </c>
      <c r="O20" s="129" t="e">
        <f t="shared" si="11"/>
        <v>#DIV/0!</v>
      </c>
      <c r="P20" s="48">
        <f t="shared" si="12"/>
        <v>0</v>
      </c>
      <c r="Q20" s="48">
        <f t="shared" si="13"/>
        <v>1736.04</v>
      </c>
      <c r="R20" s="129" t="e">
        <f t="shared" si="14"/>
        <v>#DIV/0!</v>
      </c>
      <c r="S20" s="42"/>
      <c r="T20" s="42"/>
      <c r="U20" s="129" t="e">
        <f t="shared" si="0"/>
        <v>#DIV/0!</v>
      </c>
      <c r="V20" s="42">
        <f t="shared" si="15"/>
        <v>0</v>
      </c>
      <c r="W20" s="42">
        <f t="shared" si="16"/>
        <v>1736.04</v>
      </c>
      <c r="X20" s="129" t="e">
        <f t="shared" si="1"/>
        <v>#DIV/0!</v>
      </c>
      <c r="Y20" s="67"/>
      <c r="Z20" s="67">
        <v>3472.08</v>
      </c>
      <c r="AA20" s="129" t="e">
        <f t="shared" si="2"/>
        <v>#DIV/0!</v>
      </c>
      <c r="AB20" s="42">
        <f t="shared" si="17"/>
        <v>0</v>
      </c>
      <c r="AC20" s="42">
        <f t="shared" si="18"/>
        <v>5208.12</v>
      </c>
      <c r="AD20" s="129" t="e">
        <f t="shared" si="3"/>
        <v>#DIV/0!</v>
      </c>
      <c r="AE20" s="42"/>
      <c r="AF20" s="42"/>
      <c r="AG20" s="129" t="e">
        <f t="shared" si="4"/>
        <v>#DIV/0!</v>
      </c>
      <c r="AH20" s="42">
        <f t="shared" si="19"/>
        <v>0</v>
      </c>
      <c r="AI20" s="42">
        <f t="shared" si="20"/>
        <v>5208.12</v>
      </c>
      <c r="AJ20" s="129" t="e">
        <f t="shared" si="5"/>
        <v>#DIV/0!</v>
      </c>
      <c r="AK20" s="134"/>
      <c r="AL20" s="134"/>
      <c r="AM20" s="129" t="e">
        <f t="shared" si="6"/>
        <v>#DIV/0!</v>
      </c>
      <c r="AN20" s="134">
        <f t="shared" si="21"/>
        <v>0</v>
      </c>
      <c r="AO20" s="134">
        <f t="shared" si="22"/>
        <v>5208.12</v>
      </c>
      <c r="AP20" s="129" t="e">
        <f t="shared" si="29"/>
        <v>#DIV/0!</v>
      </c>
      <c r="AQ20" s="61"/>
      <c r="AR20" s="61"/>
      <c r="AS20" s="129" t="e">
        <f t="shared" si="7"/>
        <v>#DIV/0!</v>
      </c>
      <c r="AT20" s="61">
        <f t="shared" si="23"/>
        <v>0</v>
      </c>
      <c r="AU20" s="61">
        <f t="shared" si="24"/>
        <v>5208.12</v>
      </c>
      <c r="AV20" s="129" t="e">
        <f t="shared" si="8"/>
        <v>#DIV/0!</v>
      </c>
      <c r="AW20" s="207">
        <v>11930.56</v>
      </c>
      <c r="AX20" s="207"/>
      <c r="AY20" s="129">
        <f t="shared" si="25"/>
        <v>-1</v>
      </c>
      <c r="AZ20" s="207">
        <f t="shared" si="26"/>
        <v>11930.56</v>
      </c>
      <c r="BA20" s="207">
        <f t="shared" si="27"/>
        <v>5208.12</v>
      </c>
      <c r="BB20" s="129">
        <f t="shared" si="9"/>
        <v>-0.563463911165947</v>
      </c>
      <c r="BC20" s="60"/>
      <c r="BD20" s="42">
        <v>2982.64</v>
      </c>
      <c r="BE20" s="48"/>
      <c r="BF20" s="4">
        <v>10047.32</v>
      </c>
      <c r="BG20" s="4">
        <v>24960.52</v>
      </c>
      <c r="BH20" s="104" t="e">
        <f t="shared" si="28"/>
        <v>#DIV/0!</v>
      </c>
    </row>
    <row r="21" customHeight="1" spans="1:60">
      <c r="A21" s="42" t="s">
        <v>25</v>
      </c>
      <c r="B21" s="197" t="s">
        <v>25</v>
      </c>
      <c r="C21" s="200" t="s">
        <v>159</v>
      </c>
      <c r="D21" s="198" t="s">
        <v>60</v>
      </c>
      <c r="E21" s="198" t="s">
        <v>60</v>
      </c>
      <c r="F21" s="273" t="s">
        <v>137</v>
      </c>
      <c r="G21" s="53" t="s">
        <v>79</v>
      </c>
      <c r="H21" s="53" t="s">
        <v>138</v>
      </c>
      <c r="I21" s="53">
        <v>60</v>
      </c>
      <c r="J21" s="4"/>
      <c r="K21" s="4"/>
      <c r="L21" s="129"/>
      <c r="M21" s="48"/>
      <c r="N21" s="48"/>
      <c r="O21" s="129"/>
      <c r="P21" s="48"/>
      <c r="Q21" s="48"/>
      <c r="R21" s="129"/>
      <c r="S21" s="42"/>
      <c r="T21" s="42"/>
      <c r="U21" s="129"/>
      <c r="V21" s="42"/>
      <c r="W21" s="42"/>
      <c r="X21" s="129"/>
      <c r="Y21" s="67"/>
      <c r="Z21" s="67"/>
      <c r="AA21" s="129"/>
      <c r="AB21" s="42"/>
      <c r="AC21" s="42"/>
      <c r="AD21" s="129"/>
      <c r="AE21" s="42"/>
      <c r="AF21" s="42">
        <v>116732</v>
      </c>
      <c r="AG21" s="129" t="e">
        <f t="shared" si="4"/>
        <v>#DIV/0!</v>
      </c>
      <c r="AH21" s="42">
        <f t="shared" si="19"/>
        <v>0</v>
      </c>
      <c r="AI21" s="42">
        <f t="shared" si="20"/>
        <v>116732</v>
      </c>
      <c r="AJ21" s="129" t="e">
        <f t="shared" si="5"/>
        <v>#DIV/0!</v>
      </c>
      <c r="AK21" s="134"/>
      <c r="AL21" s="134">
        <v>3088</v>
      </c>
      <c r="AM21" s="129" t="e">
        <f t="shared" si="6"/>
        <v>#DIV/0!</v>
      </c>
      <c r="AN21" s="134">
        <f t="shared" si="21"/>
        <v>0</v>
      </c>
      <c r="AO21" s="134">
        <f t="shared" si="22"/>
        <v>119820</v>
      </c>
      <c r="AP21" s="129" t="e">
        <f t="shared" si="29"/>
        <v>#DIV/0!</v>
      </c>
      <c r="AQ21" s="61"/>
      <c r="AR21" s="61">
        <v>10000</v>
      </c>
      <c r="AS21" s="129" t="e">
        <f t="shared" si="7"/>
        <v>#DIV/0!</v>
      </c>
      <c r="AT21" s="61">
        <f t="shared" si="23"/>
        <v>0</v>
      </c>
      <c r="AU21" s="61">
        <f t="shared" si="24"/>
        <v>129820</v>
      </c>
      <c r="AV21" s="129" t="e">
        <f t="shared" si="8"/>
        <v>#DIV/0!</v>
      </c>
      <c r="AW21" s="207"/>
      <c r="AX21" s="207"/>
      <c r="AY21" s="129" t="e">
        <f t="shared" si="25"/>
        <v>#DIV/0!</v>
      </c>
      <c r="AZ21" s="207">
        <f t="shared" si="26"/>
        <v>0</v>
      </c>
      <c r="BA21" s="207">
        <f t="shared" si="27"/>
        <v>129820</v>
      </c>
      <c r="BB21" s="129" t="e">
        <f t="shared" si="9"/>
        <v>#DIV/0!</v>
      </c>
      <c r="BC21" s="60"/>
      <c r="BD21" s="42"/>
      <c r="BE21" s="48"/>
      <c r="BF21" s="4"/>
      <c r="BG21" s="4"/>
      <c r="BH21" s="104">
        <f t="shared" si="28"/>
        <v>0.216366666666667</v>
      </c>
    </row>
    <row r="22" customHeight="1" spans="1:60">
      <c r="A22" s="42" t="s">
        <v>25</v>
      </c>
      <c r="B22" s="197" t="s">
        <v>25</v>
      </c>
      <c r="C22" s="200" t="s">
        <v>114</v>
      </c>
      <c r="D22" s="198" t="s">
        <v>113</v>
      </c>
      <c r="E22" s="198" t="s">
        <v>113</v>
      </c>
      <c r="F22" s="198" t="s">
        <v>140</v>
      </c>
      <c r="G22" s="53"/>
      <c r="H22" s="53" t="s">
        <v>138</v>
      </c>
      <c r="I22" s="53"/>
      <c r="J22" s="4"/>
      <c r="K22" s="4"/>
      <c r="L22" s="129"/>
      <c r="M22" s="48"/>
      <c r="N22" s="48"/>
      <c r="O22" s="129"/>
      <c r="P22" s="48"/>
      <c r="Q22" s="48"/>
      <c r="R22" s="129"/>
      <c r="S22" s="42"/>
      <c r="T22" s="42"/>
      <c r="U22" s="129"/>
      <c r="V22" s="42"/>
      <c r="W22" s="42"/>
      <c r="X22" s="129"/>
      <c r="Y22" s="67"/>
      <c r="Z22" s="67"/>
      <c r="AA22" s="129"/>
      <c r="AB22" s="42"/>
      <c r="AC22" s="42"/>
      <c r="AD22" s="129"/>
      <c r="AE22" s="42"/>
      <c r="AF22" s="42"/>
      <c r="AG22" s="129"/>
      <c r="AH22" s="42"/>
      <c r="AI22" s="42"/>
      <c r="AJ22" s="129"/>
      <c r="AK22" s="134"/>
      <c r="AL22" s="134">
        <v>3344</v>
      </c>
      <c r="AM22" s="129" t="e">
        <f t="shared" si="6"/>
        <v>#DIV/0!</v>
      </c>
      <c r="AN22" s="134">
        <f t="shared" si="21"/>
        <v>0</v>
      </c>
      <c r="AO22" s="134">
        <f t="shared" si="22"/>
        <v>3344</v>
      </c>
      <c r="AP22" s="129" t="e">
        <f t="shared" si="29"/>
        <v>#DIV/0!</v>
      </c>
      <c r="AQ22" s="61"/>
      <c r="AR22" s="61"/>
      <c r="AS22" s="129" t="e">
        <f t="shared" si="7"/>
        <v>#DIV/0!</v>
      </c>
      <c r="AT22" s="61">
        <f t="shared" si="23"/>
        <v>0</v>
      </c>
      <c r="AU22" s="61">
        <f t="shared" si="24"/>
        <v>3344</v>
      </c>
      <c r="AV22" s="129" t="e">
        <f t="shared" si="8"/>
        <v>#DIV/0!</v>
      </c>
      <c r="AW22" s="207"/>
      <c r="AX22" s="207"/>
      <c r="AY22" s="129" t="e">
        <f t="shared" si="25"/>
        <v>#DIV/0!</v>
      </c>
      <c r="AZ22" s="207">
        <f t="shared" si="26"/>
        <v>0</v>
      </c>
      <c r="BA22" s="207">
        <f t="shared" si="27"/>
        <v>3344</v>
      </c>
      <c r="BB22" s="129" t="e">
        <f t="shared" si="9"/>
        <v>#DIV/0!</v>
      </c>
      <c r="BC22" s="60"/>
      <c r="BD22" s="42"/>
      <c r="BE22" s="48"/>
      <c r="BF22" s="4"/>
      <c r="BG22" s="4"/>
      <c r="BH22" s="104" t="e">
        <f t="shared" si="28"/>
        <v>#DIV/0!</v>
      </c>
    </row>
    <row r="23" spans="1:60">
      <c r="A23" s="42"/>
      <c r="B23" s="197">
        <v>19</v>
      </c>
      <c r="C23" s="202" t="s">
        <v>34</v>
      </c>
      <c r="D23" s="53"/>
      <c r="E23" s="53"/>
      <c r="F23" s="53"/>
      <c r="G23" s="53"/>
      <c r="H23" s="53"/>
      <c r="I23" s="42">
        <f>SUBTOTAL(9,I3:I22)</f>
        <v>865</v>
      </c>
      <c r="J23" s="42">
        <f>SUBTOTAL(9,J3:J22)</f>
        <v>578458.28</v>
      </c>
      <c r="K23" s="42">
        <f>SUBTOTAL(9,K3:K22)</f>
        <v>474052</v>
      </c>
      <c r="L23" s="129">
        <f>K23/J23-1</f>
        <v>-0.180490596486924</v>
      </c>
      <c r="M23" s="42">
        <f>SUBTOTAL(9,M3:M22)</f>
        <v>382921</v>
      </c>
      <c r="N23" s="42">
        <f>SUBTOTAL(9,N3:N22)</f>
        <v>390891.04</v>
      </c>
      <c r="O23" s="129">
        <f>N23/M23-1</f>
        <v>0.0208137971017519</v>
      </c>
      <c r="P23" s="42">
        <f>SUBTOTAL(9,P3:P22)</f>
        <v>961379.28</v>
      </c>
      <c r="Q23" s="42">
        <f>SUBTOTAL(9,Q3:Q22)</f>
        <v>864943.04</v>
      </c>
      <c r="R23" s="129">
        <f>Q23/P23-1</f>
        <v>-0.100310295849105</v>
      </c>
      <c r="S23" s="42">
        <f>SUBTOTAL(9,S3:S22)</f>
        <v>427042.28</v>
      </c>
      <c r="T23" s="42">
        <f>SUBTOTAL(9,T3:T22)</f>
        <v>414836.06</v>
      </c>
      <c r="U23" s="129">
        <f>T23/S23-1</f>
        <v>-0.0285831651142365</v>
      </c>
      <c r="V23" s="42">
        <f>SUBTOTAL(9,V3:V22)</f>
        <v>1388421.56</v>
      </c>
      <c r="W23" s="42">
        <f>SUBTOTAL(9,W3:W22)</f>
        <v>1279779.1</v>
      </c>
      <c r="X23" s="129">
        <f>W23/V23-1</f>
        <v>-0.0782489001395225</v>
      </c>
      <c r="Y23" s="42">
        <f>SUBTOTAL(9,Y3:Y22)</f>
        <v>399949</v>
      </c>
      <c r="Z23" s="42">
        <f>SUBTOTAL(9,Z3:Z22)</f>
        <v>411808.08</v>
      </c>
      <c r="AA23" s="129">
        <f>Z23/Y23-1</f>
        <v>0.029651480563772</v>
      </c>
      <c r="AB23" s="42">
        <f>SUBTOTAL(9,AB3:AB22)</f>
        <v>1788370.56</v>
      </c>
      <c r="AC23" s="42">
        <f>SUBTOTAL(9,AC3:AC22)</f>
        <v>1691587.18</v>
      </c>
      <c r="AD23" s="129">
        <f>AC23/AB23-1</f>
        <v>-0.0541181912545015</v>
      </c>
      <c r="AE23" s="42">
        <f>SUBTOTAL(9,AE3:AE22)</f>
        <v>597544</v>
      </c>
      <c r="AF23" s="42">
        <f>SUBTOTAL(9,AF3:AF22)</f>
        <v>404990</v>
      </c>
      <c r="AG23" s="129">
        <f>AF23/AE23-1</f>
        <v>-0.322242378803904</v>
      </c>
      <c r="AH23" s="42">
        <f>SUBTOTAL(9,AH3:AH22)</f>
        <v>2385914.56</v>
      </c>
      <c r="AI23" s="42">
        <f>SUBTOTAL(9,AI3:AI22)</f>
        <v>2096577.18</v>
      </c>
      <c r="AJ23" s="129">
        <f>AI23/AH23-1</f>
        <v>-0.121268961114852</v>
      </c>
      <c r="AK23" s="42">
        <f>SUBTOTAL(9,AK3:AK22)</f>
        <v>442447</v>
      </c>
      <c r="AL23" s="42">
        <f t="shared" ref="AL23:AR23" si="30">SUBTOTAL(9,AL3:AL22)</f>
        <v>273945</v>
      </c>
      <c r="AM23" s="129">
        <f t="shared" si="6"/>
        <v>-0.380841095091615</v>
      </c>
      <c r="AN23" s="42">
        <f t="shared" si="30"/>
        <v>2828361.56</v>
      </c>
      <c r="AO23" s="42">
        <f t="shared" si="30"/>
        <v>2370522.18</v>
      </c>
      <c r="AP23" s="129">
        <f t="shared" si="29"/>
        <v>-0.161874417498447</v>
      </c>
      <c r="AQ23" s="42">
        <f t="shared" si="30"/>
        <v>267076.26</v>
      </c>
      <c r="AR23" s="42">
        <f t="shared" si="30"/>
        <v>314396</v>
      </c>
      <c r="AS23" s="129">
        <f t="shared" si="7"/>
        <v>0.177176885732936</v>
      </c>
      <c r="AT23" s="42">
        <f t="shared" ref="AT23:AX23" si="31">SUBTOTAL(9,AT3:AT22)</f>
        <v>3095437.82</v>
      </c>
      <c r="AU23" s="42">
        <f t="shared" si="31"/>
        <v>2684918.18</v>
      </c>
      <c r="AV23" s="129">
        <f t="shared" si="8"/>
        <v>-0.132620864598727</v>
      </c>
      <c r="AW23" s="209">
        <v>297074.56</v>
      </c>
      <c r="AX23" s="42">
        <f t="shared" si="31"/>
        <v>301382.6</v>
      </c>
      <c r="AY23" s="129">
        <f t="shared" si="25"/>
        <v>0.014501544662727</v>
      </c>
      <c r="AZ23" s="42">
        <f>SUBTOTAL(9,AZ3:AZ22)</f>
        <v>3392512.38</v>
      </c>
      <c r="BA23" s="42">
        <f>SUBTOTAL(9,BA3:BA22)</f>
        <v>2986300.78</v>
      </c>
      <c r="BB23" s="129">
        <f t="shared" si="9"/>
        <v>-0.119737691274099</v>
      </c>
      <c r="BC23" s="210">
        <v>493686.14</v>
      </c>
      <c r="BD23" s="210">
        <v>594994.64</v>
      </c>
      <c r="BE23" s="210">
        <v>779689</v>
      </c>
      <c r="BF23" s="211">
        <v>1367682.32</v>
      </c>
      <c r="BG23" s="211">
        <v>6628564.48</v>
      </c>
      <c r="BH23" s="104">
        <f t="shared" si="28"/>
        <v>0.345237084393064</v>
      </c>
    </row>
    <row r="28" spans="3:3">
      <c r="C28" s="73"/>
    </row>
  </sheetData>
  <mergeCells count="40">
    <mergeCell ref="J1:K1"/>
    <mergeCell ref="M1:N1"/>
    <mergeCell ref="P1:Q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T1:AU1"/>
    <mergeCell ref="AW1:AX1"/>
    <mergeCell ref="AZ1:BA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L1:L2"/>
    <mergeCell ref="O1:O2"/>
    <mergeCell ref="R1:R2"/>
    <mergeCell ref="U1:U2"/>
    <mergeCell ref="X1:X2"/>
    <mergeCell ref="AA1:AA2"/>
    <mergeCell ref="AD1:AD2"/>
    <mergeCell ref="AG1:AG2"/>
    <mergeCell ref="AJ1:AJ2"/>
    <mergeCell ref="AM1:AM2"/>
    <mergeCell ref="AP1:AP2"/>
    <mergeCell ref="AS1:AS2"/>
    <mergeCell ref="AV1:AV2"/>
    <mergeCell ref="AY1:AY2"/>
    <mergeCell ref="BB1:BB2"/>
    <mergeCell ref="BH1:BH2"/>
  </mergeCell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C000"/>
  </sheetPr>
  <dimension ref="A1:BK77"/>
  <sheetViews>
    <sheetView topLeftCell="B1" workbookViewId="0">
      <pane xSplit="9" ySplit="2" topLeftCell="AV48" activePane="bottomRight" state="frozen"/>
      <selection/>
      <selection pane="topRight"/>
      <selection pane="bottomLeft"/>
      <selection pane="bottomRight" activeCell="BA77" sqref="BA77:BB77"/>
    </sheetView>
  </sheetViews>
  <sheetFormatPr defaultColWidth="9" defaultRowHeight="13"/>
  <cols>
    <col min="1" max="1" width="4.62727272727273" style="140" customWidth="1"/>
    <col min="2" max="3" width="6.25454545454545" style="140" customWidth="1"/>
    <col min="4" max="4" width="28.2545454545455" style="109" customWidth="1"/>
    <col min="5" max="5" width="6.25454545454545" style="111" customWidth="1"/>
    <col min="6" max="6" width="5.50909090909091" style="111" customWidth="1"/>
    <col min="7" max="7" width="7.50909090909091" style="140" customWidth="1"/>
    <col min="8" max="8" width="7.12727272727273" style="140" hidden="1" customWidth="1"/>
    <col min="9" max="9" width="7.12727272727273" style="111" customWidth="1"/>
    <col min="10" max="10" width="7.12727272727273" style="140" customWidth="1"/>
    <col min="11" max="19" width="9.37272727272727" style="111" customWidth="1"/>
    <col min="20" max="20" width="11.2545454545455" style="111" customWidth="1"/>
    <col min="21" max="21" width="12.6272727272727" style="111" customWidth="1"/>
    <col min="22" max="22" width="8.87272727272727" style="111" customWidth="1"/>
    <col min="23" max="23" width="10.1272727272727" style="111" customWidth="1"/>
    <col min="24" max="24" width="10.5090909090909" style="111" customWidth="1"/>
    <col min="25" max="25" width="8.87272727272727" style="111" customWidth="1"/>
    <col min="26" max="26" width="8.12727272727273" style="111" customWidth="1"/>
    <col min="27" max="27" width="9.25454545454545" style="111" customWidth="1"/>
    <col min="28" max="28" width="10.3727272727273" style="111" customWidth="1"/>
    <col min="29" max="29" width="7.75454545454545" style="111" customWidth="1"/>
    <col min="30" max="30" width="12.7545454545455" style="111" customWidth="1"/>
    <col min="31" max="31" width="7" style="111" customWidth="1"/>
    <col min="32" max="37" width="10.2545454545455" style="111" customWidth="1"/>
    <col min="38" max="55" width="10.5090909090909" style="111" customWidth="1"/>
    <col min="56" max="56" width="10.5090909090909" style="111" hidden="1" customWidth="1"/>
    <col min="57" max="57" width="10.5090909090909" style="181" hidden="1" customWidth="1"/>
    <col min="58" max="60" width="10.5090909090909" style="111" hidden="1" customWidth="1"/>
    <col min="61" max="61" width="9.87272727272727" style="111" customWidth="1"/>
    <col min="62" max="62" width="9" style="111" customWidth="1"/>
    <col min="63" max="63" width="9" style="111"/>
    <col min="64" max="16384" width="9" style="140"/>
  </cols>
  <sheetData>
    <row r="1" spans="1:63">
      <c r="A1" s="182" t="s">
        <v>44</v>
      </c>
      <c r="B1" s="183"/>
      <c r="C1" s="183"/>
      <c r="D1" s="184" t="s">
        <v>131</v>
      </c>
      <c r="E1" s="118" t="s">
        <v>46</v>
      </c>
      <c r="F1" s="118" t="s">
        <v>47</v>
      </c>
      <c r="G1" s="126" t="s">
        <v>160</v>
      </c>
      <c r="H1" s="126" t="s">
        <v>49</v>
      </c>
      <c r="I1" s="126" t="s">
        <v>50</v>
      </c>
      <c r="J1" s="53" t="s">
        <v>36</v>
      </c>
      <c r="K1" s="116" t="s">
        <v>3</v>
      </c>
      <c r="L1" s="116"/>
      <c r="M1" s="116" t="s">
        <v>4</v>
      </c>
      <c r="N1" s="55" t="s">
        <v>5</v>
      </c>
      <c r="O1" s="55"/>
      <c r="P1" s="56" t="s">
        <v>4</v>
      </c>
      <c r="Q1" s="55" t="s">
        <v>37</v>
      </c>
      <c r="R1" s="55"/>
      <c r="S1" s="56" t="s">
        <v>4</v>
      </c>
      <c r="T1" s="55" t="s">
        <v>6</v>
      </c>
      <c r="U1" s="55"/>
      <c r="V1" s="56" t="s">
        <v>4</v>
      </c>
      <c r="W1" s="55" t="s">
        <v>7</v>
      </c>
      <c r="X1" s="55"/>
      <c r="Y1" s="56" t="s">
        <v>4</v>
      </c>
      <c r="Z1" s="55" t="s">
        <v>8</v>
      </c>
      <c r="AA1" s="55"/>
      <c r="AB1" s="56" t="s">
        <v>4</v>
      </c>
      <c r="AC1" s="55" t="s">
        <v>9</v>
      </c>
      <c r="AD1" s="55"/>
      <c r="AE1" s="56" t="s">
        <v>4</v>
      </c>
      <c r="AF1" s="55" t="s">
        <v>10</v>
      </c>
      <c r="AG1" s="55"/>
      <c r="AH1" s="56" t="s">
        <v>4</v>
      </c>
      <c r="AI1" s="55" t="s">
        <v>11</v>
      </c>
      <c r="AJ1" s="55"/>
      <c r="AK1" s="56" t="s">
        <v>4</v>
      </c>
      <c r="AL1" s="55" t="s">
        <v>12</v>
      </c>
      <c r="AM1" s="55"/>
      <c r="AN1" s="56" t="s">
        <v>4</v>
      </c>
      <c r="AO1" s="55" t="s">
        <v>13</v>
      </c>
      <c r="AP1" s="55"/>
      <c r="AQ1" s="56" t="s">
        <v>4</v>
      </c>
      <c r="AR1" s="55" t="s">
        <v>14</v>
      </c>
      <c r="AS1" s="55"/>
      <c r="AT1" s="56" t="s">
        <v>4</v>
      </c>
      <c r="AU1" s="55" t="s">
        <v>15</v>
      </c>
      <c r="AV1" s="55"/>
      <c r="AW1" s="99" t="s">
        <v>4</v>
      </c>
      <c r="AX1" s="55" t="s">
        <v>16</v>
      </c>
      <c r="AY1" s="55"/>
      <c r="AZ1" s="56" t="s">
        <v>4</v>
      </c>
      <c r="BA1" s="55" t="s">
        <v>17</v>
      </c>
      <c r="BB1" s="55"/>
      <c r="BC1" s="99" t="s">
        <v>4</v>
      </c>
      <c r="BD1" s="116" t="s">
        <v>38</v>
      </c>
      <c r="BE1" s="116" t="s">
        <v>39</v>
      </c>
      <c r="BF1" s="116" t="s">
        <v>40</v>
      </c>
      <c r="BG1" s="116" t="s">
        <v>41</v>
      </c>
      <c r="BH1" s="116" t="s">
        <v>132</v>
      </c>
      <c r="BI1" s="100" t="s">
        <v>161</v>
      </c>
      <c r="BJ1" s="133"/>
      <c r="BK1" s="133"/>
    </row>
    <row r="2" spans="1:63">
      <c r="A2" s="185"/>
      <c r="B2" s="183"/>
      <c r="C2" s="183"/>
      <c r="D2" s="184"/>
      <c r="E2" s="118"/>
      <c r="F2" s="118"/>
      <c r="G2" s="126"/>
      <c r="H2" s="126"/>
      <c r="I2" s="126"/>
      <c r="J2" s="53"/>
      <c r="K2" s="116" t="s">
        <v>19</v>
      </c>
      <c r="L2" s="116" t="s">
        <v>20</v>
      </c>
      <c r="M2" s="116"/>
      <c r="N2" s="57" t="s">
        <v>19</v>
      </c>
      <c r="O2" s="57" t="s">
        <v>20</v>
      </c>
      <c r="P2" s="56"/>
      <c r="Q2" s="57" t="s">
        <v>19</v>
      </c>
      <c r="R2" s="57" t="s">
        <v>20</v>
      </c>
      <c r="S2" s="56"/>
      <c r="T2" s="57" t="s">
        <v>19</v>
      </c>
      <c r="U2" s="57" t="s">
        <v>20</v>
      </c>
      <c r="V2" s="56"/>
      <c r="W2" s="57" t="s">
        <v>19</v>
      </c>
      <c r="X2" s="57" t="s">
        <v>20</v>
      </c>
      <c r="Y2" s="56"/>
      <c r="Z2" s="57" t="s">
        <v>19</v>
      </c>
      <c r="AA2" s="57" t="s">
        <v>20</v>
      </c>
      <c r="AB2" s="56"/>
      <c r="AC2" s="57" t="s">
        <v>19</v>
      </c>
      <c r="AD2" s="57" t="s">
        <v>20</v>
      </c>
      <c r="AE2" s="56"/>
      <c r="AF2" s="57" t="s">
        <v>19</v>
      </c>
      <c r="AG2" s="57" t="s">
        <v>20</v>
      </c>
      <c r="AH2" s="56"/>
      <c r="AI2" s="57" t="s">
        <v>19</v>
      </c>
      <c r="AJ2" s="57" t="s">
        <v>20</v>
      </c>
      <c r="AK2" s="56"/>
      <c r="AL2" s="57" t="s">
        <v>19</v>
      </c>
      <c r="AM2" s="57" t="s">
        <v>20</v>
      </c>
      <c r="AN2" s="56"/>
      <c r="AO2" s="57" t="s">
        <v>19</v>
      </c>
      <c r="AP2" s="57" t="s">
        <v>20</v>
      </c>
      <c r="AQ2" s="56"/>
      <c r="AR2" s="57" t="s">
        <v>19</v>
      </c>
      <c r="AS2" s="57" t="s">
        <v>20</v>
      </c>
      <c r="AT2" s="56"/>
      <c r="AU2" s="57" t="s">
        <v>19</v>
      </c>
      <c r="AV2" s="57" t="s">
        <v>20</v>
      </c>
      <c r="AW2" s="99"/>
      <c r="AX2" s="57" t="s">
        <v>19</v>
      </c>
      <c r="AY2" s="57" t="s">
        <v>20</v>
      </c>
      <c r="AZ2" s="56"/>
      <c r="BA2" s="57" t="s">
        <v>19</v>
      </c>
      <c r="BB2" s="57" t="s">
        <v>20</v>
      </c>
      <c r="BC2" s="99"/>
      <c r="BD2" s="116" t="s">
        <v>19</v>
      </c>
      <c r="BE2" s="116" t="s">
        <v>19</v>
      </c>
      <c r="BF2" s="116" t="s">
        <v>19</v>
      </c>
      <c r="BG2" s="116" t="s">
        <v>19</v>
      </c>
      <c r="BH2" s="116" t="s">
        <v>19</v>
      </c>
      <c r="BI2" s="100"/>
      <c r="BJ2" s="133" t="s">
        <v>51</v>
      </c>
      <c r="BK2" s="133" t="s">
        <v>52</v>
      </c>
    </row>
    <row r="3" spans="1:63">
      <c r="A3" s="186">
        <v>1</v>
      </c>
      <c r="B3" s="141" t="s">
        <v>27</v>
      </c>
      <c r="C3" s="141" t="s">
        <v>27</v>
      </c>
      <c r="D3" s="272" t="s">
        <v>162</v>
      </c>
      <c r="E3" s="126" t="s">
        <v>55</v>
      </c>
      <c r="F3" s="126" t="s">
        <v>55</v>
      </c>
      <c r="G3" s="126" t="s">
        <v>163</v>
      </c>
      <c r="H3" s="126" t="s">
        <v>163</v>
      </c>
      <c r="I3" s="126" t="s">
        <v>164</v>
      </c>
      <c r="J3" s="190">
        <v>200</v>
      </c>
      <c r="K3" s="191"/>
      <c r="L3" s="191">
        <v>300000</v>
      </c>
      <c r="M3" s="49" t="e">
        <f>L3/K3-1</f>
        <v>#DIV/0!</v>
      </c>
      <c r="N3" s="133">
        <v>300000</v>
      </c>
      <c r="O3" s="133"/>
      <c r="P3" s="49">
        <f>O3/N3-1</f>
        <v>-1</v>
      </c>
      <c r="Q3" s="133">
        <f>N3+K3</f>
        <v>300000</v>
      </c>
      <c r="R3" s="133">
        <f>O3+L3</f>
        <v>300000</v>
      </c>
      <c r="S3" s="49">
        <f>R3/Q3-1</f>
        <v>0</v>
      </c>
      <c r="T3" s="60"/>
      <c r="U3" s="60">
        <v>600000</v>
      </c>
      <c r="V3" s="49" t="e">
        <f>U3/T3-1</f>
        <v>#DIV/0!</v>
      </c>
      <c r="W3" s="60">
        <f>T3+Q3</f>
        <v>300000</v>
      </c>
      <c r="X3" s="60">
        <f>U3+R3</f>
        <v>900000</v>
      </c>
      <c r="Y3" s="49">
        <f>X3/W3-1</f>
        <v>2</v>
      </c>
      <c r="Z3" s="133">
        <v>300000</v>
      </c>
      <c r="AA3" s="133"/>
      <c r="AB3" s="49">
        <f>AA3/Z3-1</f>
        <v>-1</v>
      </c>
      <c r="AC3" s="133">
        <f>Z3+W3</f>
        <v>600000</v>
      </c>
      <c r="AD3" s="133">
        <f>AA3+X3</f>
        <v>900000</v>
      </c>
      <c r="AE3" s="49">
        <f>AD3/AC3-1</f>
        <v>0.5</v>
      </c>
      <c r="AF3" s="133">
        <v>39300</v>
      </c>
      <c r="AG3" s="133">
        <v>39300</v>
      </c>
      <c r="AH3" s="49">
        <f>AG3/AF3-1</f>
        <v>0</v>
      </c>
      <c r="AI3" s="133">
        <f>AF3+AC3</f>
        <v>639300</v>
      </c>
      <c r="AJ3" s="133">
        <f>AG3+AD3</f>
        <v>939300</v>
      </c>
      <c r="AK3" s="49">
        <f>AJ3/AI3-1</f>
        <v>0.469263256687001</v>
      </c>
      <c r="AL3" s="133">
        <v>200000</v>
      </c>
      <c r="AM3" s="133">
        <v>200000</v>
      </c>
      <c r="AN3" s="49">
        <f>AM3/AL3-1</f>
        <v>0</v>
      </c>
      <c r="AO3" s="133">
        <f>AL3+AI3</f>
        <v>839300</v>
      </c>
      <c r="AP3" s="133">
        <f>AM3+AJ3</f>
        <v>1139300</v>
      </c>
      <c r="AQ3" s="49">
        <f>AP3/AO3-1</f>
        <v>0.357440724413201</v>
      </c>
      <c r="AR3" s="133"/>
      <c r="AS3" s="133"/>
      <c r="AT3" s="49" t="e">
        <f>AS3/AR3-1</f>
        <v>#DIV/0!</v>
      </c>
      <c r="AU3" s="133">
        <f>AR3+AO3</f>
        <v>839300</v>
      </c>
      <c r="AV3" s="133">
        <f>AS3+AP3</f>
        <v>1139300</v>
      </c>
      <c r="AW3" s="49">
        <f>AV3/AU3-1</f>
        <v>0.357440724413201</v>
      </c>
      <c r="AX3" s="60"/>
      <c r="AY3" s="60"/>
      <c r="AZ3" s="49" t="e">
        <f>AY3/AX3-1</f>
        <v>#DIV/0!</v>
      </c>
      <c r="BA3" s="60">
        <f>AX3+AU3</f>
        <v>839300</v>
      </c>
      <c r="BB3" s="60">
        <f>AY3+AV3</f>
        <v>1139300</v>
      </c>
      <c r="BC3" s="49">
        <f>BB3/BA3-1</f>
        <v>0.357440724413201</v>
      </c>
      <c r="BD3" s="60">
        <v>200000</v>
      </c>
      <c r="BE3" s="192">
        <v>350000</v>
      </c>
      <c r="BF3" s="191">
        <v>200000</v>
      </c>
      <c r="BG3" s="133">
        <v>250000</v>
      </c>
      <c r="BH3" s="133">
        <v>1839300</v>
      </c>
      <c r="BI3" s="159">
        <f>BB3/10000/J3</f>
        <v>0.56965</v>
      </c>
      <c r="BJ3" s="148">
        <v>39300</v>
      </c>
      <c r="BK3" s="133">
        <v>39300</v>
      </c>
    </row>
    <row r="4" spans="1:63">
      <c r="A4" s="186">
        <v>2</v>
      </c>
      <c r="B4" s="141" t="s">
        <v>27</v>
      </c>
      <c r="C4" s="141" t="s">
        <v>27</v>
      </c>
      <c r="D4" s="272" t="s">
        <v>165</v>
      </c>
      <c r="E4" s="126" t="s">
        <v>64</v>
      </c>
      <c r="F4" s="126" t="s">
        <v>64</v>
      </c>
      <c r="G4" s="126" t="s">
        <v>163</v>
      </c>
      <c r="H4" s="126" t="s">
        <v>163</v>
      </c>
      <c r="I4" s="126" t="s">
        <v>164</v>
      </c>
      <c r="J4" s="190">
        <v>200</v>
      </c>
      <c r="K4" s="191">
        <v>7100</v>
      </c>
      <c r="L4" s="191">
        <v>110026.5</v>
      </c>
      <c r="M4" s="49">
        <f t="shared" ref="M4:M35" si="0">L4/K4-1</f>
        <v>14.4966901408451</v>
      </c>
      <c r="N4" s="133"/>
      <c r="O4" s="133">
        <v>51544.9</v>
      </c>
      <c r="P4" s="49" t="e">
        <f t="shared" ref="P4:P35" si="1">O4/N4-1</f>
        <v>#DIV/0!</v>
      </c>
      <c r="Q4" s="133">
        <f t="shared" ref="Q4:Q35" si="2">N4+K4</f>
        <v>7100</v>
      </c>
      <c r="R4" s="133">
        <f t="shared" ref="R4:R35" si="3">O4+L4</f>
        <v>161571.4</v>
      </c>
      <c r="S4" s="49">
        <f t="shared" ref="S4:S35" si="4">R4/Q4-1</f>
        <v>21.7565352112676</v>
      </c>
      <c r="T4" s="60">
        <v>3268</v>
      </c>
      <c r="U4" s="60">
        <v>37269</v>
      </c>
      <c r="V4" s="49">
        <f t="shared" ref="V4:V35" si="5">U4/T4-1</f>
        <v>10.4042227662179</v>
      </c>
      <c r="W4" s="60">
        <f t="shared" ref="W4:W35" si="6">T4+Q4</f>
        <v>10368</v>
      </c>
      <c r="X4" s="60">
        <f t="shared" ref="X4:X35" si="7">U4+R4</f>
        <v>198840.4</v>
      </c>
      <c r="Y4" s="49">
        <f t="shared" ref="Y4:Y35" si="8">X4/W4-1</f>
        <v>18.1782793209877</v>
      </c>
      <c r="Z4" s="133">
        <v>60000</v>
      </c>
      <c r="AA4" s="133">
        <v>54319</v>
      </c>
      <c r="AB4" s="49">
        <f t="shared" ref="AB4:AB35" si="9">AA4/Z4-1</f>
        <v>-0.0946833333333333</v>
      </c>
      <c r="AC4" s="133">
        <f t="shared" ref="AC4:AC35" si="10">Z4+W4</f>
        <v>70368</v>
      </c>
      <c r="AD4" s="133">
        <f t="shared" ref="AD4:AD35" si="11">AA4+X4</f>
        <v>253159.4</v>
      </c>
      <c r="AE4" s="49">
        <f t="shared" ref="AE4:AE35" si="12">AD4/AC4-1</f>
        <v>2.59764949977262</v>
      </c>
      <c r="AF4" s="133">
        <v>103268</v>
      </c>
      <c r="AG4" s="133">
        <v>50000</v>
      </c>
      <c r="AH4" s="49">
        <f t="shared" ref="AH4:AH35" si="13">AG4/AF4-1</f>
        <v>-0.515822907386606</v>
      </c>
      <c r="AI4" s="133">
        <f t="shared" ref="AI4:AI35" si="14">AF4+AC4</f>
        <v>173636</v>
      </c>
      <c r="AJ4" s="133">
        <f t="shared" ref="AJ4:AJ35" si="15">AG4+AD4</f>
        <v>303159.4</v>
      </c>
      <c r="AK4" s="49">
        <f t="shared" ref="AK4:AK35" si="16">AJ4/AI4-1</f>
        <v>0.745947844916953</v>
      </c>
      <c r="AL4" s="133">
        <v>100000</v>
      </c>
      <c r="AM4" s="133">
        <f>0.0300000000133878+72940</f>
        <v>72940.03</v>
      </c>
      <c r="AN4" s="49">
        <f t="shared" ref="AN4:AN35" si="17">AM4/AL4-1</f>
        <v>-0.2705997</v>
      </c>
      <c r="AO4" s="133">
        <f t="shared" ref="AO4:AO35" si="18">AL4+AI4</f>
        <v>273636</v>
      </c>
      <c r="AP4" s="133">
        <f t="shared" ref="AP4:AP35" si="19">AM4+AJ4</f>
        <v>376099.43</v>
      </c>
      <c r="AQ4" s="49">
        <f t="shared" ref="AQ4:AQ35" si="20">AP4/AO4-1</f>
        <v>0.374451570699762</v>
      </c>
      <c r="AR4" s="133">
        <v>12384</v>
      </c>
      <c r="AS4" s="133">
        <v>100000</v>
      </c>
      <c r="AT4" s="49">
        <f t="shared" ref="AT4:AT35" si="21">AS4/AR4-1</f>
        <v>7.0749354005168</v>
      </c>
      <c r="AU4" s="133">
        <f t="shared" ref="AU4:AU35" si="22">AR4+AO4</f>
        <v>286020</v>
      </c>
      <c r="AV4" s="133">
        <f t="shared" ref="AV4:AV35" si="23">AS4+AP4</f>
        <v>476099.43</v>
      </c>
      <c r="AW4" s="49">
        <f t="shared" ref="AW4:AW35" si="24">AV4/AU4-1</f>
        <v>0.664566918397315</v>
      </c>
      <c r="AX4" s="60">
        <v>29898</v>
      </c>
      <c r="AY4" s="60">
        <f>6605+20000</f>
        <v>26605</v>
      </c>
      <c r="AZ4" s="49">
        <f t="shared" ref="AZ4:AZ35" si="25">AY4/AX4-1</f>
        <v>-0.110141146564988</v>
      </c>
      <c r="BA4" s="60">
        <f t="shared" ref="BA4:BA35" si="26">AX4+AU4</f>
        <v>315918</v>
      </c>
      <c r="BB4" s="60">
        <f t="shared" ref="BB4:BB35" si="27">AY4+AV4</f>
        <v>502704.43</v>
      </c>
      <c r="BC4" s="49">
        <f t="shared" ref="BC4:BC35" si="28">BB4/BA4-1</f>
        <v>0.591249723029394</v>
      </c>
      <c r="BD4" s="60">
        <v>289254</v>
      </c>
      <c r="BE4" s="192">
        <v>462240.91</v>
      </c>
      <c r="BF4" s="191">
        <v>272413.9</v>
      </c>
      <c r="BG4" s="133">
        <v>262193</v>
      </c>
      <c r="BH4" s="133">
        <v>1662323.81</v>
      </c>
      <c r="BI4" s="159">
        <f t="shared" ref="BI4:BI35" si="29">BB4/10000/J4</f>
        <v>0.251352215</v>
      </c>
      <c r="BJ4" s="133">
        <v>60304</v>
      </c>
      <c r="BK4" s="133"/>
    </row>
    <row r="5" spans="1:63">
      <c r="A5" s="186">
        <v>3</v>
      </c>
      <c r="B5" s="141" t="s">
        <v>27</v>
      </c>
      <c r="C5" s="141" t="s">
        <v>27</v>
      </c>
      <c r="D5" s="272" t="s">
        <v>166</v>
      </c>
      <c r="E5" s="126" t="s">
        <v>60</v>
      </c>
      <c r="F5" s="126" t="s">
        <v>55</v>
      </c>
      <c r="G5" s="126" t="s">
        <v>167</v>
      </c>
      <c r="H5" s="126" t="s">
        <v>168</v>
      </c>
      <c r="I5" s="126" t="s">
        <v>169</v>
      </c>
      <c r="J5" s="190">
        <v>40</v>
      </c>
      <c r="K5" s="191">
        <v>33624</v>
      </c>
      <c r="L5" s="191">
        <v>58693</v>
      </c>
      <c r="M5" s="49">
        <f t="shared" si="0"/>
        <v>0.745568641446586</v>
      </c>
      <c r="N5" s="133">
        <v>37151</v>
      </c>
      <c r="O5" s="133">
        <v>72815</v>
      </c>
      <c r="P5" s="49">
        <f t="shared" si="1"/>
        <v>0.959974159511184</v>
      </c>
      <c r="Q5" s="133">
        <f t="shared" si="2"/>
        <v>70775</v>
      </c>
      <c r="R5" s="133">
        <f t="shared" si="3"/>
        <v>131508</v>
      </c>
      <c r="S5" s="49">
        <f t="shared" si="4"/>
        <v>0.858113740727658</v>
      </c>
      <c r="T5" s="60"/>
      <c r="U5" s="60">
        <v>36035</v>
      </c>
      <c r="V5" s="49" t="e">
        <f t="shared" si="5"/>
        <v>#DIV/0!</v>
      </c>
      <c r="W5" s="60">
        <f t="shared" si="6"/>
        <v>70775</v>
      </c>
      <c r="X5" s="60">
        <f t="shared" si="7"/>
        <v>167543</v>
      </c>
      <c r="Y5" s="49">
        <f t="shared" si="8"/>
        <v>1.36726245143059</v>
      </c>
      <c r="Z5" s="133">
        <v>19532</v>
      </c>
      <c r="AA5" s="133">
        <v>12208</v>
      </c>
      <c r="AB5" s="49">
        <f t="shared" si="9"/>
        <v>-0.374974400983002</v>
      </c>
      <c r="AC5" s="133">
        <f t="shared" si="10"/>
        <v>90307</v>
      </c>
      <c r="AD5" s="133">
        <f t="shared" si="11"/>
        <v>179751</v>
      </c>
      <c r="AE5" s="49">
        <f t="shared" si="12"/>
        <v>0.990443708682605</v>
      </c>
      <c r="AF5" s="133">
        <v>67757</v>
      </c>
      <c r="AG5" s="133">
        <v>21637</v>
      </c>
      <c r="AH5" s="49">
        <f t="shared" si="13"/>
        <v>-0.680667680092094</v>
      </c>
      <c r="AI5" s="133">
        <f t="shared" si="14"/>
        <v>158064</v>
      </c>
      <c r="AJ5" s="133">
        <f t="shared" si="15"/>
        <v>201388</v>
      </c>
      <c r="AK5" s="49">
        <f t="shared" si="16"/>
        <v>0.274091507237575</v>
      </c>
      <c r="AL5" s="133">
        <v>15640</v>
      </c>
      <c r="AM5" s="133">
        <f>44135.91+18700</f>
        <v>62835.91</v>
      </c>
      <c r="AN5" s="49">
        <f t="shared" si="17"/>
        <v>3.01764130434783</v>
      </c>
      <c r="AO5" s="133">
        <f t="shared" si="18"/>
        <v>173704</v>
      </c>
      <c r="AP5" s="133">
        <f t="shared" si="19"/>
        <v>264223.91</v>
      </c>
      <c r="AQ5" s="49">
        <f t="shared" si="20"/>
        <v>0.52111586376825</v>
      </c>
      <c r="AR5" s="133">
        <v>63952</v>
      </c>
      <c r="AS5" s="133">
        <v>68402.09</v>
      </c>
      <c r="AT5" s="49">
        <f t="shared" si="21"/>
        <v>0.0695848448836627</v>
      </c>
      <c r="AU5" s="133">
        <f t="shared" si="22"/>
        <v>237656</v>
      </c>
      <c r="AV5" s="133">
        <f t="shared" si="23"/>
        <v>332626</v>
      </c>
      <c r="AW5" s="49">
        <f t="shared" si="24"/>
        <v>0.399611202746827</v>
      </c>
      <c r="AX5" s="60">
        <v>39854</v>
      </c>
      <c r="AY5" s="60">
        <v>188073</v>
      </c>
      <c r="AZ5" s="49">
        <f t="shared" si="25"/>
        <v>3.71904953078737</v>
      </c>
      <c r="BA5" s="60">
        <f t="shared" si="26"/>
        <v>277510</v>
      </c>
      <c r="BB5" s="60">
        <f t="shared" si="27"/>
        <v>520699</v>
      </c>
      <c r="BC5" s="49">
        <f t="shared" si="28"/>
        <v>0.876325177471082</v>
      </c>
      <c r="BD5" s="60">
        <v>15860</v>
      </c>
      <c r="BE5" s="192">
        <v>29786</v>
      </c>
      <c r="BF5" s="191">
        <v>54967</v>
      </c>
      <c r="BG5" s="133">
        <v>5141</v>
      </c>
      <c r="BH5" s="133">
        <v>383264</v>
      </c>
      <c r="BI5" s="159">
        <f t="shared" si="29"/>
        <v>1.3017475</v>
      </c>
      <c r="BJ5" s="148">
        <v>22700</v>
      </c>
      <c r="BK5" s="193">
        <v>18700</v>
      </c>
    </row>
    <row r="6" spans="1:63">
      <c r="A6" s="186">
        <v>6</v>
      </c>
      <c r="B6" s="141" t="s">
        <v>27</v>
      </c>
      <c r="C6" s="141" t="s">
        <v>27</v>
      </c>
      <c r="D6" s="123" t="s">
        <v>170</v>
      </c>
      <c r="E6" s="126" t="s">
        <v>60</v>
      </c>
      <c r="F6" s="126" t="s">
        <v>55</v>
      </c>
      <c r="G6" s="126" t="s">
        <v>163</v>
      </c>
      <c r="H6" s="126" t="s">
        <v>163</v>
      </c>
      <c r="I6" s="126" t="s">
        <v>164</v>
      </c>
      <c r="J6" s="190">
        <v>80</v>
      </c>
      <c r="K6" s="191"/>
      <c r="L6" s="191">
        <v>80000</v>
      </c>
      <c r="M6" s="49" t="e">
        <f t="shared" si="0"/>
        <v>#DIV/0!</v>
      </c>
      <c r="N6" s="133"/>
      <c r="O6" s="133">
        <v>110000</v>
      </c>
      <c r="P6" s="49" t="e">
        <f t="shared" si="1"/>
        <v>#DIV/0!</v>
      </c>
      <c r="Q6" s="133">
        <f t="shared" si="2"/>
        <v>0</v>
      </c>
      <c r="R6" s="133">
        <f t="shared" si="3"/>
        <v>190000</v>
      </c>
      <c r="S6" s="49" t="e">
        <f t="shared" si="4"/>
        <v>#DIV/0!</v>
      </c>
      <c r="T6" s="60">
        <v>160000</v>
      </c>
      <c r="U6" s="60">
        <v>20000</v>
      </c>
      <c r="V6" s="49">
        <f t="shared" si="5"/>
        <v>-0.875</v>
      </c>
      <c r="W6" s="60">
        <f t="shared" si="6"/>
        <v>160000</v>
      </c>
      <c r="X6" s="60">
        <f t="shared" si="7"/>
        <v>210000</v>
      </c>
      <c r="Y6" s="49">
        <f t="shared" si="8"/>
        <v>0.3125</v>
      </c>
      <c r="Z6" s="133"/>
      <c r="AA6" s="133">
        <v>30000</v>
      </c>
      <c r="AB6" s="49" t="e">
        <f t="shared" si="9"/>
        <v>#DIV/0!</v>
      </c>
      <c r="AC6" s="133">
        <f t="shared" si="10"/>
        <v>160000</v>
      </c>
      <c r="AD6" s="133">
        <f t="shared" si="11"/>
        <v>240000</v>
      </c>
      <c r="AE6" s="49">
        <f t="shared" si="12"/>
        <v>0.5</v>
      </c>
      <c r="AF6" s="133">
        <v>70000</v>
      </c>
      <c r="AG6" s="133">
        <v>80000</v>
      </c>
      <c r="AH6" s="49">
        <f t="shared" si="13"/>
        <v>0.142857142857143</v>
      </c>
      <c r="AI6" s="133">
        <f t="shared" si="14"/>
        <v>230000</v>
      </c>
      <c r="AJ6" s="133">
        <f t="shared" si="15"/>
        <v>320000</v>
      </c>
      <c r="AK6" s="49">
        <f t="shared" si="16"/>
        <v>0.391304347826087</v>
      </c>
      <c r="AL6" s="133">
        <v>80000</v>
      </c>
      <c r="AM6" s="133">
        <v>80000</v>
      </c>
      <c r="AN6" s="49">
        <f t="shared" si="17"/>
        <v>0</v>
      </c>
      <c r="AO6" s="133">
        <f t="shared" si="18"/>
        <v>310000</v>
      </c>
      <c r="AP6" s="133">
        <f t="shared" si="19"/>
        <v>400000</v>
      </c>
      <c r="AQ6" s="49">
        <f t="shared" si="20"/>
        <v>0.290322580645161</v>
      </c>
      <c r="AR6" s="133">
        <v>100000</v>
      </c>
      <c r="AS6" s="133">
        <v>60000</v>
      </c>
      <c r="AT6" s="49">
        <f t="shared" si="21"/>
        <v>-0.4</v>
      </c>
      <c r="AU6" s="133">
        <f t="shared" si="22"/>
        <v>410000</v>
      </c>
      <c r="AV6" s="133">
        <f t="shared" si="23"/>
        <v>460000</v>
      </c>
      <c r="AW6" s="49">
        <f t="shared" si="24"/>
        <v>0.121951219512195</v>
      </c>
      <c r="AX6" s="60"/>
      <c r="AY6" s="60">
        <v>60000</v>
      </c>
      <c r="AZ6" s="49" t="e">
        <f t="shared" si="25"/>
        <v>#DIV/0!</v>
      </c>
      <c r="BA6" s="60">
        <f t="shared" si="26"/>
        <v>410000</v>
      </c>
      <c r="BB6" s="60">
        <f t="shared" si="27"/>
        <v>520000</v>
      </c>
      <c r="BC6" s="49">
        <f t="shared" si="28"/>
        <v>0.268292682926829</v>
      </c>
      <c r="BD6" s="60">
        <v>100000</v>
      </c>
      <c r="BE6" s="192">
        <v>110000</v>
      </c>
      <c r="BF6" s="191">
        <v>100000</v>
      </c>
      <c r="BG6" s="133">
        <v>100000</v>
      </c>
      <c r="BH6" s="133">
        <v>820000</v>
      </c>
      <c r="BI6" s="159">
        <f t="shared" si="29"/>
        <v>0.65</v>
      </c>
      <c r="BJ6" s="148">
        <v>20000</v>
      </c>
      <c r="BK6" s="133">
        <v>20000</v>
      </c>
    </row>
    <row r="7" s="140" customFormat="1" spans="1:63">
      <c r="A7" s="186">
        <v>7</v>
      </c>
      <c r="B7" s="141" t="s">
        <v>27</v>
      </c>
      <c r="C7" s="141" t="s">
        <v>27</v>
      </c>
      <c r="D7" s="123" t="s">
        <v>171</v>
      </c>
      <c r="E7" s="126" t="s">
        <v>64</v>
      </c>
      <c r="F7" s="126" t="s">
        <v>64</v>
      </c>
      <c r="G7" s="126" t="s">
        <v>172</v>
      </c>
      <c r="H7" s="126" t="s">
        <v>172</v>
      </c>
      <c r="I7" s="133" t="s">
        <v>173</v>
      </c>
      <c r="J7" s="190">
        <v>200</v>
      </c>
      <c r="K7" s="191">
        <v>150726</v>
      </c>
      <c r="L7" s="191">
        <v>20575</v>
      </c>
      <c r="M7" s="49">
        <f t="shared" si="0"/>
        <v>-0.863494022265568</v>
      </c>
      <c r="N7" s="133">
        <v>53331</v>
      </c>
      <c r="O7" s="133">
        <v>-371.06</v>
      </c>
      <c r="P7" s="49">
        <f t="shared" si="1"/>
        <v>-1.00695767939847</v>
      </c>
      <c r="Q7" s="133">
        <f t="shared" si="2"/>
        <v>204057</v>
      </c>
      <c r="R7" s="133">
        <f t="shared" si="3"/>
        <v>20203.94</v>
      </c>
      <c r="S7" s="49">
        <f t="shared" si="4"/>
        <v>-0.900988743341321</v>
      </c>
      <c r="T7" s="60">
        <v>35010</v>
      </c>
      <c r="U7" s="60">
        <f>8648+20304.6</f>
        <v>28952.6</v>
      </c>
      <c r="V7" s="49">
        <f t="shared" si="5"/>
        <v>-0.173019137389317</v>
      </c>
      <c r="W7" s="60">
        <f t="shared" si="6"/>
        <v>239067</v>
      </c>
      <c r="X7" s="60">
        <f t="shared" si="7"/>
        <v>49156.54</v>
      </c>
      <c r="Y7" s="49">
        <f t="shared" si="8"/>
        <v>-0.794381742356745</v>
      </c>
      <c r="Z7" s="133">
        <v>60312</v>
      </c>
      <c r="AA7" s="133">
        <v>32656</v>
      </c>
      <c r="AB7" s="49">
        <f t="shared" si="9"/>
        <v>-0.458548879161693</v>
      </c>
      <c r="AC7" s="133">
        <f t="shared" si="10"/>
        <v>299379</v>
      </c>
      <c r="AD7" s="133">
        <f t="shared" si="11"/>
        <v>81812.54</v>
      </c>
      <c r="AE7" s="49">
        <f t="shared" si="12"/>
        <v>-0.726725855854953</v>
      </c>
      <c r="AF7" s="133">
        <v>49398</v>
      </c>
      <c r="AG7" s="133">
        <v>105620</v>
      </c>
      <c r="AH7" s="49">
        <f t="shared" si="13"/>
        <v>1.13814324466578</v>
      </c>
      <c r="AI7" s="133">
        <f t="shared" si="14"/>
        <v>348777</v>
      </c>
      <c r="AJ7" s="133">
        <f t="shared" si="15"/>
        <v>187432.54</v>
      </c>
      <c r="AK7" s="49">
        <f t="shared" si="16"/>
        <v>-0.462600630202106</v>
      </c>
      <c r="AL7" s="133">
        <v>91407</v>
      </c>
      <c r="AM7" s="133">
        <f>17340+11306</f>
        <v>28646</v>
      </c>
      <c r="AN7" s="49">
        <f t="shared" si="17"/>
        <v>-0.686610434649425</v>
      </c>
      <c r="AO7" s="133">
        <f t="shared" si="18"/>
        <v>440184</v>
      </c>
      <c r="AP7" s="133">
        <f t="shared" si="19"/>
        <v>216078.54</v>
      </c>
      <c r="AQ7" s="49">
        <f t="shared" si="20"/>
        <v>-0.50911768714901</v>
      </c>
      <c r="AR7" s="133">
        <v>102755</v>
      </c>
      <c r="AS7" s="133">
        <v>103214</v>
      </c>
      <c r="AT7" s="49">
        <f t="shared" si="21"/>
        <v>0.00446693591552716</v>
      </c>
      <c r="AU7" s="133">
        <f t="shared" si="22"/>
        <v>542939</v>
      </c>
      <c r="AV7" s="133">
        <f t="shared" si="23"/>
        <v>319292.54</v>
      </c>
      <c r="AW7" s="49">
        <f t="shared" si="24"/>
        <v>-0.411918208122828</v>
      </c>
      <c r="AX7" s="60">
        <v>96945</v>
      </c>
      <c r="AY7" s="60">
        <v>78496</v>
      </c>
      <c r="AZ7" s="49">
        <f t="shared" si="25"/>
        <v>-0.190303780494095</v>
      </c>
      <c r="BA7" s="60">
        <f t="shared" si="26"/>
        <v>639884</v>
      </c>
      <c r="BB7" s="60">
        <f t="shared" si="27"/>
        <v>397788.54</v>
      </c>
      <c r="BC7" s="49">
        <f t="shared" si="28"/>
        <v>-0.37834273086997</v>
      </c>
      <c r="BD7" s="60">
        <v>121278</v>
      </c>
      <c r="BE7" s="192">
        <v>269643.8</v>
      </c>
      <c r="BF7" s="191">
        <v>186250.18</v>
      </c>
      <c r="BG7" s="133">
        <v>311638</v>
      </c>
      <c r="BH7" s="133">
        <v>1601249.98</v>
      </c>
      <c r="BI7" s="159">
        <f t="shared" si="29"/>
        <v>0.19889427</v>
      </c>
      <c r="BJ7" s="133">
        <v>72556</v>
      </c>
      <c r="BK7" s="133"/>
    </row>
    <row r="8" spans="1:63">
      <c r="A8" s="186">
        <v>8</v>
      </c>
      <c r="B8" s="141" t="s">
        <v>27</v>
      </c>
      <c r="C8" s="141" t="s">
        <v>27</v>
      </c>
      <c r="D8" s="123" t="s">
        <v>174</v>
      </c>
      <c r="E8" s="126" t="s">
        <v>83</v>
      </c>
      <c r="F8" s="126" t="s">
        <v>83</v>
      </c>
      <c r="G8" s="126" t="s">
        <v>167</v>
      </c>
      <c r="H8" s="126" t="s">
        <v>168</v>
      </c>
      <c r="I8" s="126" t="s">
        <v>169</v>
      </c>
      <c r="J8" s="190">
        <v>130</v>
      </c>
      <c r="K8" s="191">
        <v>80554</v>
      </c>
      <c r="L8" s="191">
        <v>54160</v>
      </c>
      <c r="M8" s="49">
        <f t="shared" si="0"/>
        <v>-0.327655982322417</v>
      </c>
      <c r="N8" s="133">
        <v>42545</v>
      </c>
      <c r="O8" s="133">
        <v>78703.5</v>
      </c>
      <c r="P8" s="49">
        <f t="shared" si="1"/>
        <v>0.84988835350805</v>
      </c>
      <c r="Q8" s="133">
        <f t="shared" si="2"/>
        <v>123099</v>
      </c>
      <c r="R8" s="133">
        <f t="shared" si="3"/>
        <v>132863.5</v>
      </c>
      <c r="S8" s="49">
        <f t="shared" si="4"/>
        <v>0.0793223340563287</v>
      </c>
      <c r="T8" s="60">
        <v>80322</v>
      </c>
      <c r="U8" s="60">
        <v>111622</v>
      </c>
      <c r="V8" s="49">
        <f t="shared" si="5"/>
        <v>0.389681531834367</v>
      </c>
      <c r="W8" s="60">
        <f t="shared" si="6"/>
        <v>203421</v>
      </c>
      <c r="X8" s="60">
        <f t="shared" si="7"/>
        <v>244485.5</v>
      </c>
      <c r="Y8" s="49">
        <f t="shared" si="8"/>
        <v>0.201869521829113</v>
      </c>
      <c r="Z8" s="133">
        <v>82245</v>
      </c>
      <c r="AA8" s="133">
        <v>108126.8</v>
      </c>
      <c r="AB8" s="49">
        <f t="shared" si="9"/>
        <v>0.314691470606116</v>
      </c>
      <c r="AC8" s="133">
        <f t="shared" si="10"/>
        <v>285666</v>
      </c>
      <c r="AD8" s="133">
        <f t="shared" si="11"/>
        <v>352612.3</v>
      </c>
      <c r="AE8" s="49">
        <f t="shared" si="12"/>
        <v>0.234351655429768</v>
      </c>
      <c r="AF8" s="133">
        <v>78688</v>
      </c>
      <c r="AG8" s="133">
        <v>62030</v>
      </c>
      <c r="AH8" s="49">
        <f t="shared" si="13"/>
        <v>-0.211696827978853</v>
      </c>
      <c r="AI8" s="133">
        <f t="shared" si="14"/>
        <v>364354</v>
      </c>
      <c r="AJ8" s="133">
        <f t="shared" si="15"/>
        <v>414642.3</v>
      </c>
      <c r="AK8" s="49">
        <f t="shared" si="16"/>
        <v>0.138020441658387</v>
      </c>
      <c r="AL8" s="133">
        <v>102296</v>
      </c>
      <c r="AM8" s="133">
        <v>136503.8</v>
      </c>
      <c r="AN8" s="49">
        <f t="shared" si="17"/>
        <v>0.334400172049738</v>
      </c>
      <c r="AO8" s="133">
        <f t="shared" si="18"/>
        <v>466650</v>
      </c>
      <c r="AP8" s="133">
        <f t="shared" si="19"/>
        <v>551146.1</v>
      </c>
      <c r="AQ8" s="49">
        <f t="shared" si="20"/>
        <v>0.181069538197793</v>
      </c>
      <c r="AR8" s="133">
        <v>92823</v>
      </c>
      <c r="AS8" s="133">
        <v>49728.5</v>
      </c>
      <c r="AT8" s="49">
        <f t="shared" si="21"/>
        <v>-0.464265322172306</v>
      </c>
      <c r="AU8" s="133">
        <f t="shared" si="22"/>
        <v>559473</v>
      </c>
      <c r="AV8" s="133">
        <f t="shared" si="23"/>
        <v>600874.6</v>
      </c>
      <c r="AW8" s="49">
        <f t="shared" si="24"/>
        <v>0.0740010688630193</v>
      </c>
      <c r="AX8" s="60">
        <v>88958</v>
      </c>
      <c r="AY8" s="60">
        <v>111809</v>
      </c>
      <c r="AZ8" s="49">
        <f t="shared" si="25"/>
        <v>0.256874030441332</v>
      </c>
      <c r="BA8" s="60">
        <f t="shared" si="26"/>
        <v>648431</v>
      </c>
      <c r="BB8" s="60">
        <f t="shared" si="27"/>
        <v>712683.6</v>
      </c>
      <c r="BC8" s="49">
        <f t="shared" si="28"/>
        <v>0.0990893402690494</v>
      </c>
      <c r="BD8" s="60">
        <v>137424</v>
      </c>
      <c r="BE8" s="192">
        <v>145840</v>
      </c>
      <c r="BF8" s="191">
        <v>154297</v>
      </c>
      <c r="BG8" s="133">
        <v>217980</v>
      </c>
      <c r="BH8" s="133">
        <v>1303972</v>
      </c>
      <c r="BI8" s="159">
        <f t="shared" si="29"/>
        <v>0.548218153846154</v>
      </c>
      <c r="BJ8" s="133"/>
      <c r="BK8" s="133"/>
    </row>
    <row r="9" spans="1:63">
      <c r="A9" s="186">
        <v>9</v>
      </c>
      <c r="B9" s="141" t="s">
        <v>27</v>
      </c>
      <c r="C9" s="141" t="s">
        <v>27</v>
      </c>
      <c r="D9" s="123" t="s">
        <v>175</v>
      </c>
      <c r="E9" s="126" t="s">
        <v>83</v>
      </c>
      <c r="F9" s="126" t="s">
        <v>83</v>
      </c>
      <c r="G9" s="126" t="s">
        <v>176</v>
      </c>
      <c r="H9" s="126" t="s">
        <v>176</v>
      </c>
      <c r="I9" s="126" t="s">
        <v>164</v>
      </c>
      <c r="J9" s="190">
        <v>65</v>
      </c>
      <c r="K9" s="191">
        <v>41916</v>
      </c>
      <c r="L9" s="191">
        <v>10650</v>
      </c>
      <c r="M9" s="49">
        <f t="shared" si="0"/>
        <v>-0.745920412253078</v>
      </c>
      <c r="N9" s="133">
        <v>17600</v>
      </c>
      <c r="O9" s="133">
        <v>18535.5</v>
      </c>
      <c r="P9" s="49">
        <f t="shared" si="1"/>
        <v>0.0531534090909092</v>
      </c>
      <c r="Q9" s="133">
        <f t="shared" si="2"/>
        <v>59516</v>
      </c>
      <c r="R9" s="133">
        <f t="shared" si="3"/>
        <v>29185.5</v>
      </c>
      <c r="S9" s="49">
        <f t="shared" si="4"/>
        <v>-0.509619262047181</v>
      </c>
      <c r="T9" s="60">
        <v>56848.08</v>
      </c>
      <c r="U9" s="60">
        <v>58315</v>
      </c>
      <c r="V9" s="49">
        <f t="shared" si="5"/>
        <v>0.0258042136163614</v>
      </c>
      <c r="W9" s="60">
        <f t="shared" si="6"/>
        <v>116364.08</v>
      </c>
      <c r="X9" s="60">
        <f t="shared" si="7"/>
        <v>87500.5</v>
      </c>
      <c r="Y9" s="49">
        <f t="shared" si="8"/>
        <v>-0.248045444951741</v>
      </c>
      <c r="Z9" s="133">
        <v>37938</v>
      </c>
      <c r="AA9" s="133">
        <v>31440</v>
      </c>
      <c r="AB9" s="49">
        <f t="shared" si="9"/>
        <v>-0.171279455954452</v>
      </c>
      <c r="AC9" s="133">
        <f t="shared" si="10"/>
        <v>154302.08</v>
      </c>
      <c r="AD9" s="133">
        <f t="shared" si="11"/>
        <v>118940.5</v>
      </c>
      <c r="AE9" s="49">
        <f t="shared" si="12"/>
        <v>-0.229171116811905</v>
      </c>
      <c r="AF9" s="133">
        <v>39900</v>
      </c>
      <c r="AG9" s="133">
        <v>10279</v>
      </c>
      <c r="AH9" s="49">
        <f t="shared" si="13"/>
        <v>-0.742380952380952</v>
      </c>
      <c r="AI9" s="133">
        <f t="shared" si="14"/>
        <v>194202.08</v>
      </c>
      <c r="AJ9" s="133">
        <f t="shared" si="15"/>
        <v>129219.5</v>
      </c>
      <c r="AK9" s="49">
        <f t="shared" si="16"/>
        <v>-0.334613202906992</v>
      </c>
      <c r="AL9" s="133">
        <v>47460</v>
      </c>
      <c r="AM9" s="133">
        <v>52960</v>
      </c>
      <c r="AN9" s="49">
        <f t="shared" si="17"/>
        <v>0.115887062789718</v>
      </c>
      <c r="AO9" s="133">
        <f t="shared" si="18"/>
        <v>241662.08</v>
      </c>
      <c r="AP9" s="133">
        <f t="shared" si="19"/>
        <v>182179.5</v>
      </c>
      <c r="AQ9" s="49">
        <f t="shared" si="20"/>
        <v>-0.246139485350784</v>
      </c>
      <c r="AR9" s="133">
        <v>30826</v>
      </c>
      <c r="AS9" s="133">
        <v>34290</v>
      </c>
      <c r="AT9" s="49">
        <f t="shared" si="21"/>
        <v>0.112372672419386</v>
      </c>
      <c r="AU9" s="133">
        <f t="shared" si="22"/>
        <v>272488.08</v>
      </c>
      <c r="AV9" s="133">
        <f t="shared" si="23"/>
        <v>216469.5</v>
      </c>
      <c r="AW9" s="49">
        <f t="shared" si="24"/>
        <v>-0.205581763429798</v>
      </c>
      <c r="AX9" s="60">
        <v>36600</v>
      </c>
      <c r="AY9" s="60">
        <v>29003</v>
      </c>
      <c r="AZ9" s="49">
        <f t="shared" si="25"/>
        <v>-0.207568306010929</v>
      </c>
      <c r="BA9" s="60">
        <f t="shared" si="26"/>
        <v>309088.08</v>
      </c>
      <c r="BB9" s="60">
        <f t="shared" si="27"/>
        <v>245472.5</v>
      </c>
      <c r="BC9" s="49">
        <f t="shared" si="28"/>
        <v>-0.20581699559556</v>
      </c>
      <c r="BD9" s="60">
        <v>109530</v>
      </c>
      <c r="BE9" s="192">
        <v>64023</v>
      </c>
      <c r="BF9" s="191">
        <v>31190</v>
      </c>
      <c r="BG9" s="133">
        <v>89844</v>
      </c>
      <c r="BH9" s="133">
        <v>603675.08</v>
      </c>
      <c r="BI9" s="159">
        <f t="shared" si="29"/>
        <v>0.37765</v>
      </c>
      <c r="BJ9" s="133"/>
      <c r="BK9" s="133"/>
    </row>
    <row r="10" spans="1:63">
      <c r="A10" s="186">
        <v>10</v>
      </c>
      <c r="B10" s="141" t="s">
        <v>27</v>
      </c>
      <c r="C10" s="141" t="s">
        <v>27</v>
      </c>
      <c r="D10" s="123" t="s">
        <v>177</v>
      </c>
      <c r="E10" s="126" t="s">
        <v>83</v>
      </c>
      <c r="F10" s="126" t="s">
        <v>83</v>
      </c>
      <c r="G10" s="126" t="s">
        <v>167</v>
      </c>
      <c r="H10" s="126" t="s">
        <v>168</v>
      </c>
      <c r="I10" s="126" t="s">
        <v>169</v>
      </c>
      <c r="J10" s="190">
        <v>60</v>
      </c>
      <c r="K10" s="191">
        <v>31309</v>
      </c>
      <c r="L10" s="191">
        <v>12344</v>
      </c>
      <c r="M10" s="49">
        <f t="shared" si="0"/>
        <v>-0.605736369733942</v>
      </c>
      <c r="N10" s="133">
        <v>8041</v>
      </c>
      <c r="O10" s="133">
        <v>39230</v>
      </c>
      <c r="P10" s="49">
        <f t="shared" si="1"/>
        <v>3.87874642457406</v>
      </c>
      <c r="Q10" s="133">
        <f t="shared" si="2"/>
        <v>39350</v>
      </c>
      <c r="R10" s="133">
        <f t="shared" si="3"/>
        <v>51574</v>
      </c>
      <c r="S10" s="49">
        <f t="shared" si="4"/>
        <v>0.310648030495553</v>
      </c>
      <c r="T10" s="60">
        <v>51695</v>
      </c>
      <c r="U10" s="60">
        <v>32386</v>
      </c>
      <c r="V10" s="49">
        <f t="shared" si="5"/>
        <v>-0.37351774833156</v>
      </c>
      <c r="W10" s="60">
        <f t="shared" si="6"/>
        <v>91045</v>
      </c>
      <c r="X10" s="60">
        <f t="shared" si="7"/>
        <v>83960</v>
      </c>
      <c r="Y10" s="49">
        <f t="shared" si="8"/>
        <v>-0.077818661101653</v>
      </c>
      <c r="Z10" s="133">
        <v>4856</v>
      </c>
      <c r="AA10" s="133">
        <v>40483</v>
      </c>
      <c r="AB10" s="49">
        <f t="shared" si="9"/>
        <v>7.33669686985173</v>
      </c>
      <c r="AC10" s="133">
        <f t="shared" si="10"/>
        <v>95901</v>
      </c>
      <c r="AD10" s="133">
        <f t="shared" si="11"/>
        <v>124443</v>
      </c>
      <c r="AE10" s="49">
        <f t="shared" si="12"/>
        <v>0.297619420026903</v>
      </c>
      <c r="AF10" s="133">
        <v>33328</v>
      </c>
      <c r="AG10" s="133">
        <v>15635</v>
      </c>
      <c r="AH10" s="49">
        <f t="shared" si="13"/>
        <v>-0.530874939990398</v>
      </c>
      <c r="AI10" s="133">
        <f t="shared" si="14"/>
        <v>129229</v>
      </c>
      <c r="AJ10" s="133">
        <f t="shared" si="15"/>
        <v>140078</v>
      </c>
      <c r="AK10" s="49">
        <f t="shared" si="16"/>
        <v>0.0839517445774556</v>
      </c>
      <c r="AL10" s="133">
        <v>33354</v>
      </c>
      <c r="AM10" s="133">
        <f>48669.1+684.9</f>
        <v>49354</v>
      </c>
      <c r="AN10" s="49">
        <f t="shared" si="17"/>
        <v>0.479702584397673</v>
      </c>
      <c r="AO10" s="133">
        <f t="shared" si="18"/>
        <v>162583</v>
      </c>
      <c r="AP10" s="133">
        <f t="shared" si="19"/>
        <v>189432</v>
      </c>
      <c r="AQ10" s="49">
        <f t="shared" si="20"/>
        <v>0.165140266817564</v>
      </c>
      <c r="AR10" s="133">
        <v>22540</v>
      </c>
      <c r="AS10" s="133">
        <v>18390</v>
      </c>
      <c r="AT10" s="49">
        <f t="shared" si="21"/>
        <v>-0.184117125110914</v>
      </c>
      <c r="AU10" s="133">
        <f t="shared" si="22"/>
        <v>185123</v>
      </c>
      <c r="AV10" s="133">
        <f t="shared" si="23"/>
        <v>207822</v>
      </c>
      <c r="AW10" s="49">
        <f t="shared" si="24"/>
        <v>0.122615774377036</v>
      </c>
      <c r="AX10" s="60">
        <v>41491</v>
      </c>
      <c r="AY10" s="60">
        <v>14529</v>
      </c>
      <c r="AZ10" s="49">
        <f t="shared" si="25"/>
        <v>-0.649827673471355</v>
      </c>
      <c r="BA10" s="60">
        <f t="shared" si="26"/>
        <v>226614</v>
      </c>
      <c r="BB10" s="60">
        <f t="shared" si="27"/>
        <v>222351</v>
      </c>
      <c r="BC10" s="49">
        <f t="shared" si="28"/>
        <v>-0.0188117239005534</v>
      </c>
      <c r="BD10" s="60">
        <v>76840</v>
      </c>
      <c r="BE10" s="192">
        <v>26983</v>
      </c>
      <c r="BF10" s="191">
        <v>44507</v>
      </c>
      <c r="BG10" s="133">
        <v>64200</v>
      </c>
      <c r="BH10" s="133">
        <v>439144</v>
      </c>
      <c r="BI10" s="159">
        <f t="shared" si="29"/>
        <v>0.370585</v>
      </c>
      <c r="BJ10" s="133"/>
      <c r="BK10" s="133"/>
    </row>
    <row r="11" ht="15" customHeight="1" spans="1:63">
      <c r="A11" s="186">
        <v>14</v>
      </c>
      <c r="B11" s="141" t="s">
        <v>27</v>
      </c>
      <c r="C11" s="141" t="s">
        <v>27</v>
      </c>
      <c r="D11" s="123" t="s">
        <v>178</v>
      </c>
      <c r="E11" s="126" t="s">
        <v>83</v>
      </c>
      <c r="F11" s="126" t="s">
        <v>83</v>
      </c>
      <c r="G11" s="126" t="s">
        <v>176</v>
      </c>
      <c r="H11" s="126" t="s">
        <v>176</v>
      </c>
      <c r="I11" s="126" t="s">
        <v>164</v>
      </c>
      <c r="J11" s="190">
        <v>100</v>
      </c>
      <c r="K11" s="191">
        <v>81730</v>
      </c>
      <c r="L11" s="191">
        <v>39988</v>
      </c>
      <c r="M11" s="49">
        <f t="shared" si="0"/>
        <v>-0.510730453933684</v>
      </c>
      <c r="N11" s="133">
        <v>45126</v>
      </c>
      <c r="O11" s="133">
        <v>13201</v>
      </c>
      <c r="P11" s="49">
        <f t="shared" si="1"/>
        <v>-0.707463546514205</v>
      </c>
      <c r="Q11" s="133">
        <f t="shared" si="2"/>
        <v>126856</v>
      </c>
      <c r="R11" s="133">
        <f t="shared" si="3"/>
        <v>53189</v>
      </c>
      <c r="S11" s="49">
        <f t="shared" si="4"/>
        <v>-0.580713564987072</v>
      </c>
      <c r="T11" s="60">
        <v>43497</v>
      </c>
      <c r="U11" s="60">
        <v>21058</v>
      </c>
      <c r="V11" s="49">
        <f t="shared" si="5"/>
        <v>-0.515874658022392</v>
      </c>
      <c r="W11" s="60">
        <f t="shared" si="6"/>
        <v>170353</v>
      </c>
      <c r="X11" s="60">
        <f t="shared" si="7"/>
        <v>74247</v>
      </c>
      <c r="Y11" s="49">
        <f t="shared" si="8"/>
        <v>-0.564157954365347</v>
      </c>
      <c r="Z11" s="133">
        <v>94183</v>
      </c>
      <c r="AA11" s="133">
        <v>54727</v>
      </c>
      <c r="AB11" s="49">
        <f t="shared" si="9"/>
        <v>-0.41892910610195</v>
      </c>
      <c r="AC11" s="133">
        <f t="shared" si="10"/>
        <v>264536</v>
      </c>
      <c r="AD11" s="133">
        <f t="shared" si="11"/>
        <v>128974</v>
      </c>
      <c r="AE11" s="49">
        <f t="shared" si="12"/>
        <v>-0.512451991411377</v>
      </c>
      <c r="AF11" s="133">
        <v>76709</v>
      </c>
      <c r="AG11" s="133">
        <v>57103</v>
      </c>
      <c r="AH11" s="49">
        <f t="shared" si="13"/>
        <v>-0.255589305035915</v>
      </c>
      <c r="AI11" s="133">
        <f t="shared" si="14"/>
        <v>341245</v>
      </c>
      <c r="AJ11" s="133">
        <f t="shared" si="15"/>
        <v>186077</v>
      </c>
      <c r="AK11" s="49">
        <f t="shared" si="16"/>
        <v>-0.454711424343214</v>
      </c>
      <c r="AL11" s="133">
        <v>40780</v>
      </c>
      <c r="AM11" s="133">
        <v>114665</v>
      </c>
      <c r="AN11" s="49">
        <f t="shared" si="17"/>
        <v>1.81179499754782</v>
      </c>
      <c r="AO11" s="133">
        <f t="shared" si="18"/>
        <v>382025</v>
      </c>
      <c r="AP11" s="133">
        <f t="shared" si="19"/>
        <v>300742</v>
      </c>
      <c r="AQ11" s="49">
        <f t="shared" si="20"/>
        <v>-0.212768797853544</v>
      </c>
      <c r="AR11" s="133">
        <v>39027</v>
      </c>
      <c r="AS11" s="133">
        <v>67125</v>
      </c>
      <c r="AT11" s="49">
        <f t="shared" si="21"/>
        <v>0.719963102467522</v>
      </c>
      <c r="AU11" s="133">
        <f t="shared" si="22"/>
        <v>421052</v>
      </c>
      <c r="AV11" s="133">
        <f t="shared" si="23"/>
        <v>367867</v>
      </c>
      <c r="AW11" s="49">
        <f t="shared" si="24"/>
        <v>-0.126314564471847</v>
      </c>
      <c r="AX11" s="60">
        <v>35395</v>
      </c>
      <c r="AY11" s="60">
        <v>12426</v>
      </c>
      <c r="AZ11" s="49">
        <f t="shared" si="25"/>
        <v>-0.648933465178698</v>
      </c>
      <c r="BA11" s="60">
        <f t="shared" si="26"/>
        <v>456447</v>
      </c>
      <c r="BB11" s="60">
        <f t="shared" si="27"/>
        <v>380293</v>
      </c>
      <c r="BC11" s="49">
        <f t="shared" si="28"/>
        <v>-0.166840838038151</v>
      </c>
      <c r="BD11" s="60">
        <v>99849</v>
      </c>
      <c r="BE11" s="192">
        <v>150005</v>
      </c>
      <c r="BF11" s="191">
        <v>125373</v>
      </c>
      <c r="BG11" s="133">
        <v>146730</v>
      </c>
      <c r="BH11" s="133">
        <v>978404</v>
      </c>
      <c r="BI11" s="159">
        <f t="shared" si="29"/>
        <v>0.380293</v>
      </c>
      <c r="BJ11" s="133"/>
      <c r="BK11" s="133"/>
    </row>
    <row r="12" spans="1:63">
      <c r="A12" s="186">
        <v>15</v>
      </c>
      <c r="B12" s="141" t="s">
        <v>27</v>
      </c>
      <c r="C12" s="141" t="s">
        <v>27</v>
      </c>
      <c r="D12" s="123" t="s">
        <v>179</v>
      </c>
      <c r="E12" s="126" t="s">
        <v>83</v>
      </c>
      <c r="F12" s="126" t="s">
        <v>83</v>
      </c>
      <c r="G12" s="276" t="s">
        <v>180</v>
      </c>
      <c r="H12" s="276" t="s">
        <v>180</v>
      </c>
      <c r="I12" s="133" t="s">
        <v>173</v>
      </c>
      <c r="J12" s="190">
        <v>60</v>
      </c>
      <c r="K12" s="191">
        <v>40400</v>
      </c>
      <c r="L12" s="191">
        <v>11976</v>
      </c>
      <c r="M12" s="49">
        <f t="shared" si="0"/>
        <v>-0.703564356435644</v>
      </c>
      <c r="N12" s="133"/>
      <c r="O12" s="133">
        <v>18243</v>
      </c>
      <c r="P12" s="49" t="e">
        <f t="shared" si="1"/>
        <v>#DIV/0!</v>
      </c>
      <c r="Q12" s="133">
        <f t="shared" si="2"/>
        <v>40400</v>
      </c>
      <c r="R12" s="133">
        <f t="shared" si="3"/>
        <v>30219</v>
      </c>
      <c r="S12" s="49">
        <f t="shared" si="4"/>
        <v>-0.252004950495049</v>
      </c>
      <c r="T12" s="60">
        <v>70354</v>
      </c>
      <c r="U12" s="60">
        <v>20557</v>
      </c>
      <c r="V12" s="49">
        <f t="shared" si="5"/>
        <v>-0.707806237029877</v>
      </c>
      <c r="W12" s="60">
        <f t="shared" si="6"/>
        <v>110754</v>
      </c>
      <c r="X12" s="60">
        <f t="shared" si="7"/>
        <v>50776</v>
      </c>
      <c r="Y12" s="49">
        <f t="shared" si="8"/>
        <v>-0.541542517651733</v>
      </c>
      <c r="Z12" s="133">
        <v>51905</v>
      </c>
      <c r="AA12" s="133">
        <v>28765</v>
      </c>
      <c r="AB12" s="49">
        <f t="shared" si="9"/>
        <v>-0.445814468740969</v>
      </c>
      <c r="AC12" s="133">
        <f t="shared" si="10"/>
        <v>162659</v>
      </c>
      <c r="AD12" s="133">
        <f t="shared" si="11"/>
        <v>79541</v>
      </c>
      <c r="AE12" s="49">
        <f t="shared" si="12"/>
        <v>-0.510995395274777</v>
      </c>
      <c r="AF12" s="133">
        <v>33354</v>
      </c>
      <c r="AG12" s="133">
        <v>28316</v>
      </c>
      <c r="AH12" s="49">
        <f t="shared" si="13"/>
        <v>-0.151046351262217</v>
      </c>
      <c r="AI12" s="133">
        <f t="shared" si="14"/>
        <v>196013</v>
      </c>
      <c r="AJ12" s="133">
        <f t="shared" si="15"/>
        <v>107857</v>
      </c>
      <c r="AK12" s="49">
        <f t="shared" si="16"/>
        <v>-0.449745680133461</v>
      </c>
      <c r="AL12" s="133">
        <v>35992</v>
      </c>
      <c r="AM12" s="133">
        <v>46365</v>
      </c>
      <c r="AN12" s="49">
        <f t="shared" si="17"/>
        <v>0.28820293398533</v>
      </c>
      <c r="AO12" s="133">
        <f t="shared" si="18"/>
        <v>232005</v>
      </c>
      <c r="AP12" s="133">
        <f t="shared" si="19"/>
        <v>154222</v>
      </c>
      <c r="AQ12" s="49">
        <f t="shared" si="20"/>
        <v>-0.335264326199866</v>
      </c>
      <c r="AR12" s="133">
        <v>61052</v>
      </c>
      <c r="AS12" s="133">
        <v>39090.4</v>
      </c>
      <c r="AT12" s="49">
        <f t="shared" si="21"/>
        <v>-0.359719583306034</v>
      </c>
      <c r="AU12" s="133">
        <f t="shared" si="22"/>
        <v>293057</v>
      </c>
      <c r="AV12" s="133">
        <f t="shared" si="23"/>
        <v>193312.4</v>
      </c>
      <c r="AW12" s="49">
        <f t="shared" si="24"/>
        <v>-0.340359042780074</v>
      </c>
      <c r="AX12" s="60">
        <v>46235</v>
      </c>
      <c r="AY12" s="60">
        <v>23559</v>
      </c>
      <c r="AZ12" s="49">
        <f t="shared" si="25"/>
        <v>-0.490450957067157</v>
      </c>
      <c r="BA12" s="60">
        <f t="shared" si="26"/>
        <v>339292</v>
      </c>
      <c r="BB12" s="60">
        <f t="shared" si="27"/>
        <v>216871.4</v>
      </c>
      <c r="BC12" s="49">
        <f t="shared" si="28"/>
        <v>-0.360811926010634</v>
      </c>
      <c r="BD12" s="60">
        <v>119225.17</v>
      </c>
      <c r="BE12" s="192">
        <v>89725</v>
      </c>
      <c r="BF12" s="191">
        <v>58495</v>
      </c>
      <c r="BG12" s="133">
        <v>53761</v>
      </c>
      <c r="BH12" s="133">
        <v>708006.17</v>
      </c>
      <c r="BI12" s="159">
        <f t="shared" si="29"/>
        <v>0.361452333333333</v>
      </c>
      <c r="BJ12" s="133">
        <v>47508</v>
      </c>
      <c r="BK12" s="133"/>
    </row>
    <row r="13" spans="1:63">
      <c r="A13" s="186">
        <v>17</v>
      </c>
      <c r="B13" s="141" t="s">
        <v>27</v>
      </c>
      <c r="C13" s="141" t="s">
        <v>27</v>
      </c>
      <c r="D13" s="123" t="s">
        <v>181</v>
      </c>
      <c r="E13" s="126" t="s">
        <v>64</v>
      </c>
      <c r="F13" s="126" t="s">
        <v>64</v>
      </c>
      <c r="G13" s="276" t="s">
        <v>182</v>
      </c>
      <c r="H13" s="276" t="s">
        <v>182</v>
      </c>
      <c r="I13" s="133" t="s">
        <v>173</v>
      </c>
      <c r="J13" s="190">
        <v>100</v>
      </c>
      <c r="K13" s="191"/>
      <c r="L13" s="191">
        <v>3</v>
      </c>
      <c r="M13" s="49" t="e">
        <f t="shared" si="0"/>
        <v>#DIV/0!</v>
      </c>
      <c r="N13" s="133"/>
      <c r="O13" s="133"/>
      <c r="P13" s="49" t="e">
        <f t="shared" si="1"/>
        <v>#DIV/0!</v>
      </c>
      <c r="Q13" s="133">
        <f t="shared" si="2"/>
        <v>0</v>
      </c>
      <c r="R13" s="133">
        <f t="shared" si="3"/>
        <v>3</v>
      </c>
      <c r="S13" s="49" t="e">
        <f t="shared" si="4"/>
        <v>#DIV/0!</v>
      </c>
      <c r="T13" s="60">
        <v>40000</v>
      </c>
      <c r="U13" s="60"/>
      <c r="V13" s="49">
        <f t="shared" si="5"/>
        <v>-1</v>
      </c>
      <c r="W13" s="60">
        <f t="shared" si="6"/>
        <v>40000</v>
      </c>
      <c r="X13" s="60">
        <f t="shared" si="7"/>
        <v>3</v>
      </c>
      <c r="Y13" s="49">
        <f t="shared" si="8"/>
        <v>-0.999925</v>
      </c>
      <c r="Z13" s="133"/>
      <c r="AA13" s="133"/>
      <c r="AB13" s="49" t="e">
        <f t="shared" si="9"/>
        <v>#DIV/0!</v>
      </c>
      <c r="AC13" s="133">
        <f t="shared" si="10"/>
        <v>40000</v>
      </c>
      <c r="AD13" s="133">
        <f t="shared" si="11"/>
        <v>3</v>
      </c>
      <c r="AE13" s="49">
        <f t="shared" si="12"/>
        <v>-0.999925</v>
      </c>
      <c r="AF13" s="133">
        <v>80000</v>
      </c>
      <c r="AG13" s="133">
        <v>13300</v>
      </c>
      <c r="AH13" s="49">
        <f t="shared" si="13"/>
        <v>-0.83375</v>
      </c>
      <c r="AI13" s="133">
        <f t="shared" si="14"/>
        <v>120000</v>
      </c>
      <c r="AJ13" s="133">
        <f t="shared" si="15"/>
        <v>13303</v>
      </c>
      <c r="AK13" s="49">
        <f t="shared" si="16"/>
        <v>-0.889141666666667</v>
      </c>
      <c r="AL13" s="133"/>
      <c r="AM13" s="133">
        <v>63499</v>
      </c>
      <c r="AN13" s="49" t="e">
        <f t="shared" si="17"/>
        <v>#DIV/0!</v>
      </c>
      <c r="AO13" s="133">
        <f t="shared" si="18"/>
        <v>120000</v>
      </c>
      <c r="AP13" s="133">
        <f t="shared" si="19"/>
        <v>76802</v>
      </c>
      <c r="AQ13" s="49">
        <f t="shared" si="20"/>
        <v>-0.359983333333333</v>
      </c>
      <c r="AR13" s="133">
        <v>35000</v>
      </c>
      <c r="AS13" s="133">
        <v>32380</v>
      </c>
      <c r="AT13" s="49">
        <f t="shared" si="21"/>
        <v>-0.0748571428571428</v>
      </c>
      <c r="AU13" s="133">
        <f t="shared" si="22"/>
        <v>155000</v>
      </c>
      <c r="AV13" s="133">
        <f t="shared" si="23"/>
        <v>109182</v>
      </c>
      <c r="AW13" s="49">
        <f t="shared" si="24"/>
        <v>-0.2956</v>
      </c>
      <c r="AX13" s="60">
        <v>316</v>
      </c>
      <c r="AY13" s="60">
        <v>10000</v>
      </c>
      <c r="AZ13" s="49">
        <f t="shared" si="25"/>
        <v>30.6455696202532</v>
      </c>
      <c r="BA13" s="60">
        <f t="shared" si="26"/>
        <v>155316</v>
      </c>
      <c r="BB13" s="60">
        <f t="shared" si="27"/>
        <v>119182</v>
      </c>
      <c r="BC13" s="49">
        <f t="shared" si="28"/>
        <v>-0.232648278348657</v>
      </c>
      <c r="BD13" s="60">
        <v>78510</v>
      </c>
      <c r="BE13" s="192">
        <v>140894</v>
      </c>
      <c r="BF13" s="191">
        <v>84652</v>
      </c>
      <c r="BG13" s="133">
        <v>183503</v>
      </c>
      <c r="BH13" s="133">
        <v>691204</v>
      </c>
      <c r="BI13" s="159">
        <f t="shared" si="29"/>
        <v>0.119182</v>
      </c>
      <c r="BJ13" s="133">
        <v>48329</v>
      </c>
      <c r="BK13" s="133"/>
    </row>
    <row r="14" spans="1:63">
      <c r="A14" s="186">
        <v>19</v>
      </c>
      <c r="B14" s="141" t="s">
        <v>27</v>
      </c>
      <c r="C14" s="141" t="s">
        <v>27</v>
      </c>
      <c r="D14" s="123" t="s">
        <v>183</v>
      </c>
      <c r="E14" s="126" t="s">
        <v>60</v>
      </c>
      <c r="F14" s="126" t="s">
        <v>60</v>
      </c>
      <c r="G14" s="126" t="s">
        <v>176</v>
      </c>
      <c r="H14" s="126" t="s">
        <v>176</v>
      </c>
      <c r="I14" s="126" t="s">
        <v>164</v>
      </c>
      <c r="J14" s="190">
        <v>6</v>
      </c>
      <c r="K14" s="191"/>
      <c r="L14" s="191"/>
      <c r="M14" s="49" t="e">
        <f t="shared" si="0"/>
        <v>#DIV/0!</v>
      </c>
      <c r="N14" s="133"/>
      <c r="O14" s="133"/>
      <c r="P14" s="49" t="e">
        <f t="shared" si="1"/>
        <v>#DIV/0!</v>
      </c>
      <c r="Q14" s="133">
        <f t="shared" si="2"/>
        <v>0</v>
      </c>
      <c r="R14" s="133">
        <f t="shared" si="3"/>
        <v>0</v>
      </c>
      <c r="S14" s="49" t="e">
        <f t="shared" si="4"/>
        <v>#DIV/0!</v>
      </c>
      <c r="T14" s="60"/>
      <c r="U14" s="60">
        <v>3330</v>
      </c>
      <c r="V14" s="49" t="e">
        <f t="shared" si="5"/>
        <v>#DIV/0!</v>
      </c>
      <c r="W14" s="60">
        <f t="shared" si="6"/>
        <v>0</v>
      </c>
      <c r="X14" s="60">
        <f t="shared" si="7"/>
        <v>3330</v>
      </c>
      <c r="Y14" s="49" t="e">
        <f t="shared" si="8"/>
        <v>#DIV/0!</v>
      </c>
      <c r="Z14" s="133"/>
      <c r="AA14" s="133">
        <v>4094</v>
      </c>
      <c r="AB14" s="49" t="e">
        <f t="shared" si="9"/>
        <v>#DIV/0!</v>
      </c>
      <c r="AC14" s="133">
        <f t="shared" si="10"/>
        <v>0</v>
      </c>
      <c r="AD14" s="133">
        <f t="shared" si="11"/>
        <v>7424</v>
      </c>
      <c r="AE14" s="49" t="e">
        <f t="shared" si="12"/>
        <v>#DIV/0!</v>
      </c>
      <c r="AF14" s="133"/>
      <c r="AG14" s="133"/>
      <c r="AH14" s="49" t="e">
        <f t="shared" si="13"/>
        <v>#DIV/0!</v>
      </c>
      <c r="AI14" s="133">
        <f t="shared" si="14"/>
        <v>0</v>
      </c>
      <c r="AJ14" s="133">
        <f t="shared" si="15"/>
        <v>7424</v>
      </c>
      <c r="AK14" s="49" t="e">
        <f t="shared" si="16"/>
        <v>#DIV/0!</v>
      </c>
      <c r="AL14" s="133"/>
      <c r="AM14" s="133">
        <v>17396</v>
      </c>
      <c r="AN14" s="49" t="e">
        <f t="shared" si="17"/>
        <v>#DIV/0!</v>
      </c>
      <c r="AO14" s="133">
        <f t="shared" si="18"/>
        <v>0</v>
      </c>
      <c r="AP14" s="133">
        <f t="shared" si="19"/>
        <v>24820</v>
      </c>
      <c r="AQ14" s="49" t="e">
        <f t="shared" si="20"/>
        <v>#DIV/0!</v>
      </c>
      <c r="AR14" s="133">
        <v>22632</v>
      </c>
      <c r="AS14" s="133"/>
      <c r="AT14" s="49">
        <f t="shared" si="21"/>
        <v>-1</v>
      </c>
      <c r="AU14" s="133">
        <f t="shared" si="22"/>
        <v>22632</v>
      </c>
      <c r="AV14" s="133">
        <f t="shared" si="23"/>
        <v>24820</v>
      </c>
      <c r="AW14" s="49">
        <f t="shared" si="24"/>
        <v>0.0966772711205373</v>
      </c>
      <c r="AX14" s="60"/>
      <c r="AY14" s="60"/>
      <c r="AZ14" s="49" t="e">
        <f t="shared" si="25"/>
        <v>#DIV/0!</v>
      </c>
      <c r="BA14" s="60">
        <f t="shared" si="26"/>
        <v>22632</v>
      </c>
      <c r="BB14" s="60">
        <f t="shared" si="27"/>
        <v>24820</v>
      </c>
      <c r="BC14" s="49">
        <f t="shared" si="28"/>
        <v>0.0966772711205373</v>
      </c>
      <c r="BD14" s="60">
        <v>5350</v>
      </c>
      <c r="BE14" s="192">
        <v>9401</v>
      </c>
      <c r="BF14" s="191">
        <v>18114</v>
      </c>
      <c r="BG14" s="133">
        <v>2688</v>
      </c>
      <c r="BH14" s="133">
        <v>58185</v>
      </c>
      <c r="BI14" s="159">
        <f t="shared" si="29"/>
        <v>0.413666666666667</v>
      </c>
      <c r="BJ14" s="133"/>
      <c r="BK14" s="133"/>
    </row>
    <row r="15" s="140" customFormat="1" spans="1:63">
      <c r="A15" s="186">
        <v>23</v>
      </c>
      <c r="B15" s="141" t="s">
        <v>27</v>
      </c>
      <c r="C15" s="141" t="s">
        <v>27</v>
      </c>
      <c r="D15" s="123" t="s">
        <v>184</v>
      </c>
      <c r="E15" s="126" t="s">
        <v>60</v>
      </c>
      <c r="F15" s="126" t="s">
        <v>60</v>
      </c>
      <c r="G15" s="126" t="s">
        <v>167</v>
      </c>
      <c r="H15" s="126" t="s">
        <v>185</v>
      </c>
      <c r="I15" s="126" t="s">
        <v>169</v>
      </c>
      <c r="J15" s="190">
        <v>3.2038</v>
      </c>
      <c r="K15" s="191"/>
      <c r="L15" s="191">
        <v>3778</v>
      </c>
      <c r="M15" s="49" t="e">
        <f t="shared" si="0"/>
        <v>#DIV/0!</v>
      </c>
      <c r="N15" s="133"/>
      <c r="O15" s="133"/>
      <c r="P15" s="49" t="e">
        <f t="shared" si="1"/>
        <v>#DIV/0!</v>
      </c>
      <c r="Q15" s="133">
        <f t="shared" si="2"/>
        <v>0</v>
      </c>
      <c r="R15" s="133">
        <f t="shared" si="3"/>
        <v>3778</v>
      </c>
      <c r="S15" s="49" t="e">
        <f t="shared" si="4"/>
        <v>#DIV/0!</v>
      </c>
      <c r="T15" s="60"/>
      <c r="U15" s="60"/>
      <c r="V15" s="49" t="e">
        <f t="shared" si="5"/>
        <v>#DIV/0!</v>
      </c>
      <c r="W15" s="60">
        <f t="shared" si="6"/>
        <v>0</v>
      </c>
      <c r="X15" s="60">
        <f t="shared" si="7"/>
        <v>3778</v>
      </c>
      <c r="Y15" s="49" t="e">
        <f t="shared" si="8"/>
        <v>#DIV/0!</v>
      </c>
      <c r="Z15" s="133"/>
      <c r="AA15" s="133"/>
      <c r="AB15" s="49" t="e">
        <f t="shared" si="9"/>
        <v>#DIV/0!</v>
      </c>
      <c r="AC15" s="133">
        <f t="shared" si="10"/>
        <v>0</v>
      </c>
      <c r="AD15" s="133">
        <f t="shared" si="11"/>
        <v>3778</v>
      </c>
      <c r="AE15" s="49" t="e">
        <f t="shared" si="12"/>
        <v>#DIV/0!</v>
      </c>
      <c r="AF15" s="133">
        <v>2594</v>
      </c>
      <c r="AG15" s="133"/>
      <c r="AH15" s="49">
        <f t="shared" si="13"/>
        <v>-1</v>
      </c>
      <c r="AI15" s="133">
        <f t="shared" si="14"/>
        <v>2594</v>
      </c>
      <c r="AJ15" s="133">
        <f t="shared" si="15"/>
        <v>3778</v>
      </c>
      <c r="AK15" s="49">
        <f t="shared" si="16"/>
        <v>0.456437933693138</v>
      </c>
      <c r="AL15" s="133"/>
      <c r="AM15" s="133"/>
      <c r="AN15" s="49" t="e">
        <f t="shared" si="17"/>
        <v>#DIV/0!</v>
      </c>
      <c r="AO15" s="133">
        <f t="shared" si="18"/>
        <v>2594</v>
      </c>
      <c r="AP15" s="133">
        <f t="shared" si="19"/>
        <v>3778</v>
      </c>
      <c r="AQ15" s="49">
        <f t="shared" si="20"/>
        <v>0.456437933693138</v>
      </c>
      <c r="AR15" s="133"/>
      <c r="AS15" s="133"/>
      <c r="AT15" s="49" t="e">
        <f t="shared" si="21"/>
        <v>#DIV/0!</v>
      </c>
      <c r="AU15" s="133">
        <f t="shared" si="22"/>
        <v>2594</v>
      </c>
      <c r="AV15" s="133">
        <f t="shared" si="23"/>
        <v>3778</v>
      </c>
      <c r="AW15" s="49">
        <f t="shared" si="24"/>
        <v>0.456437933693138</v>
      </c>
      <c r="AX15" s="60"/>
      <c r="AY15" s="60"/>
      <c r="AZ15" s="49" t="e">
        <f t="shared" si="25"/>
        <v>#DIV/0!</v>
      </c>
      <c r="BA15" s="60">
        <f t="shared" si="26"/>
        <v>2594</v>
      </c>
      <c r="BB15" s="60">
        <f t="shared" si="27"/>
        <v>3778</v>
      </c>
      <c r="BC15" s="49">
        <f t="shared" si="28"/>
        <v>0.456437933693138</v>
      </c>
      <c r="BD15" s="60"/>
      <c r="BE15" s="192"/>
      <c r="BF15" s="191">
        <v>10875</v>
      </c>
      <c r="BG15" s="133">
        <v>17745</v>
      </c>
      <c r="BH15" s="133">
        <v>31214</v>
      </c>
      <c r="BI15" s="159">
        <f t="shared" si="29"/>
        <v>0.117922467070354</v>
      </c>
      <c r="BJ15" s="133"/>
      <c r="BK15" s="133"/>
    </row>
    <row r="16" spans="1:63">
      <c r="A16" s="186">
        <v>28</v>
      </c>
      <c r="B16" s="141" t="s">
        <v>27</v>
      </c>
      <c r="C16" s="141" t="s">
        <v>27</v>
      </c>
      <c r="D16" s="123" t="s">
        <v>186</v>
      </c>
      <c r="E16" s="126" t="s">
        <v>60</v>
      </c>
      <c r="F16" s="126" t="s">
        <v>60</v>
      </c>
      <c r="G16" s="126" t="s">
        <v>167</v>
      </c>
      <c r="H16" s="126" t="s">
        <v>185</v>
      </c>
      <c r="I16" s="126" t="s">
        <v>169</v>
      </c>
      <c r="J16" s="190"/>
      <c r="K16" s="191">
        <v>6012</v>
      </c>
      <c r="L16" s="191"/>
      <c r="M16" s="49">
        <f t="shared" si="0"/>
        <v>-1</v>
      </c>
      <c r="N16" s="133"/>
      <c r="O16" s="133"/>
      <c r="P16" s="49" t="e">
        <f t="shared" si="1"/>
        <v>#DIV/0!</v>
      </c>
      <c r="Q16" s="133">
        <f t="shared" si="2"/>
        <v>6012</v>
      </c>
      <c r="R16" s="133">
        <f t="shared" si="3"/>
        <v>0</v>
      </c>
      <c r="S16" s="49">
        <f t="shared" si="4"/>
        <v>-1</v>
      </c>
      <c r="T16" s="60"/>
      <c r="U16" s="60">
        <v>4898</v>
      </c>
      <c r="V16" s="49" t="e">
        <f t="shared" si="5"/>
        <v>#DIV/0!</v>
      </c>
      <c r="W16" s="60">
        <f t="shared" si="6"/>
        <v>6012</v>
      </c>
      <c r="X16" s="60">
        <f t="shared" si="7"/>
        <v>4898</v>
      </c>
      <c r="Y16" s="49">
        <f t="shared" si="8"/>
        <v>-0.185296074517631</v>
      </c>
      <c r="Z16" s="133"/>
      <c r="AA16" s="133"/>
      <c r="AB16" s="49" t="e">
        <f t="shared" si="9"/>
        <v>#DIV/0!</v>
      </c>
      <c r="AC16" s="133">
        <f t="shared" si="10"/>
        <v>6012</v>
      </c>
      <c r="AD16" s="133">
        <f t="shared" si="11"/>
        <v>4898</v>
      </c>
      <c r="AE16" s="49">
        <f t="shared" si="12"/>
        <v>-0.185296074517631</v>
      </c>
      <c r="AF16" s="133">
        <v>3076</v>
      </c>
      <c r="AG16" s="133"/>
      <c r="AH16" s="49">
        <f t="shared" si="13"/>
        <v>-1</v>
      </c>
      <c r="AI16" s="133">
        <f t="shared" si="14"/>
        <v>9088</v>
      </c>
      <c r="AJ16" s="133">
        <f t="shared" si="15"/>
        <v>4898</v>
      </c>
      <c r="AK16" s="49">
        <f t="shared" si="16"/>
        <v>-0.461047535211268</v>
      </c>
      <c r="AL16" s="133">
        <v>3076</v>
      </c>
      <c r="AM16" s="133"/>
      <c r="AN16" s="49">
        <f t="shared" si="17"/>
        <v>-1</v>
      </c>
      <c r="AO16" s="133">
        <f t="shared" si="18"/>
        <v>12164</v>
      </c>
      <c r="AP16" s="133">
        <f t="shared" si="19"/>
        <v>4898</v>
      </c>
      <c r="AQ16" s="49">
        <f t="shared" si="20"/>
        <v>-0.597336402499178</v>
      </c>
      <c r="AR16" s="133"/>
      <c r="AS16" s="133"/>
      <c r="AT16" s="49" t="e">
        <f t="shared" si="21"/>
        <v>#DIV/0!</v>
      </c>
      <c r="AU16" s="133">
        <f t="shared" si="22"/>
        <v>12164</v>
      </c>
      <c r="AV16" s="133">
        <f t="shared" si="23"/>
        <v>4898</v>
      </c>
      <c r="AW16" s="49">
        <f t="shared" si="24"/>
        <v>-0.597336402499178</v>
      </c>
      <c r="AX16" s="60"/>
      <c r="AY16" s="60"/>
      <c r="AZ16" s="49" t="e">
        <f t="shared" si="25"/>
        <v>#DIV/0!</v>
      </c>
      <c r="BA16" s="60">
        <f t="shared" si="26"/>
        <v>12164</v>
      </c>
      <c r="BB16" s="60">
        <f t="shared" si="27"/>
        <v>4898</v>
      </c>
      <c r="BC16" s="49">
        <f t="shared" si="28"/>
        <v>-0.597336402499178</v>
      </c>
      <c r="BD16" s="60"/>
      <c r="BE16" s="192"/>
      <c r="BF16" s="191"/>
      <c r="BG16" s="133"/>
      <c r="BH16" s="133">
        <v>12164</v>
      </c>
      <c r="BI16" s="159" t="e">
        <f t="shared" si="29"/>
        <v>#DIV/0!</v>
      </c>
      <c r="BJ16" s="133"/>
      <c r="BK16" s="133"/>
    </row>
    <row r="17" spans="1:63">
      <c r="A17" s="186">
        <v>30</v>
      </c>
      <c r="B17" s="141" t="s">
        <v>27</v>
      </c>
      <c r="C17" s="141" t="s">
        <v>27</v>
      </c>
      <c r="D17" s="123" t="s">
        <v>187</v>
      </c>
      <c r="E17" s="126" t="s">
        <v>87</v>
      </c>
      <c r="F17" s="126" t="s">
        <v>87</v>
      </c>
      <c r="G17" s="126" t="s">
        <v>167</v>
      </c>
      <c r="H17" s="276" t="s">
        <v>79</v>
      </c>
      <c r="I17" s="126" t="s">
        <v>87</v>
      </c>
      <c r="J17" s="190"/>
      <c r="K17" s="191">
        <v>63679.7</v>
      </c>
      <c r="L17" s="191">
        <v>24583</v>
      </c>
      <c r="M17" s="49">
        <f t="shared" si="0"/>
        <v>-0.613958608473344</v>
      </c>
      <c r="N17" s="133">
        <v>31724</v>
      </c>
      <c r="O17" s="133">
        <f>51707.42</f>
        <v>51707.42</v>
      </c>
      <c r="P17" s="49">
        <f t="shared" si="1"/>
        <v>0.629914890934308</v>
      </c>
      <c r="Q17" s="133">
        <f t="shared" si="2"/>
        <v>95403.7</v>
      </c>
      <c r="R17" s="133">
        <f t="shared" si="3"/>
        <v>76290.42</v>
      </c>
      <c r="S17" s="49">
        <f t="shared" si="4"/>
        <v>-0.2003410769184</v>
      </c>
      <c r="T17" s="60">
        <v>16191</v>
      </c>
      <c r="U17" s="60">
        <v>15078</v>
      </c>
      <c r="V17" s="49">
        <f t="shared" si="5"/>
        <v>-0.0687418936446174</v>
      </c>
      <c r="W17" s="60">
        <f t="shared" si="6"/>
        <v>111594.7</v>
      </c>
      <c r="X17" s="60">
        <f t="shared" si="7"/>
        <v>91368.42</v>
      </c>
      <c r="Y17" s="49">
        <f t="shared" si="8"/>
        <v>-0.181247675740873</v>
      </c>
      <c r="Z17" s="133">
        <v>75898.4</v>
      </c>
      <c r="AA17" s="133">
        <v>18492.96</v>
      </c>
      <c r="AB17" s="49">
        <f t="shared" si="9"/>
        <v>-0.756345851822963</v>
      </c>
      <c r="AC17" s="133">
        <f t="shared" si="10"/>
        <v>187493.1</v>
      </c>
      <c r="AD17" s="133">
        <f t="shared" si="11"/>
        <v>109861.38</v>
      </c>
      <c r="AE17" s="49">
        <f t="shared" si="12"/>
        <v>-0.414051077079637</v>
      </c>
      <c r="AF17" s="133">
        <v>15950</v>
      </c>
      <c r="AG17" s="133">
        <v>98516.3</v>
      </c>
      <c r="AH17" s="49">
        <f t="shared" si="13"/>
        <v>5.17657053291536</v>
      </c>
      <c r="AI17" s="133">
        <f t="shared" si="14"/>
        <v>203443.1</v>
      </c>
      <c r="AJ17" s="133">
        <f t="shared" si="15"/>
        <v>208377.68</v>
      </c>
      <c r="AK17" s="49">
        <f t="shared" si="16"/>
        <v>0.0242553323263359</v>
      </c>
      <c r="AL17" s="133">
        <v>24245.1</v>
      </c>
      <c r="AM17" s="133">
        <v>82673.2</v>
      </c>
      <c r="AN17" s="49">
        <f t="shared" si="17"/>
        <v>2.40989313304544</v>
      </c>
      <c r="AO17" s="133">
        <f t="shared" si="18"/>
        <v>227688.2</v>
      </c>
      <c r="AP17" s="133">
        <f t="shared" si="19"/>
        <v>291050.88</v>
      </c>
      <c r="AQ17" s="49">
        <f t="shared" si="20"/>
        <v>0.278287060989546</v>
      </c>
      <c r="AR17" s="133">
        <v>67901</v>
      </c>
      <c r="AS17" s="133">
        <v>89412</v>
      </c>
      <c r="AT17" s="49">
        <f t="shared" si="21"/>
        <v>0.316799458034491</v>
      </c>
      <c r="AU17" s="133">
        <f t="shared" si="22"/>
        <v>295589.2</v>
      </c>
      <c r="AV17" s="133">
        <f t="shared" si="23"/>
        <v>380462.88</v>
      </c>
      <c r="AW17" s="49">
        <f t="shared" si="24"/>
        <v>0.287133900697319</v>
      </c>
      <c r="AX17" s="60">
        <v>61701</v>
      </c>
      <c r="AY17" s="60">
        <v>67262.72</v>
      </c>
      <c r="AZ17" s="49">
        <f t="shared" si="25"/>
        <v>0.0901398680734511</v>
      </c>
      <c r="BA17" s="60">
        <f t="shared" si="26"/>
        <v>357290.2</v>
      </c>
      <c r="BB17" s="60">
        <f t="shared" si="27"/>
        <v>447725.6</v>
      </c>
      <c r="BC17" s="49">
        <f t="shared" si="28"/>
        <v>0.25311469500143</v>
      </c>
      <c r="BD17" s="60">
        <v>8251.56</v>
      </c>
      <c r="BE17" s="192">
        <v>119844</v>
      </c>
      <c r="BF17" s="191">
        <v>114637.78</v>
      </c>
      <c r="BG17" s="133">
        <v>130779.56</v>
      </c>
      <c r="BH17" s="133">
        <v>730803.1</v>
      </c>
      <c r="BI17" s="159" t="e">
        <f t="shared" si="29"/>
        <v>#DIV/0!</v>
      </c>
      <c r="BJ17" s="133"/>
      <c r="BK17" s="133"/>
    </row>
    <row r="18" spans="1:63">
      <c r="A18" s="186">
        <v>31</v>
      </c>
      <c r="B18" s="141" t="s">
        <v>27</v>
      </c>
      <c r="C18" s="141" t="s">
        <v>27</v>
      </c>
      <c r="D18" s="123" t="s">
        <v>188</v>
      </c>
      <c r="E18" s="126" t="s">
        <v>60</v>
      </c>
      <c r="F18" s="126" t="s">
        <v>60</v>
      </c>
      <c r="G18" s="276" t="s">
        <v>180</v>
      </c>
      <c r="H18" s="276" t="s">
        <v>180</v>
      </c>
      <c r="I18" s="133" t="s">
        <v>173</v>
      </c>
      <c r="J18" s="190">
        <v>3</v>
      </c>
      <c r="K18" s="191"/>
      <c r="L18" s="191"/>
      <c r="M18" s="49" t="e">
        <f t="shared" si="0"/>
        <v>#DIV/0!</v>
      </c>
      <c r="N18" s="133"/>
      <c r="O18" s="133"/>
      <c r="P18" s="49" t="e">
        <f t="shared" si="1"/>
        <v>#DIV/0!</v>
      </c>
      <c r="Q18" s="133">
        <f t="shared" si="2"/>
        <v>0</v>
      </c>
      <c r="R18" s="133">
        <f t="shared" si="3"/>
        <v>0</v>
      </c>
      <c r="S18" s="49" t="e">
        <f t="shared" si="4"/>
        <v>#DIV/0!</v>
      </c>
      <c r="T18" s="60"/>
      <c r="U18" s="60"/>
      <c r="V18" s="49" t="e">
        <f t="shared" si="5"/>
        <v>#DIV/0!</v>
      </c>
      <c r="W18" s="60">
        <f t="shared" si="6"/>
        <v>0</v>
      </c>
      <c r="X18" s="60">
        <f t="shared" si="7"/>
        <v>0</v>
      </c>
      <c r="Y18" s="49" t="e">
        <f t="shared" si="8"/>
        <v>#DIV/0!</v>
      </c>
      <c r="Z18" s="133"/>
      <c r="AA18" s="133"/>
      <c r="AB18" s="49" t="e">
        <f t="shared" si="9"/>
        <v>#DIV/0!</v>
      </c>
      <c r="AC18" s="133">
        <f t="shared" si="10"/>
        <v>0</v>
      </c>
      <c r="AD18" s="133">
        <f t="shared" si="11"/>
        <v>0</v>
      </c>
      <c r="AE18" s="49" t="e">
        <f t="shared" si="12"/>
        <v>#DIV/0!</v>
      </c>
      <c r="AF18" s="133">
        <v>12524</v>
      </c>
      <c r="AG18" s="133"/>
      <c r="AH18" s="49">
        <f t="shared" si="13"/>
        <v>-1</v>
      </c>
      <c r="AI18" s="133">
        <f t="shared" si="14"/>
        <v>12524</v>
      </c>
      <c r="AJ18" s="133">
        <f t="shared" si="15"/>
        <v>0</v>
      </c>
      <c r="AK18" s="49">
        <f t="shared" si="16"/>
        <v>-1</v>
      </c>
      <c r="AL18" s="133"/>
      <c r="AM18" s="133"/>
      <c r="AN18" s="49" t="e">
        <f t="shared" si="17"/>
        <v>#DIV/0!</v>
      </c>
      <c r="AO18" s="133">
        <f t="shared" si="18"/>
        <v>12524</v>
      </c>
      <c r="AP18" s="133">
        <f t="shared" si="19"/>
        <v>0</v>
      </c>
      <c r="AQ18" s="49">
        <f t="shared" si="20"/>
        <v>-1</v>
      </c>
      <c r="AR18" s="133"/>
      <c r="AS18" s="133"/>
      <c r="AT18" s="49" t="e">
        <f t="shared" si="21"/>
        <v>#DIV/0!</v>
      </c>
      <c r="AU18" s="133">
        <f t="shared" si="22"/>
        <v>12524</v>
      </c>
      <c r="AV18" s="133">
        <f t="shared" si="23"/>
        <v>0</v>
      </c>
      <c r="AW18" s="49">
        <f t="shared" si="24"/>
        <v>-1</v>
      </c>
      <c r="AX18" s="60"/>
      <c r="AY18" s="60"/>
      <c r="AZ18" s="49" t="e">
        <f t="shared" si="25"/>
        <v>#DIV/0!</v>
      </c>
      <c r="BA18" s="60">
        <f t="shared" si="26"/>
        <v>12524</v>
      </c>
      <c r="BB18" s="60">
        <f t="shared" si="27"/>
        <v>0</v>
      </c>
      <c r="BC18" s="49">
        <f t="shared" si="28"/>
        <v>-1</v>
      </c>
      <c r="BD18" s="60"/>
      <c r="BE18" s="192"/>
      <c r="BF18" s="191"/>
      <c r="BG18" s="133"/>
      <c r="BH18" s="133">
        <v>12524</v>
      </c>
      <c r="BI18" s="159">
        <f t="shared" si="29"/>
        <v>0</v>
      </c>
      <c r="BJ18" s="133"/>
      <c r="BK18" s="133"/>
    </row>
    <row r="19" spans="1:63">
      <c r="A19" s="186">
        <v>32</v>
      </c>
      <c r="B19" s="141" t="s">
        <v>27</v>
      </c>
      <c r="C19" s="141" t="s">
        <v>27</v>
      </c>
      <c r="D19" s="123" t="s">
        <v>189</v>
      </c>
      <c r="E19" s="126" t="s">
        <v>60</v>
      </c>
      <c r="F19" s="126" t="s">
        <v>60</v>
      </c>
      <c r="G19" s="126" t="s">
        <v>176</v>
      </c>
      <c r="H19" s="126" t="s">
        <v>176</v>
      </c>
      <c r="I19" s="126" t="s">
        <v>164</v>
      </c>
      <c r="J19" s="190">
        <v>1</v>
      </c>
      <c r="K19" s="191"/>
      <c r="L19" s="191"/>
      <c r="M19" s="49" t="e">
        <f t="shared" si="0"/>
        <v>#DIV/0!</v>
      </c>
      <c r="N19" s="133"/>
      <c r="O19" s="133"/>
      <c r="P19" s="49" t="e">
        <f t="shared" si="1"/>
        <v>#DIV/0!</v>
      </c>
      <c r="Q19" s="133">
        <f t="shared" si="2"/>
        <v>0</v>
      </c>
      <c r="R19" s="133">
        <f t="shared" si="3"/>
        <v>0</v>
      </c>
      <c r="S19" s="49" t="e">
        <f t="shared" si="4"/>
        <v>#DIV/0!</v>
      </c>
      <c r="T19" s="60"/>
      <c r="U19" s="60">
        <v>16948</v>
      </c>
      <c r="V19" s="49" t="e">
        <f t="shared" si="5"/>
        <v>#DIV/0!</v>
      </c>
      <c r="W19" s="60">
        <f t="shared" si="6"/>
        <v>0</v>
      </c>
      <c r="X19" s="60">
        <f t="shared" si="7"/>
        <v>16948</v>
      </c>
      <c r="Y19" s="49" t="e">
        <f t="shared" si="8"/>
        <v>#DIV/0!</v>
      </c>
      <c r="Z19" s="133"/>
      <c r="AA19" s="133"/>
      <c r="AB19" s="49" t="e">
        <f t="shared" si="9"/>
        <v>#DIV/0!</v>
      </c>
      <c r="AC19" s="133">
        <f t="shared" si="10"/>
        <v>0</v>
      </c>
      <c r="AD19" s="133">
        <f t="shared" si="11"/>
        <v>16948</v>
      </c>
      <c r="AE19" s="49" t="e">
        <f t="shared" si="12"/>
        <v>#DIV/0!</v>
      </c>
      <c r="AF19" s="133"/>
      <c r="AG19" s="133"/>
      <c r="AH19" s="49" t="e">
        <f t="shared" si="13"/>
        <v>#DIV/0!</v>
      </c>
      <c r="AI19" s="133">
        <f t="shared" si="14"/>
        <v>0</v>
      </c>
      <c r="AJ19" s="133">
        <f t="shared" si="15"/>
        <v>16948</v>
      </c>
      <c r="AK19" s="49" t="e">
        <f t="shared" si="16"/>
        <v>#DIV/0!</v>
      </c>
      <c r="AL19" s="133"/>
      <c r="AM19" s="133"/>
      <c r="AN19" s="49" t="e">
        <f t="shared" si="17"/>
        <v>#DIV/0!</v>
      </c>
      <c r="AO19" s="133">
        <f t="shared" si="18"/>
        <v>0</v>
      </c>
      <c r="AP19" s="133">
        <f t="shared" si="19"/>
        <v>16948</v>
      </c>
      <c r="AQ19" s="49" t="e">
        <f t="shared" si="20"/>
        <v>#DIV/0!</v>
      </c>
      <c r="AR19" s="133"/>
      <c r="AS19" s="133"/>
      <c r="AT19" s="49" t="e">
        <f t="shared" si="21"/>
        <v>#DIV/0!</v>
      </c>
      <c r="AU19" s="133">
        <f t="shared" si="22"/>
        <v>0</v>
      </c>
      <c r="AV19" s="133">
        <f t="shared" si="23"/>
        <v>16948</v>
      </c>
      <c r="AW19" s="49" t="e">
        <f t="shared" si="24"/>
        <v>#DIV/0!</v>
      </c>
      <c r="AX19" s="60"/>
      <c r="AY19" s="60"/>
      <c r="AZ19" s="49" t="e">
        <f t="shared" si="25"/>
        <v>#DIV/0!</v>
      </c>
      <c r="BA19" s="60">
        <f t="shared" si="26"/>
        <v>0</v>
      </c>
      <c r="BB19" s="60">
        <f t="shared" si="27"/>
        <v>16948</v>
      </c>
      <c r="BC19" s="49" t="e">
        <f t="shared" si="28"/>
        <v>#DIV/0!</v>
      </c>
      <c r="BD19" s="60">
        <v>5468</v>
      </c>
      <c r="BE19" s="192"/>
      <c r="BF19" s="191"/>
      <c r="BG19" s="133"/>
      <c r="BH19" s="133">
        <v>5468</v>
      </c>
      <c r="BI19" s="159">
        <f t="shared" si="29"/>
        <v>1.6948</v>
      </c>
      <c r="BJ19" s="133"/>
      <c r="BK19" s="133"/>
    </row>
    <row r="20" spans="1:63">
      <c r="A20" s="186">
        <v>34</v>
      </c>
      <c r="B20" s="141" t="s">
        <v>27</v>
      </c>
      <c r="C20" s="141" t="s">
        <v>27</v>
      </c>
      <c r="D20" s="123" t="s">
        <v>190</v>
      </c>
      <c r="E20" s="126" t="s">
        <v>101</v>
      </c>
      <c r="F20" s="126" t="s">
        <v>101</v>
      </c>
      <c r="G20" s="126" t="s">
        <v>167</v>
      </c>
      <c r="H20" s="126" t="s">
        <v>168</v>
      </c>
      <c r="I20" s="126" t="s">
        <v>169</v>
      </c>
      <c r="J20" s="190"/>
      <c r="K20" s="191">
        <v>18329</v>
      </c>
      <c r="L20" s="191"/>
      <c r="M20" s="49">
        <f t="shared" si="0"/>
        <v>-1</v>
      </c>
      <c r="N20" s="133"/>
      <c r="O20" s="133"/>
      <c r="P20" s="49" t="e">
        <f t="shared" si="1"/>
        <v>#DIV/0!</v>
      </c>
      <c r="Q20" s="133">
        <f t="shared" si="2"/>
        <v>18329</v>
      </c>
      <c r="R20" s="133">
        <f t="shared" si="3"/>
        <v>0</v>
      </c>
      <c r="S20" s="49">
        <f t="shared" si="4"/>
        <v>-1</v>
      </c>
      <c r="T20" s="60"/>
      <c r="U20" s="60"/>
      <c r="V20" s="49" t="e">
        <f t="shared" si="5"/>
        <v>#DIV/0!</v>
      </c>
      <c r="W20" s="60">
        <f t="shared" si="6"/>
        <v>18329</v>
      </c>
      <c r="X20" s="60">
        <f t="shared" si="7"/>
        <v>0</v>
      </c>
      <c r="Y20" s="49">
        <f t="shared" si="8"/>
        <v>-1</v>
      </c>
      <c r="Z20" s="133"/>
      <c r="AA20" s="133"/>
      <c r="AB20" s="49" t="e">
        <f t="shared" si="9"/>
        <v>#DIV/0!</v>
      </c>
      <c r="AC20" s="133">
        <f t="shared" si="10"/>
        <v>18329</v>
      </c>
      <c r="AD20" s="133">
        <f t="shared" si="11"/>
        <v>0</v>
      </c>
      <c r="AE20" s="49">
        <f t="shared" si="12"/>
        <v>-1</v>
      </c>
      <c r="AF20" s="133"/>
      <c r="AG20" s="133">
        <v>7953</v>
      </c>
      <c r="AH20" s="49" t="e">
        <f t="shared" si="13"/>
        <v>#DIV/0!</v>
      </c>
      <c r="AI20" s="133">
        <f t="shared" si="14"/>
        <v>18329</v>
      </c>
      <c r="AJ20" s="133">
        <f t="shared" si="15"/>
        <v>7953</v>
      </c>
      <c r="AK20" s="49">
        <f t="shared" si="16"/>
        <v>-0.566097441213378</v>
      </c>
      <c r="AL20" s="133"/>
      <c r="AM20" s="133"/>
      <c r="AN20" s="49" t="e">
        <f t="shared" si="17"/>
        <v>#DIV/0!</v>
      </c>
      <c r="AO20" s="133">
        <f t="shared" si="18"/>
        <v>18329</v>
      </c>
      <c r="AP20" s="133">
        <f t="shared" si="19"/>
        <v>7953</v>
      </c>
      <c r="AQ20" s="49">
        <f t="shared" si="20"/>
        <v>-0.566097441213378</v>
      </c>
      <c r="AR20" s="133"/>
      <c r="AS20" s="133"/>
      <c r="AT20" s="49" t="e">
        <f t="shared" si="21"/>
        <v>#DIV/0!</v>
      </c>
      <c r="AU20" s="133">
        <f t="shared" si="22"/>
        <v>18329</v>
      </c>
      <c r="AV20" s="133">
        <f t="shared" si="23"/>
        <v>7953</v>
      </c>
      <c r="AW20" s="49">
        <f t="shared" si="24"/>
        <v>-0.566097441213378</v>
      </c>
      <c r="AX20" s="60"/>
      <c r="AY20" s="60"/>
      <c r="AZ20" s="49" t="e">
        <f t="shared" si="25"/>
        <v>#DIV/0!</v>
      </c>
      <c r="BA20" s="60">
        <f t="shared" si="26"/>
        <v>18329</v>
      </c>
      <c r="BB20" s="60">
        <f t="shared" si="27"/>
        <v>7953</v>
      </c>
      <c r="BC20" s="49">
        <f t="shared" si="28"/>
        <v>-0.566097441213378</v>
      </c>
      <c r="BD20" s="60"/>
      <c r="BE20" s="192"/>
      <c r="BF20" s="191"/>
      <c r="BG20" s="133">
        <v>7600</v>
      </c>
      <c r="BH20" s="133">
        <v>25929</v>
      </c>
      <c r="BI20" s="159" t="e">
        <f t="shared" si="29"/>
        <v>#DIV/0!</v>
      </c>
      <c r="BJ20" s="133"/>
      <c r="BK20" s="133"/>
    </row>
    <row r="21" spans="1:63">
      <c r="A21" s="186">
        <v>35</v>
      </c>
      <c r="B21" s="141" t="s">
        <v>27</v>
      </c>
      <c r="C21" s="141" t="s">
        <v>27</v>
      </c>
      <c r="D21" s="123" t="s">
        <v>191</v>
      </c>
      <c r="E21" s="126" t="s">
        <v>101</v>
      </c>
      <c r="F21" s="126" t="s">
        <v>101</v>
      </c>
      <c r="G21" s="126" t="s">
        <v>167</v>
      </c>
      <c r="H21" s="126" t="s">
        <v>185</v>
      </c>
      <c r="I21" s="126" t="s">
        <v>169</v>
      </c>
      <c r="J21" s="190">
        <v>20</v>
      </c>
      <c r="K21" s="191"/>
      <c r="L21" s="191">
        <v>17233</v>
      </c>
      <c r="M21" s="49" t="e">
        <f t="shared" si="0"/>
        <v>#DIV/0!</v>
      </c>
      <c r="N21" s="133"/>
      <c r="O21" s="133">
        <v>12981</v>
      </c>
      <c r="P21" s="49" t="e">
        <f t="shared" si="1"/>
        <v>#DIV/0!</v>
      </c>
      <c r="Q21" s="133">
        <f t="shared" si="2"/>
        <v>0</v>
      </c>
      <c r="R21" s="133">
        <f t="shared" si="3"/>
        <v>30214</v>
      </c>
      <c r="S21" s="49" t="e">
        <f t="shared" si="4"/>
        <v>#DIV/0!</v>
      </c>
      <c r="T21" s="60">
        <v>124460</v>
      </c>
      <c r="U21" s="60">
        <v>7918.9</v>
      </c>
      <c r="V21" s="49">
        <f t="shared" si="5"/>
        <v>-0.936373935400932</v>
      </c>
      <c r="W21" s="60">
        <f t="shared" si="6"/>
        <v>124460</v>
      </c>
      <c r="X21" s="60">
        <f t="shared" si="7"/>
        <v>38132.9</v>
      </c>
      <c r="Y21" s="49">
        <f t="shared" si="8"/>
        <v>-0.693613209063153</v>
      </c>
      <c r="Z21" s="133">
        <v>29545</v>
      </c>
      <c r="AA21" s="133">
        <v>12020</v>
      </c>
      <c r="AB21" s="49">
        <f t="shared" si="9"/>
        <v>-0.593162971738027</v>
      </c>
      <c r="AC21" s="133">
        <f t="shared" si="10"/>
        <v>154005</v>
      </c>
      <c r="AD21" s="133">
        <f t="shared" si="11"/>
        <v>50152.9</v>
      </c>
      <c r="AE21" s="49">
        <f t="shared" si="12"/>
        <v>-0.674342391480796</v>
      </c>
      <c r="AF21" s="133">
        <v>24819.5</v>
      </c>
      <c r="AG21" s="133">
        <v>50830.5</v>
      </c>
      <c r="AH21" s="49">
        <f t="shared" si="13"/>
        <v>1.04800660770765</v>
      </c>
      <c r="AI21" s="133">
        <f t="shared" si="14"/>
        <v>178824.5</v>
      </c>
      <c r="AJ21" s="133">
        <f t="shared" si="15"/>
        <v>100983.4</v>
      </c>
      <c r="AK21" s="49">
        <f t="shared" si="16"/>
        <v>-0.435293262388543</v>
      </c>
      <c r="AL21" s="133">
        <v>96470.5</v>
      </c>
      <c r="AM21" s="133">
        <v>38001.3</v>
      </c>
      <c r="AN21" s="49">
        <f t="shared" si="17"/>
        <v>-0.606083725076578</v>
      </c>
      <c r="AO21" s="133">
        <f t="shared" si="18"/>
        <v>275295</v>
      </c>
      <c r="AP21" s="133">
        <f t="shared" si="19"/>
        <v>138984.7</v>
      </c>
      <c r="AQ21" s="49">
        <f t="shared" si="20"/>
        <v>-0.49514266514103</v>
      </c>
      <c r="AR21" s="133">
        <v>8402</v>
      </c>
      <c r="AS21" s="133">
        <v>20727</v>
      </c>
      <c r="AT21" s="49">
        <f t="shared" si="21"/>
        <v>1.46691263984766</v>
      </c>
      <c r="AU21" s="133">
        <f t="shared" si="22"/>
        <v>283697</v>
      </c>
      <c r="AV21" s="133">
        <f t="shared" si="23"/>
        <v>159711.7</v>
      </c>
      <c r="AW21" s="49">
        <f t="shared" si="24"/>
        <v>-0.437034230182201</v>
      </c>
      <c r="AX21" s="60">
        <v>19946.5</v>
      </c>
      <c r="AY21" s="60">
        <v>11805</v>
      </c>
      <c r="AZ21" s="49">
        <f t="shared" si="25"/>
        <v>-0.40816684631389</v>
      </c>
      <c r="BA21" s="60">
        <f t="shared" si="26"/>
        <v>303643.5</v>
      </c>
      <c r="BB21" s="60">
        <f t="shared" si="27"/>
        <v>171516.7</v>
      </c>
      <c r="BC21" s="49">
        <f t="shared" si="28"/>
        <v>-0.435137916668725</v>
      </c>
      <c r="BD21" s="60">
        <v>8356</v>
      </c>
      <c r="BE21" s="192">
        <v>6307</v>
      </c>
      <c r="BF21" s="191">
        <v>7246</v>
      </c>
      <c r="BG21" s="133">
        <v>67344.7</v>
      </c>
      <c r="BH21" s="133">
        <v>392897.2</v>
      </c>
      <c r="BI21" s="159">
        <f t="shared" si="29"/>
        <v>0.8575835</v>
      </c>
      <c r="BJ21" s="133"/>
      <c r="BK21" s="133"/>
    </row>
    <row r="22" spans="1:63">
      <c r="A22" s="186">
        <v>38</v>
      </c>
      <c r="B22" s="141" t="s">
        <v>27</v>
      </c>
      <c r="C22" s="141" t="s">
        <v>27</v>
      </c>
      <c r="D22" s="123" t="s">
        <v>192</v>
      </c>
      <c r="E22" s="126" t="s">
        <v>101</v>
      </c>
      <c r="F22" s="126" t="s">
        <v>101</v>
      </c>
      <c r="G22" s="276" t="s">
        <v>182</v>
      </c>
      <c r="H22" s="276" t="s">
        <v>182</v>
      </c>
      <c r="I22" s="133" t="s">
        <v>173</v>
      </c>
      <c r="J22" s="190">
        <v>10</v>
      </c>
      <c r="K22" s="191"/>
      <c r="L22" s="191"/>
      <c r="M22" s="49" t="e">
        <f t="shared" si="0"/>
        <v>#DIV/0!</v>
      </c>
      <c r="N22" s="133"/>
      <c r="O22" s="133"/>
      <c r="P22" s="49" t="e">
        <f t="shared" si="1"/>
        <v>#DIV/0!</v>
      </c>
      <c r="Q22" s="133">
        <f t="shared" si="2"/>
        <v>0</v>
      </c>
      <c r="R22" s="133">
        <f t="shared" si="3"/>
        <v>0</v>
      </c>
      <c r="S22" s="49" t="e">
        <f t="shared" si="4"/>
        <v>#DIV/0!</v>
      </c>
      <c r="T22" s="60">
        <v>21714</v>
      </c>
      <c r="U22" s="60"/>
      <c r="V22" s="49">
        <f t="shared" si="5"/>
        <v>-1</v>
      </c>
      <c r="W22" s="60">
        <f t="shared" si="6"/>
        <v>21714</v>
      </c>
      <c r="X22" s="60">
        <f t="shared" si="7"/>
        <v>0</v>
      </c>
      <c r="Y22" s="49">
        <f t="shared" si="8"/>
        <v>-1</v>
      </c>
      <c r="Z22" s="133"/>
      <c r="AA22" s="133"/>
      <c r="AB22" s="49" t="e">
        <f t="shared" si="9"/>
        <v>#DIV/0!</v>
      </c>
      <c r="AC22" s="133">
        <f t="shared" si="10"/>
        <v>21714</v>
      </c>
      <c r="AD22" s="133">
        <f t="shared" si="11"/>
        <v>0</v>
      </c>
      <c r="AE22" s="49">
        <f t="shared" si="12"/>
        <v>-1</v>
      </c>
      <c r="AF22" s="133"/>
      <c r="AG22" s="133"/>
      <c r="AH22" s="49" t="e">
        <f t="shared" si="13"/>
        <v>#DIV/0!</v>
      </c>
      <c r="AI22" s="133">
        <f t="shared" si="14"/>
        <v>21714</v>
      </c>
      <c r="AJ22" s="133">
        <f t="shared" si="15"/>
        <v>0</v>
      </c>
      <c r="AK22" s="49">
        <f t="shared" si="16"/>
        <v>-1</v>
      </c>
      <c r="AL22" s="133"/>
      <c r="AM22" s="133"/>
      <c r="AN22" s="49" t="e">
        <f t="shared" si="17"/>
        <v>#DIV/0!</v>
      </c>
      <c r="AO22" s="133">
        <f t="shared" si="18"/>
        <v>21714</v>
      </c>
      <c r="AP22" s="133">
        <f t="shared" si="19"/>
        <v>0</v>
      </c>
      <c r="AQ22" s="49">
        <f t="shared" si="20"/>
        <v>-1</v>
      </c>
      <c r="AR22" s="133"/>
      <c r="AS22" s="133"/>
      <c r="AT22" s="49" t="e">
        <f t="shared" si="21"/>
        <v>#DIV/0!</v>
      </c>
      <c r="AU22" s="133">
        <f t="shared" si="22"/>
        <v>21714</v>
      </c>
      <c r="AV22" s="133">
        <f t="shared" si="23"/>
        <v>0</v>
      </c>
      <c r="AW22" s="49">
        <f t="shared" si="24"/>
        <v>-1</v>
      </c>
      <c r="AX22" s="60"/>
      <c r="AY22" s="60"/>
      <c r="AZ22" s="49" t="e">
        <f t="shared" si="25"/>
        <v>#DIV/0!</v>
      </c>
      <c r="BA22" s="60">
        <f t="shared" si="26"/>
        <v>21714</v>
      </c>
      <c r="BB22" s="60">
        <f t="shared" si="27"/>
        <v>0</v>
      </c>
      <c r="BC22" s="49">
        <f t="shared" si="28"/>
        <v>-1</v>
      </c>
      <c r="BD22" s="60">
        <v>8915</v>
      </c>
      <c r="BE22" s="192">
        <v>17830</v>
      </c>
      <c r="BF22" s="191"/>
      <c r="BG22" s="133"/>
      <c r="BH22" s="133">
        <v>48459</v>
      </c>
      <c r="BI22" s="159">
        <f t="shared" si="29"/>
        <v>0</v>
      </c>
      <c r="BJ22" s="133"/>
      <c r="BK22" s="133"/>
    </row>
    <row r="23" spans="1:63">
      <c r="A23" s="186">
        <v>40</v>
      </c>
      <c r="B23" s="141" t="s">
        <v>27</v>
      </c>
      <c r="C23" s="141" t="s">
        <v>27</v>
      </c>
      <c r="D23" s="123" t="s">
        <v>193</v>
      </c>
      <c r="E23" s="126" t="s">
        <v>60</v>
      </c>
      <c r="F23" s="126" t="s">
        <v>60</v>
      </c>
      <c r="G23" s="126" t="s">
        <v>163</v>
      </c>
      <c r="H23" s="126" t="s">
        <v>163</v>
      </c>
      <c r="I23" s="126" t="s">
        <v>164</v>
      </c>
      <c r="J23" s="190"/>
      <c r="K23" s="191"/>
      <c r="L23" s="191"/>
      <c r="M23" s="49" t="e">
        <f t="shared" si="0"/>
        <v>#DIV/0!</v>
      </c>
      <c r="N23" s="133"/>
      <c r="O23" s="133"/>
      <c r="P23" s="49" t="e">
        <f t="shared" si="1"/>
        <v>#DIV/0!</v>
      </c>
      <c r="Q23" s="133">
        <f t="shared" si="2"/>
        <v>0</v>
      </c>
      <c r="R23" s="133">
        <f t="shared" si="3"/>
        <v>0</v>
      </c>
      <c r="S23" s="49" t="e">
        <f t="shared" si="4"/>
        <v>#DIV/0!</v>
      </c>
      <c r="T23" s="60"/>
      <c r="U23" s="60"/>
      <c r="V23" s="49" t="e">
        <f t="shared" si="5"/>
        <v>#DIV/0!</v>
      </c>
      <c r="W23" s="60">
        <f t="shared" si="6"/>
        <v>0</v>
      </c>
      <c r="X23" s="60">
        <f t="shared" si="7"/>
        <v>0</v>
      </c>
      <c r="Y23" s="49" t="e">
        <f t="shared" si="8"/>
        <v>#DIV/0!</v>
      </c>
      <c r="Z23" s="133"/>
      <c r="AA23" s="133"/>
      <c r="AB23" s="49" t="e">
        <f t="shared" si="9"/>
        <v>#DIV/0!</v>
      </c>
      <c r="AC23" s="133">
        <f t="shared" si="10"/>
        <v>0</v>
      </c>
      <c r="AD23" s="133">
        <f t="shared" si="11"/>
        <v>0</v>
      </c>
      <c r="AE23" s="49" t="e">
        <f t="shared" si="12"/>
        <v>#DIV/0!</v>
      </c>
      <c r="AF23" s="133"/>
      <c r="AG23" s="133"/>
      <c r="AH23" s="49" t="e">
        <f t="shared" si="13"/>
        <v>#DIV/0!</v>
      </c>
      <c r="AI23" s="133">
        <f t="shared" si="14"/>
        <v>0</v>
      </c>
      <c r="AJ23" s="133">
        <f t="shared" si="15"/>
        <v>0</v>
      </c>
      <c r="AK23" s="49" t="e">
        <f t="shared" si="16"/>
        <v>#DIV/0!</v>
      </c>
      <c r="AL23" s="133"/>
      <c r="AM23" s="133"/>
      <c r="AN23" s="49" t="e">
        <f t="shared" si="17"/>
        <v>#DIV/0!</v>
      </c>
      <c r="AO23" s="133">
        <f t="shared" si="18"/>
        <v>0</v>
      </c>
      <c r="AP23" s="133">
        <f t="shared" si="19"/>
        <v>0</v>
      </c>
      <c r="AQ23" s="49" t="e">
        <f t="shared" si="20"/>
        <v>#DIV/0!</v>
      </c>
      <c r="AR23" s="133"/>
      <c r="AS23" s="133"/>
      <c r="AT23" s="49" t="e">
        <f t="shared" si="21"/>
        <v>#DIV/0!</v>
      </c>
      <c r="AU23" s="133">
        <f t="shared" si="22"/>
        <v>0</v>
      </c>
      <c r="AV23" s="133">
        <f t="shared" si="23"/>
        <v>0</v>
      </c>
      <c r="AW23" s="49" t="e">
        <f t="shared" si="24"/>
        <v>#DIV/0!</v>
      </c>
      <c r="AX23" s="60"/>
      <c r="AY23" s="60">
        <v>3899</v>
      </c>
      <c r="AZ23" s="49" t="e">
        <f t="shared" si="25"/>
        <v>#DIV/0!</v>
      </c>
      <c r="BA23" s="60">
        <f t="shared" si="26"/>
        <v>0</v>
      </c>
      <c r="BB23" s="60">
        <f t="shared" si="27"/>
        <v>3899</v>
      </c>
      <c r="BC23" s="49" t="e">
        <f t="shared" si="28"/>
        <v>#DIV/0!</v>
      </c>
      <c r="BD23" s="60"/>
      <c r="BE23" s="192"/>
      <c r="BF23" s="191">
        <v>3869</v>
      </c>
      <c r="BG23" s="133">
        <v>2691</v>
      </c>
      <c r="BH23" s="133">
        <v>6560</v>
      </c>
      <c r="BI23" s="159" t="e">
        <f t="shared" si="29"/>
        <v>#DIV/0!</v>
      </c>
      <c r="BJ23" s="133"/>
      <c r="BK23" s="133"/>
    </row>
    <row r="24" spans="1:63">
      <c r="A24" s="186">
        <v>44</v>
      </c>
      <c r="B24" s="141" t="s">
        <v>27</v>
      </c>
      <c r="C24" s="141" t="s">
        <v>27</v>
      </c>
      <c r="D24" s="123" t="s">
        <v>194</v>
      </c>
      <c r="E24" s="126" t="s">
        <v>60</v>
      </c>
      <c r="F24" s="126" t="s">
        <v>60</v>
      </c>
      <c r="G24" s="126" t="s">
        <v>176</v>
      </c>
      <c r="H24" s="126" t="s">
        <v>176</v>
      </c>
      <c r="I24" s="126" t="s">
        <v>164</v>
      </c>
      <c r="J24" s="190">
        <v>10</v>
      </c>
      <c r="K24" s="191">
        <v>12044</v>
      </c>
      <c r="L24" s="191">
        <v>6050</v>
      </c>
      <c r="M24" s="49">
        <f t="shared" si="0"/>
        <v>-0.497675190966456</v>
      </c>
      <c r="N24" s="133">
        <v>10316</v>
      </c>
      <c r="O24" s="133">
        <v>3090</v>
      </c>
      <c r="P24" s="49">
        <f t="shared" si="1"/>
        <v>-0.700465296626599</v>
      </c>
      <c r="Q24" s="133">
        <f t="shared" si="2"/>
        <v>22360</v>
      </c>
      <c r="R24" s="133">
        <f t="shared" si="3"/>
        <v>9140</v>
      </c>
      <c r="S24" s="49">
        <f t="shared" si="4"/>
        <v>-0.591234347048301</v>
      </c>
      <c r="T24" s="60">
        <v>7072</v>
      </c>
      <c r="U24" s="60">
        <v>4140</v>
      </c>
      <c r="V24" s="49">
        <f t="shared" si="5"/>
        <v>-0.414592760180995</v>
      </c>
      <c r="W24" s="60">
        <f t="shared" si="6"/>
        <v>29432</v>
      </c>
      <c r="X24" s="60">
        <f t="shared" si="7"/>
        <v>13280</v>
      </c>
      <c r="Y24" s="49">
        <f t="shared" si="8"/>
        <v>-0.548790432182658</v>
      </c>
      <c r="Z24" s="133">
        <v>31886</v>
      </c>
      <c r="AA24" s="133">
        <v>6935</v>
      </c>
      <c r="AB24" s="49">
        <f t="shared" si="9"/>
        <v>-0.782506429153861</v>
      </c>
      <c r="AC24" s="133">
        <f t="shared" si="10"/>
        <v>61318</v>
      </c>
      <c r="AD24" s="133">
        <f t="shared" si="11"/>
        <v>20215</v>
      </c>
      <c r="AE24" s="49">
        <f t="shared" si="12"/>
        <v>-0.67032518999315</v>
      </c>
      <c r="AF24" s="133">
        <v>1760</v>
      </c>
      <c r="AG24" s="133">
        <v>2212</v>
      </c>
      <c r="AH24" s="49">
        <f t="shared" si="13"/>
        <v>0.256818181818182</v>
      </c>
      <c r="AI24" s="133">
        <f t="shared" si="14"/>
        <v>63078</v>
      </c>
      <c r="AJ24" s="133">
        <f t="shared" si="15"/>
        <v>22427</v>
      </c>
      <c r="AK24" s="49">
        <f t="shared" si="16"/>
        <v>-0.644456070262215</v>
      </c>
      <c r="AL24" s="133">
        <v>2992</v>
      </c>
      <c r="AM24" s="133"/>
      <c r="AN24" s="49">
        <f t="shared" si="17"/>
        <v>-1</v>
      </c>
      <c r="AO24" s="133">
        <f t="shared" si="18"/>
        <v>66070</v>
      </c>
      <c r="AP24" s="133">
        <f t="shared" si="19"/>
        <v>22427</v>
      </c>
      <c r="AQ24" s="49">
        <f t="shared" si="20"/>
        <v>-0.660556985015892</v>
      </c>
      <c r="AR24" s="133"/>
      <c r="AS24" s="133"/>
      <c r="AT24" s="49" t="e">
        <f t="shared" si="21"/>
        <v>#DIV/0!</v>
      </c>
      <c r="AU24" s="133">
        <f t="shared" si="22"/>
        <v>66070</v>
      </c>
      <c r="AV24" s="133">
        <f t="shared" si="23"/>
        <v>22427</v>
      </c>
      <c r="AW24" s="49">
        <f t="shared" si="24"/>
        <v>-0.660556985015892</v>
      </c>
      <c r="AX24" s="60"/>
      <c r="AY24" s="60">
        <v>4139</v>
      </c>
      <c r="AZ24" s="49" t="e">
        <f t="shared" si="25"/>
        <v>#DIV/0!</v>
      </c>
      <c r="BA24" s="60">
        <f t="shared" si="26"/>
        <v>66070</v>
      </c>
      <c r="BB24" s="60">
        <f t="shared" si="27"/>
        <v>26566</v>
      </c>
      <c r="BC24" s="49">
        <f t="shared" si="28"/>
        <v>-0.597911306190404</v>
      </c>
      <c r="BD24" s="60"/>
      <c r="BE24" s="192"/>
      <c r="BF24" s="191">
        <v>11104</v>
      </c>
      <c r="BG24" s="133">
        <v>15855</v>
      </c>
      <c r="BH24" s="133">
        <v>93029</v>
      </c>
      <c r="BI24" s="159">
        <f t="shared" si="29"/>
        <v>0.26566</v>
      </c>
      <c r="BJ24" s="133"/>
      <c r="BK24" s="133"/>
    </row>
    <row r="25" spans="1:63">
      <c r="A25" s="186">
        <v>45</v>
      </c>
      <c r="B25" s="141" t="s">
        <v>27</v>
      </c>
      <c r="C25" s="141" t="s">
        <v>27</v>
      </c>
      <c r="D25" s="123" t="s">
        <v>195</v>
      </c>
      <c r="E25" s="126" t="s">
        <v>60</v>
      </c>
      <c r="F25" s="126" t="s">
        <v>55</v>
      </c>
      <c r="G25" s="126" t="s">
        <v>176</v>
      </c>
      <c r="H25" s="126" t="s">
        <v>176</v>
      </c>
      <c r="I25" s="126" t="s">
        <v>164</v>
      </c>
      <c r="J25" s="190"/>
      <c r="K25" s="191">
        <v>60000</v>
      </c>
      <c r="L25" s="191">
        <f>151700+20000</f>
        <v>171700</v>
      </c>
      <c r="M25" s="49">
        <f t="shared" si="0"/>
        <v>1.86166666666667</v>
      </c>
      <c r="N25" s="133">
        <v>50000</v>
      </c>
      <c r="O25" s="133">
        <v>101000</v>
      </c>
      <c r="P25" s="49">
        <f t="shared" si="1"/>
        <v>1.02</v>
      </c>
      <c r="Q25" s="133">
        <f t="shared" si="2"/>
        <v>110000</v>
      </c>
      <c r="R25" s="133">
        <f t="shared" si="3"/>
        <v>272700</v>
      </c>
      <c r="S25" s="49">
        <f t="shared" si="4"/>
        <v>1.47909090909091</v>
      </c>
      <c r="T25" s="60">
        <v>30000</v>
      </c>
      <c r="U25" s="60">
        <v>97000</v>
      </c>
      <c r="V25" s="49">
        <f t="shared" si="5"/>
        <v>2.23333333333333</v>
      </c>
      <c r="W25" s="60">
        <f t="shared" si="6"/>
        <v>140000</v>
      </c>
      <c r="X25" s="60">
        <f t="shared" si="7"/>
        <v>369700</v>
      </c>
      <c r="Y25" s="49">
        <f t="shared" si="8"/>
        <v>1.64071428571429</v>
      </c>
      <c r="Z25" s="133">
        <v>170000</v>
      </c>
      <c r="AA25" s="133">
        <v>80000</v>
      </c>
      <c r="AB25" s="49">
        <f t="shared" si="9"/>
        <v>-0.529411764705882</v>
      </c>
      <c r="AC25" s="133">
        <f t="shared" si="10"/>
        <v>310000</v>
      </c>
      <c r="AD25" s="133">
        <f t="shared" si="11"/>
        <v>449700</v>
      </c>
      <c r="AE25" s="49">
        <f t="shared" si="12"/>
        <v>0.450645161290323</v>
      </c>
      <c r="AF25" s="133">
        <v>60000</v>
      </c>
      <c r="AG25" s="133">
        <v>60000</v>
      </c>
      <c r="AH25" s="49">
        <f t="shared" si="13"/>
        <v>0</v>
      </c>
      <c r="AI25" s="133">
        <f t="shared" si="14"/>
        <v>370000</v>
      </c>
      <c r="AJ25" s="133">
        <f t="shared" si="15"/>
        <v>509700</v>
      </c>
      <c r="AK25" s="49">
        <f t="shared" si="16"/>
        <v>0.377567567567568</v>
      </c>
      <c r="AL25" s="133">
        <v>140000</v>
      </c>
      <c r="AM25" s="133">
        <v>110000</v>
      </c>
      <c r="AN25" s="49">
        <f t="shared" si="17"/>
        <v>-0.214285714285714</v>
      </c>
      <c r="AO25" s="133">
        <f t="shared" si="18"/>
        <v>510000</v>
      </c>
      <c r="AP25" s="133">
        <f t="shared" si="19"/>
        <v>619700</v>
      </c>
      <c r="AQ25" s="49">
        <f t="shared" si="20"/>
        <v>0.215098039215686</v>
      </c>
      <c r="AR25" s="133">
        <v>60000</v>
      </c>
      <c r="AS25" s="133">
        <v>90000</v>
      </c>
      <c r="AT25" s="49">
        <f t="shared" si="21"/>
        <v>0.5</v>
      </c>
      <c r="AU25" s="133">
        <f t="shared" si="22"/>
        <v>570000</v>
      </c>
      <c r="AV25" s="133">
        <f t="shared" si="23"/>
        <v>709700</v>
      </c>
      <c r="AW25" s="49">
        <f t="shared" si="24"/>
        <v>0.245087719298246</v>
      </c>
      <c r="AX25" s="60">
        <v>85000</v>
      </c>
      <c r="AY25" s="60">
        <v>195000</v>
      </c>
      <c r="AZ25" s="49">
        <f t="shared" si="25"/>
        <v>1.29411764705882</v>
      </c>
      <c r="BA25" s="60">
        <f t="shared" si="26"/>
        <v>655000</v>
      </c>
      <c r="BB25" s="60">
        <f t="shared" si="27"/>
        <v>904700</v>
      </c>
      <c r="BC25" s="49">
        <f t="shared" si="28"/>
        <v>0.381221374045801</v>
      </c>
      <c r="BD25" s="60">
        <v>24000</v>
      </c>
      <c r="BE25" s="192">
        <v>50000</v>
      </c>
      <c r="BF25" s="191">
        <v>300000</v>
      </c>
      <c r="BG25" s="133">
        <v>220000</v>
      </c>
      <c r="BH25" s="133">
        <v>1249000</v>
      </c>
      <c r="BI25" s="159" t="e">
        <f t="shared" si="29"/>
        <v>#DIV/0!</v>
      </c>
      <c r="BJ25" s="133"/>
      <c r="BK25" s="133">
        <v>20000</v>
      </c>
    </row>
    <row r="26" spans="1:63">
      <c r="A26" s="186">
        <v>46</v>
      </c>
      <c r="B26" s="141" t="s">
        <v>27</v>
      </c>
      <c r="C26" s="141" t="s">
        <v>27</v>
      </c>
      <c r="D26" s="123" t="s">
        <v>196</v>
      </c>
      <c r="E26" s="126" t="s">
        <v>60</v>
      </c>
      <c r="F26" s="126" t="s">
        <v>60</v>
      </c>
      <c r="G26" s="126" t="s">
        <v>176</v>
      </c>
      <c r="H26" s="126" t="s">
        <v>176</v>
      </c>
      <c r="I26" s="126" t="s">
        <v>164</v>
      </c>
      <c r="J26" s="190">
        <v>0</v>
      </c>
      <c r="K26" s="191">
        <v>3332</v>
      </c>
      <c r="L26" s="191"/>
      <c r="M26" s="49">
        <f t="shared" si="0"/>
        <v>-1</v>
      </c>
      <c r="N26" s="133">
        <v>11794</v>
      </c>
      <c r="O26" s="133"/>
      <c r="P26" s="49">
        <f t="shared" si="1"/>
        <v>-1</v>
      </c>
      <c r="Q26" s="133">
        <f t="shared" si="2"/>
        <v>15126</v>
      </c>
      <c r="R26" s="133">
        <f t="shared" si="3"/>
        <v>0</v>
      </c>
      <c r="S26" s="49">
        <f t="shared" si="4"/>
        <v>-1</v>
      </c>
      <c r="T26" s="60">
        <v>4371</v>
      </c>
      <c r="U26" s="60"/>
      <c r="V26" s="49">
        <f t="shared" si="5"/>
        <v>-1</v>
      </c>
      <c r="W26" s="60">
        <f t="shared" si="6"/>
        <v>19497</v>
      </c>
      <c r="X26" s="60">
        <f t="shared" si="7"/>
        <v>0</v>
      </c>
      <c r="Y26" s="49">
        <f t="shared" si="8"/>
        <v>-1</v>
      </c>
      <c r="Z26" s="133">
        <v>3765</v>
      </c>
      <c r="AA26" s="133"/>
      <c r="AB26" s="49">
        <f t="shared" si="9"/>
        <v>-1</v>
      </c>
      <c r="AC26" s="133">
        <f t="shared" si="10"/>
        <v>23262</v>
      </c>
      <c r="AD26" s="133">
        <f t="shared" si="11"/>
        <v>0</v>
      </c>
      <c r="AE26" s="49">
        <f t="shared" si="12"/>
        <v>-1</v>
      </c>
      <c r="AF26" s="133">
        <v>1887</v>
      </c>
      <c r="AG26" s="133"/>
      <c r="AH26" s="49">
        <f t="shared" si="13"/>
        <v>-1</v>
      </c>
      <c r="AI26" s="133">
        <f t="shared" si="14"/>
        <v>25149</v>
      </c>
      <c r="AJ26" s="133">
        <f t="shared" si="15"/>
        <v>0</v>
      </c>
      <c r="AK26" s="49">
        <f t="shared" si="16"/>
        <v>-1</v>
      </c>
      <c r="AL26" s="133"/>
      <c r="AM26" s="133"/>
      <c r="AN26" s="49" t="e">
        <f t="shared" si="17"/>
        <v>#DIV/0!</v>
      </c>
      <c r="AO26" s="133">
        <f t="shared" si="18"/>
        <v>25149</v>
      </c>
      <c r="AP26" s="133">
        <f t="shared" si="19"/>
        <v>0</v>
      </c>
      <c r="AQ26" s="49">
        <f t="shared" si="20"/>
        <v>-1</v>
      </c>
      <c r="AR26" s="133"/>
      <c r="AS26" s="133"/>
      <c r="AT26" s="49" t="e">
        <f t="shared" si="21"/>
        <v>#DIV/0!</v>
      </c>
      <c r="AU26" s="133">
        <f t="shared" si="22"/>
        <v>25149</v>
      </c>
      <c r="AV26" s="133">
        <f t="shared" si="23"/>
        <v>0</v>
      </c>
      <c r="AW26" s="49">
        <f t="shared" si="24"/>
        <v>-1</v>
      </c>
      <c r="AX26" s="60"/>
      <c r="AY26" s="60"/>
      <c r="AZ26" s="49" t="e">
        <f t="shared" si="25"/>
        <v>#DIV/0!</v>
      </c>
      <c r="BA26" s="60">
        <f t="shared" si="26"/>
        <v>25149</v>
      </c>
      <c r="BB26" s="60">
        <f t="shared" si="27"/>
        <v>0</v>
      </c>
      <c r="BC26" s="49">
        <f t="shared" si="28"/>
        <v>-1</v>
      </c>
      <c r="BD26" s="60"/>
      <c r="BE26" s="192"/>
      <c r="BF26" s="191"/>
      <c r="BG26" s="133"/>
      <c r="BH26" s="133">
        <v>25149</v>
      </c>
      <c r="BI26" s="159" t="e">
        <f t="shared" si="29"/>
        <v>#DIV/0!</v>
      </c>
      <c r="BJ26" s="133"/>
      <c r="BK26" s="133"/>
    </row>
    <row r="27" spans="1:63">
      <c r="A27" s="186">
        <v>48</v>
      </c>
      <c r="B27" s="141" t="s">
        <v>27</v>
      </c>
      <c r="C27" s="141" t="s">
        <v>27</v>
      </c>
      <c r="D27" s="123" t="s">
        <v>197</v>
      </c>
      <c r="E27" s="126" t="s">
        <v>101</v>
      </c>
      <c r="F27" s="126" t="s">
        <v>101</v>
      </c>
      <c r="G27" s="126" t="s">
        <v>163</v>
      </c>
      <c r="H27" s="126" t="s">
        <v>163</v>
      </c>
      <c r="I27" s="126" t="s">
        <v>164</v>
      </c>
      <c r="J27" s="190">
        <v>4.8748</v>
      </c>
      <c r="K27" s="191">
        <v>10328</v>
      </c>
      <c r="L27" s="191"/>
      <c r="M27" s="49">
        <f t="shared" si="0"/>
        <v>-1</v>
      </c>
      <c r="N27" s="133"/>
      <c r="O27" s="133"/>
      <c r="P27" s="49" t="e">
        <f t="shared" si="1"/>
        <v>#DIV/0!</v>
      </c>
      <c r="Q27" s="133">
        <f t="shared" si="2"/>
        <v>10328</v>
      </c>
      <c r="R27" s="133">
        <f t="shared" si="3"/>
        <v>0</v>
      </c>
      <c r="S27" s="49">
        <f t="shared" si="4"/>
        <v>-1</v>
      </c>
      <c r="T27" s="60"/>
      <c r="U27" s="60"/>
      <c r="V27" s="49" t="e">
        <f t="shared" si="5"/>
        <v>#DIV/0!</v>
      </c>
      <c r="W27" s="60">
        <f t="shared" si="6"/>
        <v>10328</v>
      </c>
      <c r="X27" s="60">
        <f t="shared" si="7"/>
        <v>0</v>
      </c>
      <c r="Y27" s="49">
        <f t="shared" si="8"/>
        <v>-1</v>
      </c>
      <c r="Z27" s="133">
        <v>9494</v>
      </c>
      <c r="AA27" s="133"/>
      <c r="AB27" s="49">
        <f t="shared" si="9"/>
        <v>-1</v>
      </c>
      <c r="AC27" s="133">
        <f t="shared" si="10"/>
        <v>19822</v>
      </c>
      <c r="AD27" s="133">
        <f t="shared" si="11"/>
        <v>0</v>
      </c>
      <c r="AE27" s="49">
        <f t="shared" si="12"/>
        <v>-1</v>
      </c>
      <c r="AF27" s="133">
        <v>10328</v>
      </c>
      <c r="AG27" s="133"/>
      <c r="AH27" s="49">
        <f t="shared" si="13"/>
        <v>-1</v>
      </c>
      <c r="AI27" s="133">
        <f t="shared" si="14"/>
        <v>30150</v>
      </c>
      <c r="AJ27" s="133">
        <f t="shared" si="15"/>
        <v>0</v>
      </c>
      <c r="AK27" s="49">
        <f t="shared" si="16"/>
        <v>-1</v>
      </c>
      <c r="AL27" s="133"/>
      <c r="AM27" s="133"/>
      <c r="AN27" s="49" t="e">
        <f t="shared" si="17"/>
        <v>#DIV/0!</v>
      </c>
      <c r="AO27" s="133">
        <f t="shared" si="18"/>
        <v>30150</v>
      </c>
      <c r="AP27" s="133">
        <f t="shared" si="19"/>
        <v>0</v>
      </c>
      <c r="AQ27" s="49">
        <f t="shared" si="20"/>
        <v>-1</v>
      </c>
      <c r="AR27" s="133"/>
      <c r="AS27" s="133"/>
      <c r="AT27" s="49" t="e">
        <f t="shared" si="21"/>
        <v>#DIV/0!</v>
      </c>
      <c r="AU27" s="133">
        <f t="shared" si="22"/>
        <v>30150</v>
      </c>
      <c r="AV27" s="133">
        <f t="shared" si="23"/>
        <v>0</v>
      </c>
      <c r="AW27" s="49">
        <f t="shared" si="24"/>
        <v>-1</v>
      </c>
      <c r="AX27" s="60"/>
      <c r="AY27" s="60">
        <v>10328</v>
      </c>
      <c r="AZ27" s="49" t="e">
        <f t="shared" si="25"/>
        <v>#DIV/0!</v>
      </c>
      <c r="BA27" s="60">
        <f t="shared" si="26"/>
        <v>30150</v>
      </c>
      <c r="BB27" s="60">
        <f t="shared" si="27"/>
        <v>10328</v>
      </c>
      <c r="BC27" s="49">
        <f t="shared" si="28"/>
        <v>-0.657446102819237</v>
      </c>
      <c r="BD27" s="60"/>
      <c r="BE27" s="192"/>
      <c r="BF27" s="191"/>
      <c r="BG27" s="133">
        <v>20656</v>
      </c>
      <c r="BH27" s="133">
        <v>50806</v>
      </c>
      <c r="BI27" s="159">
        <f t="shared" si="29"/>
        <v>0.211865102158037</v>
      </c>
      <c r="BJ27" s="133"/>
      <c r="BK27" s="133"/>
    </row>
    <row r="28" spans="1:63">
      <c r="A28" s="186">
        <v>50</v>
      </c>
      <c r="B28" s="141" t="s">
        <v>27</v>
      </c>
      <c r="C28" s="141" t="s">
        <v>27</v>
      </c>
      <c r="D28" s="123" t="s">
        <v>198</v>
      </c>
      <c r="E28" s="126" t="s">
        <v>60</v>
      </c>
      <c r="F28" s="126" t="s">
        <v>60</v>
      </c>
      <c r="G28" s="126" t="s">
        <v>163</v>
      </c>
      <c r="H28" s="126" t="s">
        <v>163</v>
      </c>
      <c r="I28" s="126" t="s">
        <v>164</v>
      </c>
      <c r="J28" s="190">
        <v>3</v>
      </c>
      <c r="K28" s="191"/>
      <c r="L28" s="191"/>
      <c r="M28" s="49" t="e">
        <f t="shared" si="0"/>
        <v>#DIV/0!</v>
      </c>
      <c r="N28" s="133"/>
      <c r="O28" s="133"/>
      <c r="P28" s="49" t="e">
        <f t="shared" si="1"/>
        <v>#DIV/0!</v>
      </c>
      <c r="Q28" s="133">
        <f t="shared" si="2"/>
        <v>0</v>
      </c>
      <c r="R28" s="133">
        <f t="shared" si="3"/>
        <v>0</v>
      </c>
      <c r="S28" s="49" t="e">
        <f t="shared" si="4"/>
        <v>#DIV/0!</v>
      </c>
      <c r="T28" s="60">
        <v>8707</v>
      </c>
      <c r="U28" s="60"/>
      <c r="V28" s="49">
        <f t="shared" si="5"/>
        <v>-1</v>
      </c>
      <c r="W28" s="60">
        <f t="shared" si="6"/>
        <v>8707</v>
      </c>
      <c r="X28" s="60">
        <f t="shared" si="7"/>
        <v>0</v>
      </c>
      <c r="Y28" s="49">
        <f t="shared" si="8"/>
        <v>-1</v>
      </c>
      <c r="Z28" s="133">
        <v>2224</v>
      </c>
      <c r="AA28" s="133"/>
      <c r="AB28" s="49">
        <f t="shared" si="9"/>
        <v>-1</v>
      </c>
      <c r="AC28" s="133">
        <f t="shared" si="10"/>
        <v>10931</v>
      </c>
      <c r="AD28" s="133">
        <f t="shared" si="11"/>
        <v>0</v>
      </c>
      <c r="AE28" s="49">
        <f t="shared" si="12"/>
        <v>-1</v>
      </c>
      <c r="AF28" s="133">
        <v>3539</v>
      </c>
      <c r="AG28" s="133"/>
      <c r="AH28" s="49">
        <f t="shared" si="13"/>
        <v>-1</v>
      </c>
      <c r="AI28" s="133">
        <f t="shared" si="14"/>
        <v>14470</v>
      </c>
      <c r="AJ28" s="133">
        <f t="shared" si="15"/>
        <v>0</v>
      </c>
      <c r="AK28" s="49">
        <f t="shared" si="16"/>
        <v>-1</v>
      </c>
      <c r="AL28" s="133"/>
      <c r="AM28" s="133"/>
      <c r="AN28" s="49" t="e">
        <f t="shared" si="17"/>
        <v>#DIV/0!</v>
      </c>
      <c r="AO28" s="133">
        <f t="shared" si="18"/>
        <v>14470</v>
      </c>
      <c r="AP28" s="133">
        <f t="shared" si="19"/>
        <v>0</v>
      </c>
      <c r="AQ28" s="49">
        <f t="shared" si="20"/>
        <v>-1</v>
      </c>
      <c r="AR28" s="133"/>
      <c r="AS28" s="133"/>
      <c r="AT28" s="49" t="e">
        <f t="shared" si="21"/>
        <v>#DIV/0!</v>
      </c>
      <c r="AU28" s="133">
        <f t="shared" si="22"/>
        <v>14470</v>
      </c>
      <c r="AV28" s="133">
        <f t="shared" si="23"/>
        <v>0</v>
      </c>
      <c r="AW28" s="49">
        <f t="shared" si="24"/>
        <v>-1</v>
      </c>
      <c r="AX28" s="60"/>
      <c r="AY28" s="60"/>
      <c r="AZ28" s="49" t="e">
        <f t="shared" si="25"/>
        <v>#DIV/0!</v>
      </c>
      <c r="BA28" s="60">
        <f t="shared" si="26"/>
        <v>14470</v>
      </c>
      <c r="BB28" s="60">
        <f t="shared" si="27"/>
        <v>0</v>
      </c>
      <c r="BC28" s="49">
        <f t="shared" si="28"/>
        <v>-1</v>
      </c>
      <c r="BD28" s="60"/>
      <c r="BE28" s="192"/>
      <c r="BF28" s="191">
        <v>5716</v>
      </c>
      <c r="BG28" s="133"/>
      <c r="BH28" s="133">
        <v>20186</v>
      </c>
      <c r="BI28" s="159">
        <f t="shared" si="29"/>
        <v>0</v>
      </c>
      <c r="BJ28" s="133"/>
      <c r="BK28" s="133"/>
    </row>
    <row r="29" spans="1:63">
      <c r="A29" s="186">
        <v>51</v>
      </c>
      <c r="B29" s="141" t="s">
        <v>27</v>
      </c>
      <c r="C29" s="141" t="s">
        <v>27</v>
      </c>
      <c r="D29" s="123" t="s">
        <v>199</v>
      </c>
      <c r="E29" s="126" t="s">
        <v>101</v>
      </c>
      <c r="F29" s="126" t="s">
        <v>101</v>
      </c>
      <c r="G29" s="126" t="s">
        <v>172</v>
      </c>
      <c r="H29" s="126" t="s">
        <v>172</v>
      </c>
      <c r="I29" s="133" t="s">
        <v>173</v>
      </c>
      <c r="J29" s="190">
        <v>10</v>
      </c>
      <c r="K29" s="191">
        <v>35619</v>
      </c>
      <c r="L29" s="191"/>
      <c r="M29" s="49">
        <f t="shared" si="0"/>
        <v>-1</v>
      </c>
      <c r="N29" s="133"/>
      <c r="O29" s="133"/>
      <c r="P29" s="49" t="e">
        <f t="shared" si="1"/>
        <v>#DIV/0!</v>
      </c>
      <c r="Q29" s="133">
        <f t="shared" si="2"/>
        <v>35619</v>
      </c>
      <c r="R29" s="133">
        <f t="shared" si="3"/>
        <v>0</v>
      </c>
      <c r="S29" s="49">
        <f t="shared" si="4"/>
        <v>-1</v>
      </c>
      <c r="T29" s="60"/>
      <c r="U29" s="60"/>
      <c r="V29" s="49" t="e">
        <f t="shared" si="5"/>
        <v>#DIV/0!</v>
      </c>
      <c r="W29" s="60">
        <f t="shared" si="6"/>
        <v>35619</v>
      </c>
      <c r="X29" s="60">
        <f t="shared" si="7"/>
        <v>0</v>
      </c>
      <c r="Y29" s="49">
        <f t="shared" si="8"/>
        <v>-1</v>
      </c>
      <c r="Z29" s="133"/>
      <c r="AA29" s="133"/>
      <c r="AB29" s="49" t="e">
        <f t="shared" si="9"/>
        <v>#DIV/0!</v>
      </c>
      <c r="AC29" s="133">
        <f t="shared" si="10"/>
        <v>35619</v>
      </c>
      <c r="AD29" s="133">
        <f t="shared" si="11"/>
        <v>0</v>
      </c>
      <c r="AE29" s="49">
        <f t="shared" si="12"/>
        <v>-1</v>
      </c>
      <c r="AF29" s="133"/>
      <c r="AG29" s="133"/>
      <c r="AH29" s="49" t="e">
        <f t="shared" si="13"/>
        <v>#DIV/0!</v>
      </c>
      <c r="AI29" s="133">
        <f t="shared" si="14"/>
        <v>35619</v>
      </c>
      <c r="AJ29" s="133">
        <f t="shared" si="15"/>
        <v>0</v>
      </c>
      <c r="AK29" s="49">
        <f t="shared" si="16"/>
        <v>-1</v>
      </c>
      <c r="AL29" s="133"/>
      <c r="AM29" s="133"/>
      <c r="AN29" s="49" t="e">
        <f t="shared" si="17"/>
        <v>#DIV/0!</v>
      </c>
      <c r="AO29" s="133">
        <f t="shared" si="18"/>
        <v>35619</v>
      </c>
      <c r="AP29" s="133">
        <f t="shared" si="19"/>
        <v>0</v>
      </c>
      <c r="AQ29" s="49">
        <f t="shared" si="20"/>
        <v>-1</v>
      </c>
      <c r="AR29" s="133"/>
      <c r="AS29" s="133"/>
      <c r="AT29" s="49" t="e">
        <f t="shared" si="21"/>
        <v>#DIV/0!</v>
      </c>
      <c r="AU29" s="133">
        <f t="shared" si="22"/>
        <v>35619</v>
      </c>
      <c r="AV29" s="133">
        <f t="shared" si="23"/>
        <v>0</v>
      </c>
      <c r="AW29" s="49">
        <f t="shared" si="24"/>
        <v>-1</v>
      </c>
      <c r="AX29" s="60"/>
      <c r="AY29" s="60"/>
      <c r="AZ29" s="49" t="e">
        <f t="shared" si="25"/>
        <v>#DIV/0!</v>
      </c>
      <c r="BA29" s="60">
        <f t="shared" si="26"/>
        <v>35619</v>
      </c>
      <c r="BB29" s="60">
        <f t="shared" si="27"/>
        <v>0</v>
      </c>
      <c r="BC29" s="49">
        <f t="shared" si="28"/>
        <v>-1</v>
      </c>
      <c r="BD29" s="60"/>
      <c r="BE29" s="192"/>
      <c r="BF29" s="191"/>
      <c r="BG29" s="133"/>
      <c r="BH29" s="133">
        <v>35619</v>
      </c>
      <c r="BI29" s="159">
        <f t="shared" si="29"/>
        <v>0</v>
      </c>
      <c r="BJ29" s="133"/>
      <c r="BK29" s="133"/>
    </row>
    <row r="30" spans="1:63">
      <c r="A30" s="186">
        <v>54</v>
      </c>
      <c r="B30" s="141" t="s">
        <v>27</v>
      </c>
      <c r="C30" s="141" t="s">
        <v>27</v>
      </c>
      <c r="D30" s="187" t="s">
        <v>200</v>
      </c>
      <c r="E30" s="126" t="s">
        <v>101</v>
      </c>
      <c r="F30" s="126" t="s">
        <v>101</v>
      </c>
      <c r="G30" s="126" t="s">
        <v>180</v>
      </c>
      <c r="H30" s="126" t="s">
        <v>180</v>
      </c>
      <c r="I30" s="126" t="s">
        <v>169</v>
      </c>
      <c r="J30" s="190">
        <v>30</v>
      </c>
      <c r="K30" s="191">
        <v>32882</v>
      </c>
      <c r="L30" s="191">
        <v>36829</v>
      </c>
      <c r="M30" s="49">
        <f t="shared" si="0"/>
        <v>0.12003527765951</v>
      </c>
      <c r="N30" s="133"/>
      <c r="O30" s="133"/>
      <c r="P30" s="49" t="e">
        <f t="shared" si="1"/>
        <v>#DIV/0!</v>
      </c>
      <c r="Q30" s="133">
        <f t="shared" si="2"/>
        <v>32882</v>
      </c>
      <c r="R30" s="133">
        <f t="shared" si="3"/>
        <v>36829</v>
      </c>
      <c r="S30" s="49">
        <f t="shared" si="4"/>
        <v>0.12003527765951</v>
      </c>
      <c r="T30" s="60">
        <v>4598</v>
      </c>
      <c r="U30" s="60"/>
      <c r="V30" s="49">
        <f t="shared" si="5"/>
        <v>-1</v>
      </c>
      <c r="W30" s="60">
        <f t="shared" si="6"/>
        <v>37480</v>
      </c>
      <c r="X30" s="60">
        <f t="shared" si="7"/>
        <v>36829</v>
      </c>
      <c r="Y30" s="49">
        <f t="shared" si="8"/>
        <v>-0.0173692636072572</v>
      </c>
      <c r="Z30" s="133">
        <v>63078</v>
      </c>
      <c r="AA30" s="133">
        <v>10328</v>
      </c>
      <c r="AB30" s="49">
        <f t="shared" si="9"/>
        <v>-0.836266210089096</v>
      </c>
      <c r="AC30" s="133">
        <f t="shared" si="10"/>
        <v>100558</v>
      </c>
      <c r="AD30" s="133">
        <f t="shared" si="11"/>
        <v>47157</v>
      </c>
      <c r="AE30" s="49">
        <f t="shared" si="12"/>
        <v>-0.53104675908431</v>
      </c>
      <c r="AF30" s="133">
        <v>9859</v>
      </c>
      <c r="AG30" s="133">
        <v>4068</v>
      </c>
      <c r="AH30" s="49">
        <f t="shared" si="13"/>
        <v>-0.587382087432803</v>
      </c>
      <c r="AI30" s="133">
        <f t="shared" si="14"/>
        <v>110417</v>
      </c>
      <c r="AJ30" s="133">
        <f t="shared" si="15"/>
        <v>51225</v>
      </c>
      <c r="AK30" s="49">
        <f t="shared" si="16"/>
        <v>-0.536076872220763</v>
      </c>
      <c r="AL30" s="133">
        <v>3868</v>
      </c>
      <c r="AM30" s="133"/>
      <c r="AN30" s="49">
        <f t="shared" si="17"/>
        <v>-1</v>
      </c>
      <c r="AO30" s="133">
        <f t="shared" si="18"/>
        <v>114285</v>
      </c>
      <c r="AP30" s="133">
        <f t="shared" si="19"/>
        <v>51225</v>
      </c>
      <c r="AQ30" s="49">
        <f t="shared" si="20"/>
        <v>-0.551778448615304</v>
      </c>
      <c r="AR30" s="133"/>
      <c r="AS30" s="133"/>
      <c r="AT30" s="49" t="e">
        <f t="shared" si="21"/>
        <v>#DIV/0!</v>
      </c>
      <c r="AU30" s="133">
        <f t="shared" si="22"/>
        <v>114285</v>
      </c>
      <c r="AV30" s="133">
        <f t="shared" si="23"/>
        <v>51225</v>
      </c>
      <c r="AW30" s="49">
        <f t="shared" si="24"/>
        <v>-0.551778448615304</v>
      </c>
      <c r="AX30" s="60"/>
      <c r="AY30" s="60"/>
      <c r="AZ30" s="49" t="e">
        <f t="shared" si="25"/>
        <v>#DIV/0!</v>
      </c>
      <c r="BA30" s="60">
        <f t="shared" si="26"/>
        <v>114285</v>
      </c>
      <c r="BB30" s="60">
        <f t="shared" si="27"/>
        <v>51225</v>
      </c>
      <c r="BC30" s="49">
        <f t="shared" si="28"/>
        <v>-0.551778448615304</v>
      </c>
      <c r="BD30" s="60"/>
      <c r="BE30" s="192">
        <v>10000</v>
      </c>
      <c r="BF30" s="191">
        <v>4742</v>
      </c>
      <c r="BG30" s="133"/>
      <c r="BH30" s="133">
        <v>129027</v>
      </c>
      <c r="BI30" s="159">
        <f t="shared" si="29"/>
        <v>0.17075</v>
      </c>
      <c r="BJ30" s="133"/>
      <c r="BK30" s="133"/>
    </row>
    <row r="31" spans="1:63">
      <c r="A31" s="186">
        <v>55</v>
      </c>
      <c r="B31" s="141" t="s">
        <v>27</v>
      </c>
      <c r="C31" s="141" t="s">
        <v>27</v>
      </c>
      <c r="D31" s="187" t="s">
        <v>201</v>
      </c>
      <c r="E31" s="126" t="s">
        <v>101</v>
      </c>
      <c r="F31" s="126" t="s">
        <v>101</v>
      </c>
      <c r="G31" s="126" t="s">
        <v>167</v>
      </c>
      <c r="H31" s="126" t="s">
        <v>168</v>
      </c>
      <c r="I31" s="126" t="s">
        <v>169</v>
      </c>
      <c r="J31" s="190">
        <v>0</v>
      </c>
      <c r="K31" s="191"/>
      <c r="L31" s="191"/>
      <c r="M31" s="49" t="e">
        <f t="shared" si="0"/>
        <v>#DIV/0!</v>
      </c>
      <c r="N31" s="133"/>
      <c r="O31" s="133"/>
      <c r="P31" s="49" t="e">
        <f t="shared" si="1"/>
        <v>#DIV/0!</v>
      </c>
      <c r="Q31" s="133">
        <f t="shared" si="2"/>
        <v>0</v>
      </c>
      <c r="R31" s="133">
        <f t="shared" si="3"/>
        <v>0</v>
      </c>
      <c r="S31" s="49" t="e">
        <f t="shared" si="4"/>
        <v>#DIV/0!</v>
      </c>
      <c r="T31" s="60"/>
      <c r="U31" s="60"/>
      <c r="V31" s="49" t="e">
        <f t="shared" si="5"/>
        <v>#DIV/0!</v>
      </c>
      <c r="W31" s="60">
        <f t="shared" si="6"/>
        <v>0</v>
      </c>
      <c r="X31" s="60">
        <f t="shared" si="7"/>
        <v>0</v>
      </c>
      <c r="Y31" s="49" t="e">
        <f t="shared" si="8"/>
        <v>#DIV/0!</v>
      </c>
      <c r="Z31" s="133"/>
      <c r="AA31" s="133"/>
      <c r="AB31" s="49" t="e">
        <f t="shared" si="9"/>
        <v>#DIV/0!</v>
      </c>
      <c r="AC31" s="133">
        <f t="shared" si="10"/>
        <v>0</v>
      </c>
      <c r="AD31" s="133">
        <f t="shared" si="11"/>
        <v>0</v>
      </c>
      <c r="AE31" s="49" t="e">
        <f t="shared" si="12"/>
        <v>#DIV/0!</v>
      </c>
      <c r="AF31" s="133"/>
      <c r="AG31" s="133"/>
      <c r="AH31" s="49" t="e">
        <f t="shared" si="13"/>
        <v>#DIV/0!</v>
      </c>
      <c r="AI31" s="133">
        <f t="shared" si="14"/>
        <v>0</v>
      </c>
      <c r="AJ31" s="133">
        <f t="shared" si="15"/>
        <v>0</v>
      </c>
      <c r="AK31" s="49" t="e">
        <f t="shared" si="16"/>
        <v>#DIV/0!</v>
      </c>
      <c r="AL31" s="133"/>
      <c r="AM31" s="133"/>
      <c r="AN31" s="49" t="e">
        <f t="shared" si="17"/>
        <v>#DIV/0!</v>
      </c>
      <c r="AO31" s="133">
        <f t="shared" si="18"/>
        <v>0</v>
      </c>
      <c r="AP31" s="133">
        <f t="shared" si="19"/>
        <v>0</v>
      </c>
      <c r="AQ31" s="49" t="e">
        <f t="shared" si="20"/>
        <v>#DIV/0!</v>
      </c>
      <c r="AR31" s="133"/>
      <c r="AS31" s="133"/>
      <c r="AT31" s="49" t="e">
        <f t="shared" si="21"/>
        <v>#DIV/0!</v>
      </c>
      <c r="AU31" s="133">
        <f t="shared" si="22"/>
        <v>0</v>
      </c>
      <c r="AV31" s="133">
        <f t="shared" si="23"/>
        <v>0</v>
      </c>
      <c r="AW31" s="49" t="e">
        <f t="shared" si="24"/>
        <v>#DIV/0!</v>
      </c>
      <c r="AX31" s="60"/>
      <c r="AY31" s="60"/>
      <c r="AZ31" s="49" t="e">
        <f t="shared" si="25"/>
        <v>#DIV/0!</v>
      </c>
      <c r="BA31" s="60">
        <f t="shared" si="26"/>
        <v>0</v>
      </c>
      <c r="BB31" s="60">
        <f t="shared" si="27"/>
        <v>0</v>
      </c>
      <c r="BC31" s="49" t="e">
        <f t="shared" si="28"/>
        <v>#DIV/0!</v>
      </c>
      <c r="BD31" s="60"/>
      <c r="BE31" s="192"/>
      <c r="BF31" s="191">
        <v>18239</v>
      </c>
      <c r="BG31" s="133">
        <v>18239</v>
      </c>
      <c r="BH31" s="133">
        <v>36478</v>
      </c>
      <c r="BI31" s="159" t="e">
        <f t="shared" si="29"/>
        <v>#DIV/0!</v>
      </c>
      <c r="BJ31" s="133"/>
      <c r="BK31" s="133"/>
    </row>
    <row r="32" spans="1:63">
      <c r="A32" s="186">
        <v>56</v>
      </c>
      <c r="B32" s="141" t="s">
        <v>27</v>
      </c>
      <c r="C32" s="141" t="s">
        <v>27</v>
      </c>
      <c r="D32" s="187" t="s">
        <v>202</v>
      </c>
      <c r="E32" s="126" t="s">
        <v>113</v>
      </c>
      <c r="F32" s="126" t="s">
        <v>113</v>
      </c>
      <c r="G32" s="126" t="s">
        <v>167</v>
      </c>
      <c r="H32" s="126" t="s">
        <v>168</v>
      </c>
      <c r="I32" s="126" t="s">
        <v>169</v>
      </c>
      <c r="J32" s="190">
        <v>0</v>
      </c>
      <c r="K32" s="191">
        <v>2780</v>
      </c>
      <c r="L32" s="191"/>
      <c r="M32" s="49">
        <f t="shared" si="0"/>
        <v>-1</v>
      </c>
      <c r="N32" s="133"/>
      <c r="O32" s="133"/>
      <c r="P32" s="49" t="e">
        <f t="shared" si="1"/>
        <v>#DIV/0!</v>
      </c>
      <c r="Q32" s="133">
        <f t="shared" si="2"/>
        <v>2780</v>
      </c>
      <c r="R32" s="133">
        <f t="shared" si="3"/>
        <v>0</v>
      </c>
      <c r="S32" s="49">
        <f t="shared" si="4"/>
        <v>-1</v>
      </c>
      <c r="T32" s="60"/>
      <c r="U32" s="60"/>
      <c r="V32" s="49" t="e">
        <f t="shared" si="5"/>
        <v>#DIV/0!</v>
      </c>
      <c r="W32" s="60">
        <f t="shared" si="6"/>
        <v>2780</v>
      </c>
      <c r="X32" s="60">
        <f t="shared" si="7"/>
        <v>0</v>
      </c>
      <c r="Y32" s="49">
        <f t="shared" si="8"/>
        <v>-1</v>
      </c>
      <c r="Z32" s="133"/>
      <c r="AA32" s="133"/>
      <c r="AB32" s="49" t="e">
        <f t="shared" si="9"/>
        <v>#DIV/0!</v>
      </c>
      <c r="AC32" s="133">
        <f t="shared" si="10"/>
        <v>2780</v>
      </c>
      <c r="AD32" s="133">
        <f t="shared" si="11"/>
        <v>0</v>
      </c>
      <c r="AE32" s="49">
        <f t="shared" si="12"/>
        <v>-1</v>
      </c>
      <c r="AF32" s="133"/>
      <c r="AG32" s="133"/>
      <c r="AH32" s="49" t="e">
        <f t="shared" si="13"/>
        <v>#DIV/0!</v>
      </c>
      <c r="AI32" s="133">
        <f t="shared" si="14"/>
        <v>2780</v>
      </c>
      <c r="AJ32" s="133">
        <f t="shared" si="15"/>
        <v>0</v>
      </c>
      <c r="AK32" s="49">
        <f t="shared" si="16"/>
        <v>-1</v>
      </c>
      <c r="AL32" s="133">
        <v>2594</v>
      </c>
      <c r="AM32" s="133"/>
      <c r="AN32" s="49">
        <f t="shared" si="17"/>
        <v>-1</v>
      </c>
      <c r="AO32" s="133">
        <f t="shared" si="18"/>
        <v>5374</v>
      </c>
      <c r="AP32" s="133">
        <f t="shared" si="19"/>
        <v>0</v>
      </c>
      <c r="AQ32" s="49">
        <f t="shared" si="20"/>
        <v>-1</v>
      </c>
      <c r="AR32" s="133"/>
      <c r="AS32" s="133"/>
      <c r="AT32" s="49" t="e">
        <f t="shared" si="21"/>
        <v>#DIV/0!</v>
      </c>
      <c r="AU32" s="133">
        <f t="shared" si="22"/>
        <v>5374</v>
      </c>
      <c r="AV32" s="133">
        <f t="shared" si="23"/>
        <v>0</v>
      </c>
      <c r="AW32" s="49">
        <f t="shared" si="24"/>
        <v>-1</v>
      </c>
      <c r="AX32" s="60"/>
      <c r="AY32" s="60"/>
      <c r="AZ32" s="49" t="e">
        <f t="shared" si="25"/>
        <v>#DIV/0!</v>
      </c>
      <c r="BA32" s="60">
        <f t="shared" si="26"/>
        <v>5374</v>
      </c>
      <c r="BB32" s="60">
        <f t="shared" si="27"/>
        <v>0</v>
      </c>
      <c r="BC32" s="49">
        <f t="shared" si="28"/>
        <v>-1</v>
      </c>
      <c r="BD32" s="60"/>
      <c r="BE32" s="192"/>
      <c r="BF32" s="191"/>
      <c r="BG32" s="133">
        <v>2594</v>
      </c>
      <c r="BH32" s="133">
        <v>7968</v>
      </c>
      <c r="BI32" s="159" t="e">
        <f t="shared" si="29"/>
        <v>#DIV/0!</v>
      </c>
      <c r="BJ32" s="133"/>
      <c r="BK32" s="133"/>
    </row>
    <row r="33" spans="1:63">
      <c r="A33" s="186">
        <v>57</v>
      </c>
      <c r="B33" s="141" t="s">
        <v>27</v>
      </c>
      <c r="C33" s="141" t="s">
        <v>27</v>
      </c>
      <c r="D33" s="187" t="s">
        <v>203</v>
      </c>
      <c r="E33" s="126" t="s">
        <v>101</v>
      </c>
      <c r="F33" s="126" t="s">
        <v>101</v>
      </c>
      <c r="G33" s="276" t="s">
        <v>180</v>
      </c>
      <c r="H33" s="276" t="s">
        <v>180</v>
      </c>
      <c r="I33" s="133" t="s">
        <v>173</v>
      </c>
      <c r="J33" s="190">
        <v>10</v>
      </c>
      <c r="K33" s="191"/>
      <c r="L33" s="191"/>
      <c r="M33" s="49" t="e">
        <f t="shared" si="0"/>
        <v>#DIV/0!</v>
      </c>
      <c r="N33" s="133">
        <v>16642</v>
      </c>
      <c r="O33" s="133"/>
      <c r="P33" s="49">
        <f t="shared" si="1"/>
        <v>-1</v>
      </c>
      <c r="Q33" s="133">
        <f t="shared" si="2"/>
        <v>16642</v>
      </c>
      <c r="R33" s="133">
        <f t="shared" si="3"/>
        <v>0</v>
      </c>
      <c r="S33" s="49">
        <f t="shared" si="4"/>
        <v>-1</v>
      </c>
      <c r="T33" s="60"/>
      <c r="U33" s="60">
        <v>1857</v>
      </c>
      <c r="V33" s="49" t="e">
        <f t="shared" si="5"/>
        <v>#DIV/0!</v>
      </c>
      <c r="W33" s="60">
        <f t="shared" si="6"/>
        <v>16642</v>
      </c>
      <c r="X33" s="60">
        <f t="shared" si="7"/>
        <v>1857</v>
      </c>
      <c r="Y33" s="49">
        <f t="shared" si="8"/>
        <v>-0.888414853983896</v>
      </c>
      <c r="Z33" s="133">
        <v>10388</v>
      </c>
      <c r="AA33" s="133"/>
      <c r="AB33" s="49">
        <f t="shared" si="9"/>
        <v>-1</v>
      </c>
      <c r="AC33" s="133">
        <f t="shared" si="10"/>
        <v>27030</v>
      </c>
      <c r="AD33" s="133">
        <f t="shared" si="11"/>
        <v>1857</v>
      </c>
      <c r="AE33" s="49">
        <f t="shared" si="12"/>
        <v>-0.931298557158713</v>
      </c>
      <c r="AF33" s="133">
        <v>2624</v>
      </c>
      <c r="AG33" s="133"/>
      <c r="AH33" s="49">
        <f t="shared" si="13"/>
        <v>-1</v>
      </c>
      <c r="AI33" s="133">
        <f t="shared" si="14"/>
        <v>29654</v>
      </c>
      <c r="AJ33" s="133">
        <f t="shared" si="15"/>
        <v>1857</v>
      </c>
      <c r="AK33" s="49">
        <f t="shared" si="16"/>
        <v>-0.937377756795036</v>
      </c>
      <c r="AL33" s="133"/>
      <c r="AM33" s="133"/>
      <c r="AN33" s="49" t="e">
        <f t="shared" si="17"/>
        <v>#DIV/0!</v>
      </c>
      <c r="AO33" s="133">
        <f t="shared" si="18"/>
        <v>29654</v>
      </c>
      <c r="AP33" s="133">
        <f t="shared" si="19"/>
        <v>1857</v>
      </c>
      <c r="AQ33" s="49">
        <f t="shared" si="20"/>
        <v>-0.937377756795036</v>
      </c>
      <c r="AR33" s="133"/>
      <c r="AS33" s="133"/>
      <c r="AT33" s="49" t="e">
        <f t="shared" si="21"/>
        <v>#DIV/0!</v>
      </c>
      <c r="AU33" s="133">
        <f t="shared" si="22"/>
        <v>29654</v>
      </c>
      <c r="AV33" s="133">
        <f t="shared" si="23"/>
        <v>1857</v>
      </c>
      <c r="AW33" s="49">
        <f t="shared" si="24"/>
        <v>-0.937377756795036</v>
      </c>
      <c r="AX33" s="60"/>
      <c r="AY33" s="60"/>
      <c r="AZ33" s="49" t="e">
        <f t="shared" si="25"/>
        <v>#DIV/0!</v>
      </c>
      <c r="BA33" s="60">
        <f t="shared" si="26"/>
        <v>29654</v>
      </c>
      <c r="BB33" s="60">
        <f t="shared" si="27"/>
        <v>1857</v>
      </c>
      <c r="BC33" s="49">
        <f t="shared" si="28"/>
        <v>-0.937377756795036</v>
      </c>
      <c r="BD33" s="60"/>
      <c r="BE33" s="192">
        <v>11543</v>
      </c>
      <c r="BF33" s="191"/>
      <c r="BG33" s="133"/>
      <c r="BH33" s="133">
        <v>41197</v>
      </c>
      <c r="BI33" s="159">
        <f t="shared" si="29"/>
        <v>0.01857</v>
      </c>
      <c r="BJ33" s="133"/>
      <c r="BK33" s="133"/>
    </row>
    <row r="34" spans="1:63">
      <c r="A34" s="186"/>
      <c r="B34" s="141" t="s">
        <v>27</v>
      </c>
      <c r="C34" s="141" t="s">
        <v>27</v>
      </c>
      <c r="D34" s="187" t="s">
        <v>204</v>
      </c>
      <c r="E34" s="126" t="s">
        <v>60</v>
      </c>
      <c r="F34" s="126" t="s">
        <v>60</v>
      </c>
      <c r="G34" s="126" t="s">
        <v>167</v>
      </c>
      <c r="H34" s="126" t="s">
        <v>185</v>
      </c>
      <c r="I34" s="126" t="s">
        <v>169</v>
      </c>
      <c r="J34" s="190">
        <v>0</v>
      </c>
      <c r="K34" s="191"/>
      <c r="L34" s="191"/>
      <c r="M34" s="49" t="e">
        <f t="shared" si="0"/>
        <v>#DIV/0!</v>
      </c>
      <c r="N34" s="133"/>
      <c r="O34" s="133"/>
      <c r="P34" s="49" t="e">
        <f t="shared" si="1"/>
        <v>#DIV/0!</v>
      </c>
      <c r="Q34" s="133">
        <f t="shared" si="2"/>
        <v>0</v>
      </c>
      <c r="R34" s="133">
        <f t="shared" si="3"/>
        <v>0</v>
      </c>
      <c r="S34" s="49" t="e">
        <f t="shared" si="4"/>
        <v>#DIV/0!</v>
      </c>
      <c r="T34" s="60"/>
      <c r="U34" s="60"/>
      <c r="V34" s="49" t="e">
        <f t="shared" si="5"/>
        <v>#DIV/0!</v>
      </c>
      <c r="W34" s="60">
        <f t="shared" si="6"/>
        <v>0</v>
      </c>
      <c r="X34" s="60">
        <f t="shared" si="7"/>
        <v>0</v>
      </c>
      <c r="Y34" s="49" t="e">
        <f t="shared" si="8"/>
        <v>#DIV/0!</v>
      </c>
      <c r="Z34" s="133"/>
      <c r="AA34" s="133"/>
      <c r="AB34" s="49" t="e">
        <f t="shared" si="9"/>
        <v>#DIV/0!</v>
      </c>
      <c r="AC34" s="133">
        <f t="shared" si="10"/>
        <v>0</v>
      </c>
      <c r="AD34" s="133">
        <f t="shared" si="11"/>
        <v>0</v>
      </c>
      <c r="AE34" s="49" t="e">
        <f t="shared" si="12"/>
        <v>#DIV/0!</v>
      </c>
      <c r="AF34" s="133"/>
      <c r="AG34" s="133"/>
      <c r="AH34" s="49" t="e">
        <f t="shared" si="13"/>
        <v>#DIV/0!</v>
      </c>
      <c r="AI34" s="133">
        <f t="shared" si="14"/>
        <v>0</v>
      </c>
      <c r="AJ34" s="133">
        <f t="shared" si="15"/>
        <v>0</v>
      </c>
      <c r="AK34" s="49" t="e">
        <f t="shared" si="16"/>
        <v>#DIV/0!</v>
      </c>
      <c r="AL34" s="133"/>
      <c r="AM34" s="133"/>
      <c r="AN34" s="49" t="e">
        <f t="shared" si="17"/>
        <v>#DIV/0!</v>
      </c>
      <c r="AO34" s="133">
        <f t="shared" si="18"/>
        <v>0</v>
      </c>
      <c r="AP34" s="133">
        <f t="shared" si="19"/>
        <v>0</v>
      </c>
      <c r="AQ34" s="49" t="e">
        <f t="shared" si="20"/>
        <v>#DIV/0!</v>
      </c>
      <c r="AR34" s="133"/>
      <c r="AS34" s="133"/>
      <c r="AT34" s="49" t="e">
        <f t="shared" si="21"/>
        <v>#DIV/0!</v>
      </c>
      <c r="AU34" s="133">
        <f t="shared" si="22"/>
        <v>0</v>
      </c>
      <c r="AV34" s="133">
        <f t="shared" si="23"/>
        <v>0</v>
      </c>
      <c r="AW34" s="49" t="e">
        <f t="shared" si="24"/>
        <v>#DIV/0!</v>
      </c>
      <c r="AX34" s="60"/>
      <c r="AY34" s="60"/>
      <c r="AZ34" s="49" t="e">
        <f t="shared" si="25"/>
        <v>#DIV/0!</v>
      </c>
      <c r="BA34" s="60">
        <f t="shared" si="26"/>
        <v>0</v>
      </c>
      <c r="BB34" s="60">
        <f t="shared" si="27"/>
        <v>0</v>
      </c>
      <c r="BC34" s="49" t="e">
        <f t="shared" si="28"/>
        <v>#DIV/0!</v>
      </c>
      <c r="BD34" s="60"/>
      <c r="BE34" s="192">
        <v>30000</v>
      </c>
      <c r="BF34" s="191"/>
      <c r="BG34" s="133"/>
      <c r="BH34" s="133">
        <v>30000</v>
      </c>
      <c r="BI34" s="159" t="e">
        <f t="shared" si="29"/>
        <v>#DIV/0!</v>
      </c>
      <c r="BJ34" s="133"/>
      <c r="BK34" s="133"/>
    </row>
    <row r="35" spans="1:63">
      <c r="A35" s="186"/>
      <c r="B35" s="141" t="s">
        <v>27</v>
      </c>
      <c r="C35" s="141" t="s">
        <v>27</v>
      </c>
      <c r="D35" s="187" t="s">
        <v>205</v>
      </c>
      <c r="E35" s="126" t="s">
        <v>113</v>
      </c>
      <c r="F35" s="126" t="s">
        <v>113</v>
      </c>
      <c r="G35" s="126" t="s">
        <v>163</v>
      </c>
      <c r="H35" s="126" t="s">
        <v>163</v>
      </c>
      <c r="I35" s="126" t="s">
        <v>164</v>
      </c>
      <c r="J35" s="190">
        <v>10</v>
      </c>
      <c r="K35" s="191"/>
      <c r="L35" s="191"/>
      <c r="M35" s="49" t="e">
        <f t="shared" si="0"/>
        <v>#DIV/0!</v>
      </c>
      <c r="N35" s="133"/>
      <c r="O35" s="133"/>
      <c r="P35" s="49" t="e">
        <f t="shared" si="1"/>
        <v>#DIV/0!</v>
      </c>
      <c r="Q35" s="133">
        <f t="shared" si="2"/>
        <v>0</v>
      </c>
      <c r="R35" s="133">
        <f t="shared" si="3"/>
        <v>0</v>
      </c>
      <c r="S35" s="49" t="e">
        <f t="shared" si="4"/>
        <v>#DIV/0!</v>
      </c>
      <c r="T35" s="60"/>
      <c r="U35" s="60">
        <v>-4080</v>
      </c>
      <c r="V35" s="49" t="e">
        <f t="shared" si="5"/>
        <v>#DIV/0!</v>
      </c>
      <c r="W35" s="60">
        <f t="shared" si="6"/>
        <v>0</v>
      </c>
      <c r="X35" s="60">
        <f t="shared" si="7"/>
        <v>-4080</v>
      </c>
      <c r="Y35" s="49" t="e">
        <f t="shared" si="8"/>
        <v>#DIV/0!</v>
      </c>
      <c r="Z35" s="133"/>
      <c r="AA35" s="133"/>
      <c r="AB35" s="49" t="e">
        <f t="shared" si="9"/>
        <v>#DIV/0!</v>
      </c>
      <c r="AC35" s="133">
        <f t="shared" si="10"/>
        <v>0</v>
      </c>
      <c r="AD35" s="133">
        <f t="shared" si="11"/>
        <v>-4080</v>
      </c>
      <c r="AE35" s="49" t="e">
        <f t="shared" si="12"/>
        <v>#DIV/0!</v>
      </c>
      <c r="AF35" s="133"/>
      <c r="AG35" s="133">
        <v>-720</v>
      </c>
      <c r="AH35" s="49" t="e">
        <f t="shared" si="13"/>
        <v>#DIV/0!</v>
      </c>
      <c r="AI35" s="133">
        <f t="shared" si="14"/>
        <v>0</v>
      </c>
      <c r="AJ35" s="133">
        <f t="shared" si="15"/>
        <v>-4800</v>
      </c>
      <c r="AK35" s="49" t="e">
        <f t="shared" si="16"/>
        <v>#DIV/0!</v>
      </c>
      <c r="AL35" s="133">
        <v>8991</v>
      </c>
      <c r="AM35" s="133"/>
      <c r="AN35" s="49">
        <f t="shared" si="17"/>
        <v>-1</v>
      </c>
      <c r="AO35" s="133">
        <f t="shared" si="18"/>
        <v>8991</v>
      </c>
      <c r="AP35" s="133">
        <f t="shared" si="19"/>
        <v>-4800</v>
      </c>
      <c r="AQ35" s="49">
        <f t="shared" si="20"/>
        <v>-1.53386720053387</v>
      </c>
      <c r="AR35" s="133"/>
      <c r="AS35" s="133"/>
      <c r="AT35" s="49" t="e">
        <f t="shared" si="21"/>
        <v>#DIV/0!</v>
      </c>
      <c r="AU35" s="133">
        <f t="shared" si="22"/>
        <v>8991</v>
      </c>
      <c r="AV35" s="133">
        <f t="shared" si="23"/>
        <v>-4800</v>
      </c>
      <c r="AW35" s="49">
        <f t="shared" si="24"/>
        <v>-1.53386720053387</v>
      </c>
      <c r="AX35" s="60"/>
      <c r="AY35" s="60"/>
      <c r="AZ35" s="49" t="e">
        <f t="shared" si="25"/>
        <v>#DIV/0!</v>
      </c>
      <c r="BA35" s="60">
        <f t="shared" si="26"/>
        <v>8991</v>
      </c>
      <c r="BB35" s="60">
        <f t="shared" si="27"/>
        <v>-4800</v>
      </c>
      <c r="BC35" s="49">
        <f t="shared" si="28"/>
        <v>-1.53386720053387</v>
      </c>
      <c r="BD35" s="60">
        <v>4800</v>
      </c>
      <c r="BE35" s="192"/>
      <c r="BF35" s="191"/>
      <c r="BG35" s="133">
        <v>10235</v>
      </c>
      <c r="BH35" s="133">
        <v>24026</v>
      </c>
      <c r="BI35" s="159">
        <f t="shared" si="29"/>
        <v>-0.048</v>
      </c>
      <c r="BJ35" s="133"/>
      <c r="BK35" s="133"/>
    </row>
    <row r="36" spans="1:63">
      <c r="A36" s="186"/>
      <c r="B36" s="141" t="s">
        <v>27</v>
      </c>
      <c r="C36" s="141" t="s">
        <v>27</v>
      </c>
      <c r="D36" s="187" t="s">
        <v>206</v>
      </c>
      <c r="E36" s="126" t="s">
        <v>60</v>
      </c>
      <c r="F36" s="126" t="s">
        <v>60</v>
      </c>
      <c r="G36" s="126" t="s">
        <v>176</v>
      </c>
      <c r="H36" s="126" t="s">
        <v>176</v>
      </c>
      <c r="I36" s="126" t="s">
        <v>164</v>
      </c>
      <c r="J36" s="190">
        <v>0</v>
      </c>
      <c r="K36" s="191">
        <v>31502</v>
      </c>
      <c r="L36" s="191"/>
      <c r="M36" s="49">
        <f t="shared" ref="M36:M68" si="30">L36/K36-1</f>
        <v>-1</v>
      </c>
      <c r="N36" s="133"/>
      <c r="O36" s="133"/>
      <c r="P36" s="49" t="e">
        <f t="shared" ref="P36:P68" si="31">O36/N36-1</f>
        <v>#DIV/0!</v>
      </c>
      <c r="Q36" s="133">
        <f t="shared" ref="Q36:Q67" si="32">N36+K36</f>
        <v>31502</v>
      </c>
      <c r="R36" s="133">
        <f t="shared" ref="R36:R67" si="33">O36+L36</f>
        <v>0</v>
      </c>
      <c r="S36" s="49">
        <f t="shared" ref="S36:S68" si="34">R36/Q36-1</f>
        <v>-1</v>
      </c>
      <c r="T36" s="60">
        <v>72790</v>
      </c>
      <c r="U36" s="60"/>
      <c r="V36" s="49">
        <f t="shared" ref="V36:V70" si="35">U36/T36-1</f>
        <v>-1</v>
      </c>
      <c r="W36" s="60">
        <f t="shared" ref="W36:W70" si="36">T36+Q36</f>
        <v>104292</v>
      </c>
      <c r="X36" s="60">
        <f t="shared" ref="X36:X70" si="37">U36+R36</f>
        <v>0</v>
      </c>
      <c r="Y36" s="49">
        <f t="shared" ref="Y36:Y70" si="38">X36/W36-1</f>
        <v>-1</v>
      </c>
      <c r="Z36" s="133">
        <v>5831</v>
      </c>
      <c r="AA36" s="133"/>
      <c r="AB36" s="49">
        <f t="shared" ref="AB36:AB72" si="39">AA36/Z36-1</f>
        <v>-1</v>
      </c>
      <c r="AC36" s="133">
        <f t="shared" ref="AC36:AC71" si="40">Z36+W36</f>
        <v>110123</v>
      </c>
      <c r="AD36" s="133">
        <f t="shared" ref="AD36:AD71" si="41">AA36+X36</f>
        <v>0</v>
      </c>
      <c r="AE36" s="49">
        <f t="shared" ref="AE36:AE72" si="42">AD36/AC36-1</f>
        <v>-1</v>
      </c>
      <c r="AF36" s="133"/>
      <c r="AG36" s="133"/>
      <c r="AH36" s="49" t="e">
        <f t="shared" ref="AH36:AH75" si="43">AG36/AF36-1</f>
        <v>#DIV/0!</v>
      </c>
      <c r="AI36" s="133">
        <f t="shared" ref="AI36:AI74" si="44">AF36+AC36</f>
        <v>110123</v>
      </c>
      <c r="AJ36" s="133">
        <f t="shared" ref="AJ36:AJ74" si="45">AG36+AD36</f>
        <v>0</v>
      </c>
      <c r="AK36" s="49">
        <f t="shared" ref="AK36:AK75" si="46">AJ36/AI36-1</f>
        <v>-1</v>
      </c>
      <c r="AL36" s="133">
        <v>605</v>
      </c>
      <c r="AM36" s="133"/>
      <c r="AN36" s="49">
        <f t="shared" ref="AN36:AN75" si="47">AM36/AL36-1</f>
        <v>-1</v>
      </c>
      <c r="AO36" s="133">
        <f t="shared" ref="AO36:AO74" si="48">AL36+AI36</f>
        <v>110728</v>
      </c>
      <c r="AP36" s="133">
        <f t="shared" ref="AP36:AP74" si="49">AM36+AJ36</f>
        <v>0</v>
      </c>
      <c r="AQ36" s="49">
        <f t="shared" ref="AQ36:AQ75" si="50">AP36/AO36-1</f>
        <v>-1</v>
      </c>
      <c r="AR36" s="133">
        <v>1655</v>
      </c>
      <c r="AS36" s="133"/>
      <c r="AT36" s="49">
        <f t="shared" ref="AT36:AT69" si="51">AS36/AR36-1</f>
        <v>-1</v>
      </c>
      <c r="AU36" s="133">
        <f t="shared" ref="AU36:AU75" si="52">AR36+AO36</f>
        <v>112383</v>
      </c>
      <c r="AV36" s="133">
        <f t="shared" ref="AV36:AV75" si="53">AS36+AP36</f>
        <v>0</v>
      </c>
      <c r="AW36" s="49">
        <f t="shared" ref="AW36:AW76" si="54">AV36/AU36-1</f>
        <v>-1</v>
      </c>
      <c r="AX36" s="60">
        <v>8510</v>
      </c>
      <c r="AY36" s="60"/>
      <c r="AZ36" s="49">
        <f t="shared" ref="AZ36:AZ77" si="55">AY36/AX36-1</f>
        <v>-1</v>
      </c>
      <c r="BA36" s="60">
        <f t="shared" ref="BA36:BA76" si="56">AX36+AU36</f>
        <v>120893</v>
      </c>
      <c r="BB36" s="60">
        <f t="shared" ref="BB36:BB76" si="57">AY36+AV36</f>
        <v>0</v>
      </c>
      <c r="BC36" s="49">
        <f t="shared" ref="BC36:BC77" si="58">BB36/BA36-1</f>
        <v>-1</v>
      </c>
      <c r="BD36" s="60">
        <v>4861</v>
      </c>
      <c r="BE36" s="192"/>
      <c r="BF36" s="191">
        <v>-72790</v>
      </c>
      <c r="BG36" s="133">
        <v>9560</v>
      </c>
      <c r="BH36" s="133">
        <v>62524</v>
      </c>
      <c r="BI36" s="159" t="e">
        <f t="shared" ref="BI36:BI77" si="59">BB36/10000/J36</f>
        <v>#DIV/0!</v>
      </c>
      <c r="BJ36" s="133"/>
      <c r="BK36" s="133"/>
    </row>
    <row r="37" spans="1:63">
      <c r="A37" s="186"/>
      <c r="B37" s="141" t="s">
        <v>27</v>
      </c>
      <c r="C37" s="141" t="s">
        <v>27</v>
      </c>
      <c r="D37" s="187" t="s">
        <v>207</v>
      </c>
      <c r="E37" s="126" t="s">
        <v>101</v>
      </c>
      <c r="F37" s="126" t="s">
        <v>101</v>
      </c>
      <c r="G37" s="126" t="s">
        <v>167</v>
      </c>
      <c r="H37" s="126" t="s">
        <v>168</v>
      </c>
      <c r="I37" s="126" t="s">
        <v>169</v>
      </c>
      <c r="J37" s="190">
        <v>0</v>
      </c>
      <c r="K37" s="191"/>
      <c r="L37" s="191"/>
      <c r="M37" s="49" t="e">
        <f t="shared" si="30"/>
        <v>#DIV/0!</v>
      </c>
      <c r="N37" s="133"/>
      <c r="O37" s="133"/>
      <c r="P37" s="49" t="e">
        <f t="shared" si="31"/>
        <v>#DIV/0!</v>
      </c>
      <c r="Q37" s="133">
        <f t="shared" si="32"/>
        <v>0</v>
      </c>
      <c r="R37" s="133">
        <f t="shared" si="33"/>
        <v>0</v>
      </c>
      <c r="S37" s="49" t="e">
        <f t="shared" si="34"/>
        <v>#DIV/0!</v>
      </c>
      <c r="T37" s="60"/>
      <c r="U37" s="60"/>
      <c r="V37" s="49" t="e">
        <f t="shared" si="35"/>
        <v>#DIV/0!</v>
      </c>
      <c r="W37" s="60">
        <f t="shared" si="36"/>
        <v>0</v>
      </c>
      <c r="X37" s="60">
        <f t="shared" si="37"/>
        <v>0</v>
      </c>
      <c r="Y37" s="49" t="e">
        <f t="shared" si="38"/>
        <v>#DIV/0!</v>
      </c>
      <c r="Z37" s="133">
        <v>9523</v>
      </c>
      <c r="AA37" s="133"/>
      <c r="AB37" s="49">
        <f t="shared" si="39"/>
        <v>-1</v>
      </c>
      <c r="AC37" s="133">
        <f t="shared" si="40"/>
        <v>9523</v>
      </c>
      <c r="AD37" s="133">
        <f t="shared" si="41"/>
        <v>0</v>
      </c>
      <c r="AE37" s="49">
        <f t="shared" si="42"/>
        <v>-1</v>
      </c>
      <c r="AF37" s="133"/>
      <c r="AG37" s="133"/>
      <c r="AH37" s="49" t="e">
        <f t="shared" si="43"/>
        <v>#DIV/0!</v>
      </c>
      <c r="AI37" s="133">
        <f t="shared" si="44"/>
        <v>9523</v>
      </c>
      <c r="AJ37" s="133">
        <f t="shared" si="45"/>
        <v>0</v>
      </c>
      <c r="AK37" s="49">
        <f t="shared" si="46"/>
        <v>-1</v>
      </c>
      <c r="AL37" s="133">
        <v>15368</v>
      </c>
      <c r="AM37" s="133"/>
      <c r="AN37" s="49">
        <f t="shared" si="47"/>
        <v>-1</v>
      </c>
      <c r="AO37" s="133">
        <f t="shared" si="48"/>
        <v>24891</v>
      </c>
      <c r="AP37" s="133">
        <f t="shared" si="49"/>
        <v>0</v>
      </c>
      <c r="AQ37" s="49">
        <f t="shared" si="50"/>
        <v>-1</v>
      </c>
      <c r="AR37" s="133"/>
      <c r="AS37" s="133"/>
      <c r="AT37" s="49" t="e">
        <f t="shared" si="51"/>
        <v>#DIV/0!</v>
      </c>
      <c r="AU37" s="133">
        <f t="shared" si="52"/>
        <v>24891</v>
      </c>
      <c r="AV37" s="133">
        <f t="shared" si="53"/>
        <v>0</v>
      </c>
      <c r="AW37" s="49">
        <f t="shared" si="54"/>
        <v>-1</v>
      </c>
      <c r="AX37" s="60"/>
      <c r="AY37" s="60"/>
      <c r="AZ37" s="49" t="e">
        <f t="shared" si="55"/>
        <v>#DIV/0!</v>
      </c>
      <c r="BA37" s="60">
        <f t="shared" si="56"/>
        <v>24891</v>
      </c>
      <c r="BB37" s="60">
        <f t="shared" si="57"/>
        <v>0</v>
      </c>
      <c r="BC37" s="49">
        <f t="shared" si="58"/>
        <v>-1</v>
      </c>
      <c r="BD37" s="60"/>
      <c r="BE37" s="192"/>
      <c r="BF37" s="191"/>
      <c r="BG37" s="133"/>
      <c r="BH37" s="133">
        <v>24891</v>
      </c>
      <c r="BI37" s="159" t="e">
        <f t="shared" si="59"/>
        <v>#DIV/0!</v>
      </c>
      <c r="BJ37" s="133"/>
      <c r="BK37" s="133"/>
    </row>
    <row r="38" spans="1:63">
      <c r="A38" s="186"/>
      <c r="B38" s="141" t="s">
        <v>27</v>
      </c>
      <c r="C38" s="141" t="s">
        <v>27</v>
      </c>
      <c r="D38" s="187" t="s">
        <v>208</v>
      </c>
      <c r="E38" s="126" t="s">
        <v>60</v>
      </c>
      <c r="F38" s="126" t="s">
        <v>60</v>
      </c>
      <c r="G38" s="126" t="s">
        <v>176</v>
      </c>
      <c r="H38" s="126" t="s">
        <v>176</v>
      </c>
      <c r="I38" s="126" t="s">
        <v>164</v>
      </c>
      <c r="J38" s="190">
        <v>1</v>
      </c>
      <c r="K38" s="191"/>
      <c r="L38" s="191"/>
      <c r="M38" s="49" t="e">
        <f t="shared" si="30"/>
        <v>#DIV/0!</v>
      </c>
      <c r="N38" s="133"/>
      <c r="O38" s="133"/>
      <c r="P38" s="49" t="e">
        <f t="shared" si="31"/>
        <v>#DIV/0!</v>
      </c>
      <c r="Q38" s="133">
        <f t="shared" si="32"/>
        <v>0</v>
      </c>
      <c r="R38" s="133">
        <f t="shared" si="33"/>
        <v>0</v>
      </c>
      <c r="S38" s="49" t="e">
        <f t="shared" si="34"/>
        <v>#DIV/0!</v>
      </c>
      <c r="T38" s="60">
        <v>3210</v>
      </c>
      <c r="U38" s="60"/>
      <c r="V38" s="49">
        <f t="shared" si="35"/>
        <v>-1</v>
      </c>
      <c r="W38" s="60">
        <f t="shared" si="36"/>
        <v>3210</v>
      </c>
      <c r="X38" s="60">
        <f t="shared" si="37"/>
        <v>0</v>
      </c>
      <c r="Y38" s="49">
        <f t="shared" si="38"/>
        <v>-1</v>
      </c>
      <c r="Z38" s="133"/>
      <c r="AA38" s="133"/>
      <c r="AB38" s="49" t="e">
        <f t="shared" si="39"/>
        <v>#DIV/0!</v>
      </c>
      <c r="AC38" s="133">
        <f t="shared" si="40"/>
        <v>3210</v>
      </c>
      <c r="AD38" s="133">
        <f t="shared" si="41"/>
        <v>0</v>
      </c>
      <c r="AE38" s="49">
        <f t="shared" si="42"/>
        <v>-1</v>
      </c>
      <c r="AF38" s="133"/>
      <c r="AG38" s="133"/>
      <c r="AH38" s="49" t="e">
        <f t="shared" si="43"/>
        <v>#DIV/0!</v>
      </c>
      <c r="AI38" s="133">
        <f t="shared" si="44"/>
        <v>3210</v>
      </c>
      <c r="AJ38" s="133">
        <f t="shared" si="45"/>
        <v>0</v>
      </c>
      <c r="AK38" s="49">
        <f t="shared" si="46"/>
        <v>-1</v>
      </c>
      <c r="AL38" s="133"/>
      <c r="AM38" s="133"/>
      <c r="AN38" s="49" t="e">
        <f t="shared" si="47"/>
        <v>#DIV/0!</v>
      </c>
      <c r="AO38" s="133">
        <f t="shared" si="48"/>
        <v>3210</v>
      </c>
      <c r="AP38" s="133">
        <f t="shared" si="49"/>
        <v>0</v>
      </c>
      <c r="AQ38" s="49">
        <f t="shared" si="50"/>
        <v>-1</v>
      </c>
      <c r="AR38" s="133"/>
      <c r="AS38" s="133"/>
      <c r="AT38" s="49" t="e">
        <f t="shared" si="51"/>
        <v>#DIV/0!</v>
      </c>
      <c r="AU38" s="133">
        <f t="shared" si="52"/>
        <v>3210</v>
      </c>
      <c r="AV38" s="133">
        <f t="shared" si="53"/>
        <v>0</v>
      </c>
      <c r="AW38" s="49">
        <f t="shared" si="54"/>
        <v>-1</v>
      </c>
      <c r="AX38" s="60"/>
      <c r="AY38" s="60"/>
      <c r="AZ38" s="49" t="e">
        <f t="shared" si="55"/>
        <v>#DIV/0!</v>
      </c>
      <c r="BA38" s="60">
        <f t="shared" si="56"/>
        <v>3210</v>
      </c>
      <c r="BB38" s="60">
        <f t="shared" si="57"/>
        <v>0</v>
      </c>
      <c r="BC38" s="49">
        <f t="shared" si="58"/>
        <v>-1</v>
      </c>
      <c r="BD38" s="60"/>
      <c r="BE38" s="192"/>
      <c r="BF38" s="191"/>
      <c r="BG38" s="133">
        <v>3919</v>
      </c>
      <c r="BH38" s="133">
        <v>7129</v>
      </c>
      <c r="BI38" s="159">
        <f t="shared" si="59"/>
        <v>0</v>
      </c>
      <c r="BJ38" s="133"/>
      <c r="BK38" s="133"/>
    </row>
    <row r="39" spans="1:63">
      <c r="A39" s="186"/>
      <c r="B39" s="141" t="s">
        <v>27</v>
      </c>
      <c r="C39" s="141" t="s">
        <v>27</v>
      </c>
      <c r="D39" s="187" t="s">
        <v>209</v>
      </c>
      <c r="E39" s="126" t="s">
        <v>101</v>
      </c>
      <c r="F39" s="126" t="s">
        <v>101</v>
      </c>
      <c r="G39" s="126" t="s">
        <v>176</v>
      </c>
      <c r="H39" s="126" t="s">
        <v>176</v>
      </c>
      <c r="I39" s="126" t="s">
        <v>164</v>
      </c>
      <c r="J39" s="190">
        <v>2</v>
      </c>
      <c r="K39" s="191"/>
      <c r="L39" s="191"/>
      <c r="M39" s="49" t="e">
        <f t="shared" si="30"/>
        <v>#DIV/0!</v>
      </c>
      <c r="N39" s="133"/>
      <c r="O39" s="133"/>
      <c r="P39" s="49" t="e">
        <f t="shared" si="31"/>
        <v>#DIV/0!</v>
      </c>
      <c r="Q39" s="133">
        <f t="shared" si="32"/>
        <v>0</v>
      </c>
      <c r="R39" s="133">
        <f t="shared" si="33"/>
        <v>0</v>
      </c>
      <c r="S39" s="49" t="e">
        <f t="shared" si="34"/>
        <v>#DIV/0!</v>
      </c>
      <c r="T39" s="60"/>
      <c r="U39" s="60"/>
      <c r="V39" s="49" t="e">
        <f t="shared" si="35"/>
        <v>#DIV/0!</v>
      </c>
      <c r="W39" s="60">
        <f t="shared" si="36"/>
        <v>0</v>
      </c>
      <c r="X39" s="60">
        <f t="shared" si="37"/>
        <v>0</v>
      </c>
      <c r="Y39" s="49" t="e">
        <f t="shared" si="38"/>
        <v>#DIV/0!</v>
      </c>
      <c r="Z39" s="133"/>
      <c r="AA39" s="133"/>
      <c r="AB39" s="49" t="e">
        <f t="shared" si="39"/>
        <v>#DIV/0!</v>
      </c>
      <c r="AC39" s="133">
        <f t="shared" si="40"/>
        <v>0</v>
      </c>
      <c r="AD39" s="133">
        <f t="shared" si="41"/>
        <v>0</v>
      </c>
      <c r="AE39" s="49" t="e">
        <f t="shared" si="42"/>
        <v>#DIV/0!</v>
      </c>
      <c r="AF39" s="133"/>
      <c r="AG39" s="133"/>
      <c r="AH39" s="49" t="e">
        <f t="shared" si="43"/>
        <v>#DIV/0!</v>
      </c>
      <c r="AI39" s="133">
        <f t="shared" si="44"/>
        <v>0</v>
      </c>
      <c r="AJ39" s="133">
        <f t="shared" si="45"/>
        <v>0</v>
      </c>
      <c r="AK39" s="49" t="e">
        <f t="shared" si="46"/>
        <v>#DIV/0!</v>
      </c>
      <c r="AL39" s="133"/>
      <c r="AM39" s="133"/>
      <c r="AN39" s="49" t="e">
        <f t="shared" si="47"/>
        <v>#DIV/0!</v>
      </c>
      <c r="AO39" s="133">
        <f t="shared" si="48"/>
        <v>0</v>
      </c>
      <c r="AP39" s="133">
        <f t="shared" si="49"/>
        <v>0</v>
      </c>
      <c r="AQ39" s="49" t="e">
        <f t="shared" si="50"/>
        <v>#DIV/0!</v>
      </c>
      <c r="AR39" s="133"/>
      <c r="AS39" s="133"/>
      <c r="AT39" s="49" t="e">
        <f t="shared" si="51"/>
        <v>#DIV/0!</v>
      </c>
      <c r="AU39" s="133">
        <f t="shared" si="52"/>
        <v>0</v>
      </c>
      <c r="AV39" s="133">
        <f t="shared" si="53"/>
        <v>0</v>
      </c>
      <c r="AW39" s="49" t="e">
        <f t="shared" si="54"/>
        <v>#DIV/0!</v>
      </c>
      <c r="AX39" s="60"/>
      <c r="AY39" s="60"/>
      <c r="AZ39" s="49" t="e">
        <f t="shared" si="55"/>
        <v>#DIV/0!</v>
      </c>
      <c r="BA39" s="60">
        <f t="shared" si="56"/>
        <v>0</v>
      </c>
      <c r="BB39" s="60">
        <f t="shared" si="57"/>
        <v>0</v>
      </c>
      <c r="BC39" s="49" t="e">
        <f t="shared" si="58"/>
        <v>#DIV/0!</v>
      </c>
      <c r="BD39" s="60"/>
      <c r="BE39" s="192"/>
      <c r="BF39" s="191"/>
      <c r="BG39" s="133">
        <v>14090</v>
      </c>
      <c r="BH39" s="133">
        <v>14090</v>
      </c>
      <c r="BI39" s="159">
        <f t="shared" si="59"/>
        <v>0</v>
      </c>
      <c r="BJ39" s="133"/>
      <c r="BK39" s="133"/>
    </row>
    <row r="40" spans="1:63">
      <c r="A40" s="186"/>
      <c r="B40" s="141" t="s">
        <v>27</v>
      </c>
      <c r="C40" s="141" t="s">
        <v>27</v>
      </c>
      <c r="D40" s="187" t="s">
        <v>210</v>
      </c>
      <c r="E40" s="126" t="s">
        <v>101</v>
      </c>
      <c r="F40" s="126" t="s">
        <v>101</v>
      </c>
      <c r="G40" s="126" t="s">
        <v>167</v>
      </c>
      <c r="H40" s="126" t="s">
        <v>168</v>
      </c>
      <c r="I40" s="126" t="s">
        <v>169</v>
      </c>
      <c r="J40" s="190">
        <v>4</v>
      </c>
      <c r="K40" s="191"/>
      <c r="L40" s="191">
        <v>18040</v>
      </c>
      <c r="M40" s="49" t="e">
        <f t="shared" si="30"/>
        <v>#DIV/0!</v>
      </c>
      <c r="N40" s="133"/>
      <c r="O40" s="133"/>
      <c r="P40" s="49" t="e">
        <f t="shared" si="31"/>
        <v>#DIV/0!</v>
      </c>
      <c r="Q40" s="133">
        <f t="shared" si="32"/>
        <v>0</v>
      </c>
      <c r="R40" s="133">
        <f t="shared" si="33"/>
        <v>18040</v>
      </c>
      <c r="S40" s="49" t="e">
        <f t="shared" si="34"/>
        <v>#DIV/0!</v>
      </c>
      <c r="T40" s="60"/>
      <c r="U40" s="60">
        <v>18354</v>
      </c>
      <c r="V40" s="49" t="e">
        <f t="shared" si="35"/>
        <v>#DIV/0!</v>
      </c>
      <c r="W40" s="60">
        <f t="shared" si="36"/>
        <v>0</v>
      </c>
      <c r="X40" s="60">
        <f t="shared" si="37"/>
        <v>36394</v>
      </c>
      <c r="Y40" s="49" t="e">
        <f t="shared" si="38"/>
        <v>#DIV/0!</v>
      </c>
      <c r="Z40" s="133">
        <v>20720</v>
      </c>
      <c r="AA40" s="133"/>
      <c r="AB40" s="49">
        <f t="shared" si="39"/>
        <v>-1</v>
      </c>
      <c r="AC40" s="133">
        <f t="shared" si="40"/>
        <v>20720</v>
      </c>
      <c r="AD40" s="133">
        <f t="shared" si="41"/>
        <v>36394</v>
      </c>
      <c r="AE40" s="49">
        <f t="shared" si="42"/>
        <v>0.756467181467182</v>
      </c>
      <c r="AF40" s="133">
        <v>-1100</v>
      </c>
      <c r="AG40" s="133"/>
      <c r="AH40" s="49">
        <f t="shared" si="43"/>
        <v>-1</v>
      </c>
      <c r="AI40" s="133">
        <f t="shared" si="44"/>
        <v>19620</v>
      </c>
      <c r="AJ40" s="133">
        <f t="shared" si="45"/>
        <v>36394</v>
      </c>
      <c r="AK40" s="49">
        <f t="shared" si="46"/>
        <v>0.854943934760449</v>
      </c>
      <c r="AL40" s="133"/>
      <c r="AM40" s="133"/>
      <c r="AN40" s="49" t="e">
        <f t="shared" si="47"/>
        <v>#DIV/0!</v>
      </c>
      <c r="AO40" s="133">
        <f t="shared" si="48"/>
        <v>19620</v>
      </c>
      <c r="AP40" s="133">
        <f t="shared" si="49"/>
        <v>36394</v>
      </c>
      <c r="AQ40" s="49">
        <f t="shared" si="50"/>
        <v>0.854943934760449</v>
      </c>
      <c r="AR40" s="133"/>
      <c r="AS40" s="133"/>
      <c r="AT40" s="49" t="e">
        <f t="shared" si="51"/>
        <v>#DIV/0!</v>
      </c>
      <c r="AU40" s="133">
        <f t="shared" si="52"/>
        <v>19620</v>
      </c>
      <c r="AV40" s="133">
        <f t="shared" si="53"/>
        <v>36394</v>
      </c>
      <c r="AW40" s="49">
        <f t="shared" si="54"/>
        <v>0.854943934760449</v>
      </c>
      <c r="AX40" s="60"/>
      <c r="AY40" s="60"/>
      <c r="AZ40" s="49" t="e">
        <f t="shared" si="55"/>
        <v>#DIV/0!</v>
      </c>
      <c r="BA40" s="60">
        <f t="shared" si="56"/>
        <v>19620</v>
      </c>
      <c r="BB40" s="60">
        <f t="shared" si="57"/>
        <v>36394</v>
      </c>
      <c r="BC40" s="49">
        <f t="shared" si="58"/>
        <v>0.854943934760449</v>
      </c>
      <c r="BD40" s="60"/>
      <c r="BE40" s="192"/>
      <c r="BF40" s="191"/>
      <c r="BG40" s="133">
        <v>47089</v>
      </c>
      <c r="BH40" s="133">
        <v>66709</v>
      </c>
      <c r="BI40" s="159">
        <f t="shared" si="59"/>
        <v>0.90985</v>
      </c>
      <c r="BJ40" s="133"/>
      <c r="BK40" s="133"/>
    </row>
    <row r="41" spans="1:63">
      <c r="A41" s="186"/>
      <c r="B41" s="141" t="s">
        <v>27</v>
      </c>
      <c r="C41" s="141" t="s">
        <v>27</v>
      </c>
      <c r="D41" s="187" t="s">
        <v>211</v>
      </c>
      <c r="E41" s="126" t="s">
        <v>60</v>
      </c>
      <c r="F41" s="126" t="s">
        <v>60</v>
      </c>
      <c r="G41" s="126" t="s">
        <v>167</v>
      </c>
      <c r="H41" s="126" t="s">
        <v>185</v>
      </c>
      <c r="I41" s="126" t="s">
        <v>169</v>
      </c>
      <c r="J41" s="190">
        <v>0</v>
      </c>
      <c r="K41" s="191">
        <v>10190</v>
      </c>
      <c r="L41" s="191"/>
      <c r="M41" s="49">
        <f t="shared" si="30"/>
        <v>-1</v>
      </c>
      <c r="N41" s="133"/>
      <c r="O41" s="133"/>
      <c r="P41" s="49" t="e">
        <f t="shared" si="31"/>
        <v>#DIV/0!</v>
      </c>
      <c r="Q41" s="133">
        <f t="shared" si="32"/>
        <v>10190</v>
      </c>
      <c r="R41" s="133">
        <f t="shared" si="33"/>
        <v>0</v>
      </c>
      <c r="S41" s="49">
        <f t="shared" si="34"/>
        <v>-1</v>
      </c>
      <c r="T41" s="60"/>
      <c r="U41" s="60">
        <v>4898</v>
      </c>
      <c r="V41" s="49" t="e">
        <f t="shared" si="35"/>
        <v>#DIV/0!</v>
      </c>
      <c r="W41" s="60">
        <f t="shared" si="36"/>
        <v>10190</v>
      </c>
      <c r="X41" s="60">
        <f t="shared" si="37"/>
        <v>4898</v>
      </c>
      <c r="Y41" s="49">
        <f t="shared" si="38"/>
        <v>-0.519332679097154</v>
      </c>
      <c r="Z41" s="133">
        <v>2070</v>
      </c>
      <c r="AA41" s="133"/>
      <c r="AB41" s="49">
        <f t="shared" si="39"/>
        <v>-1</v>
      </c>
      <c r="AC41" s="133">
        <f t="shared" si="40"/>
        <v>12260</v>
      </c>
      <c r="AD41" s="133">
        <f t="shared" si="41"/>
        <v>4898</v>
      </c>
      <c r="AE41" s="49">
        <f t="shared" si="42"/>
        <v>-0.600489396411093</v>
      </c>
      <c r="AF41" s="133"/>
      <c r="AG41" s="133">
        <v>2691</v>
      </c>
      <c r="AH41" s="49" t="e">
        <f t="shared" si="43"/>
        <v>#DIV/0!</v>
      </c>
      <c r="AI41" s="133">
        <f t="shared" si="44"/>
        <v>12260</v>
      </c>
      <c r="AJ41" s="133">
        <f t="shared" si="45"/>
        <v>7589</v>
      </c>
      <c r="AK41" s="49">
        <f t="shared" si="46"/>
        <v>-0.380995106035889</v>
      </c>
      <c r="AL41" s="133">
        <v>6600</v>
      </c>
      <c r="AM41" s="133">
        <v>8324</v>
      </c>
      <c r="AN41" s="49">
        <f t="shared" si="47"/>
        <v>0.261212121212121</v>
      </c>
      <c r="AO41" s="133">
        <f t="shared" si="48"/>
        <v>18860</v>
      </c>
      <c r="AP41" s="133">
        <f t="shared" si="49"/>
        <v>15913</v>
      </c>
      <c r="AQ41" s="49">
        <f t="shared" si="50"/>
        <v>-0.156256627783669</v>
      </c>
      <c r="AR41" s="133"/>
      <c r="AS41" s="133"/>
      <c r="AT41" s="49" t="e">
        <f t="shared" si="51"/>
        <v>#DIV/0!</v>
      </c>
      <c r="AU41" s="133">
        <f t="shared" si="52"/>
        <v>18860</v>
      </c>
      <c r="AV41" s="133">
        <f t="shared" si="53"/>
        <v>15913</v>
      </c>
      <c r="AW41" s="49">
        <f t="shared" si="54"/>
        <v>-0.156256627783669</v>
      </c>
      <c r="AX41" s="60"/>
      <c r="AY41" s="60">
        <v>4914</v>
      </c>
      <c r="AZ41" s="49" t="e">
        <f t="shared" si="55"/>
        <v>#DIV/0!</v>
      </c>
      <c r="BA41" s="60">
        <f t="shared" si="56"/>
        <v>18860</v>
      </c>
      <c r="BB41" s="60">
        <f t="shared" si="57"/>
        <v>20827</v>
      </c>
      <c r="BC41" s="49">
        <f t="shared" si="58"/>
        <v>0.104294803817603</v>
      </c>
      <c r="BD41" s="60"/>
      <c r="BE41" s="192">
        <v>8455</v>
      </c>
      <c r="BF41" s="191">
        <v>3076</v>
      </c>
      <c r="BG41" s="133"/>
      <c r="BH41" s="133">
        <v>30391</v>
      </c>
      <c r="BI41" s="159" t="e">
        <f t="shared" si="59"/>
        <v>#DIV/0!</v>
      </c>
      <c r="BJ41" s="133"/>
      <c r="BK41" s="133"/>
    </row>
    <row r="42" spans="1:63">
      <c r="A42" s="186"/>
      <c r="B42" s="141" t="s">
        <v>27</v>
      </c>
      <c r="C42" s="141" t="s">
        <v>27</v>
      </c>
      <c r="D42" s="187" t="s">
        <v>212</v>
      </c>
      <c r="E42" s="126" t="s">
        <v>101</v>
      </c>
      <c r="F42" s="126" t="s">
        <v>101</v>
      </c>
      <c r="G42" s="126" t="s">
        <v>167</v>
      </c>
      <c r="H42" s="126" t="s">
        <v>213</v>
      </c>
      <c r="I42" s="126" t="s">
        <v>169</v>
      </c>
      <c r="J42" s="190">
        <v>4.8014</v>
      </c>
      <c r="K42" s="191"/>
      <c r="L42" s="191">
        <v>12654</v>
      </c>
      <c r="M42" s="49" t="e">
        <f t="shared" si="30"/>
        <v>#DIV/0!</v>
      </c>
      <c r="N42" s="133"/>
      <c r="O42" s="133"/>
      <c r="P42" s="49" t="e">
        <f t="shared" si="31"/>
        <v>#DIV/0!</v>
      </c>
      <c r="Q42" s="133">
        <f t="shared" si="32"/>
        <v>0</v>
      </c>
      <c r="R42" s="133">
        <f t="shared" si="33"/>
        <v>12654</v>
      </c>
      <c r="S42" s="49" t="e">
        <f t="shared" si="34"/>
        <v>#DIV/0!</v>
      </c>
      <c r="T42" s="60"/>
      <c r="U42" s="60">
        <v>14635</v>
      </c>
      <c r="V42" s="49" t="e">
        <f t="shared" si="35"/>
        <v>#DIV/0!</v>
      </c>
      <c r="W42" s="60">
        <f t="shared" si="36"/>
        <v>0</v>
      </c>
      <c r="X42" s="60">
        <f t="shared" si="37"/>
        <v>27289</v>
      </c>
      <c r="Y42" s="49" t="e">
        <f t="shared" si="38"/>
        <v>#DIV/0!</v>
      </c>
      <c r="Z42" s="133">
        <v>13520</v>
      </c>
      <c r="AA42" s="133"/>
      <c r="AB42" s="49">
        <f t="shared" si="39"/>
        <v>-1</v>
      </c>
      <c r="AC42" s="133">
        <f t="shared" si="40"/>
        <v>13520</v>
      </c>
      <c r="AD42" s="133">
        <f t="shared" si="41"/>
        <v>27289</v>
      </c>
      <c r="AE42" s="49">
        <f t="shared" si="42"/>
        <v>1.01841715976331</v>
      </c>
      <c r="AF42" s="133">
        <v>6598</v>
      </c>
      <c r="AG42" s="133"/>
      <c r="AH42" s="49">
        <f t="shared" si="43"/>
        <v>-1</v>
      </c>
      <c r="AI42" s="133">
        <f t="shared" si="44"/>
        <v>20118</v>
      </c>
      <c r="AJ42" s="133">
        <f t="shared" si="45"/>
        <v>27289</v>
      </c>
      <c r="AK42" s="49">
        <f t="shared" si="46"/>
        <v>0.356446962918779</v>
      </c>
      <c r="AL42" s="133">
        <v>11393</v>
      </c>
      <c r="AM42" s="133">
        <v>3803</v>
      </c>
      <c r="AN42" s="49">
        <f t="shared" si="47"/>
        <v>-0.666198542964978</v>
      </c>
      <c r="AO42" s="133">
        <f t="shared" si="48"/>
        <v>31511</v>
      </c>
      <c r="AP42" s="133">
        <f t="shared" si="49"/>
        <v>31092</v>
      </c>
      <c r="AQ42" s="49">
        <f t="shared" si="50"/>
        <v>-0.0132969439243439</v>
      </c>
      <c r="AR42" s="133">
        <v>16300</v>
      </c>
      <c r="AS42" s="133">
        <v>4305</v>
      </c>
      <c r="AT42" s="49">
        <f t="shared" si="51"/>
        <v>-0.735889570552147</v>
      </c>
      <c r="AU42" s="133">
        <f t="shared" si="52"/>
        <v>47811</v>
      </c>
      <c r="AV42" s="133">
        <f t="shared" si="53"/>
        <v>35397</v>
      </c>
      <c r="AW42" s="49">
        <f t="shared" si="54"/>
        <v>-0.259647361485851</v>
      </c>
      <c r="AX42" s="60">
        <v>3765</v>
      </c>
      <c r="AY42" s="60"/>
      <c r="AZ42" s="49">
        <f t="shared" si="55"/>
        <v>-1</v>
      </c>
      <c r="BA42" s="60">
        <f t="shared" si="56"/>
        <v>51576</v>
      </c>
      <c r="BB42" s="60">
        <f t="shared" si="57"/>
        <v>35397</v>
      </c>
      <c r="BC42" s="49">
        <f t="shared" si="58"/>
        <v>-0.31369241507678</v>
      </c>
      <c r="BD42" s="60"/>
      <c r="BE42" s="192"/>
      <c r="BF42" s="191">
        <v>5389</v>
      </c>
      <c r="BG42" s="133">
        <v>828</v>
      </c>
      <c r="BH42" s="133">
        <v>57793</v>
      </c>
      <c r="BI42" s="159">
        <f t="shared" si="59"/>
        <v>0.737222476777606</v>
      </c>
      <c r="BJ42" s="133"/>
      <c r="BK42" s="133"/>
    </row>
    <row r="43" spans="1:63">
      <c r="A43" s="186"/>
      <c r="B43" s="141" t="s">
        <v>27</v>
      </c>
      <c r="C43" s="141" t="s">
        <v>27</v>
      </c>
      <c r="D43" s="187" t="s">
        <v>214</v>
      </c>
      <c r="E43" s="126" t="s">
        <v>113</v>
      </c>
      <c r="F43" s="126" t="s">
        <v>113</v>
      </c>
      <c r="G43" s="126" t="s">
        <v>167</v>
      </c>
      <c r="H43" s="126" t="s">
        <v>79</v>
      </c>
      <c r="I43" s="126" t="s">
        <v>169</v>
      </c>
      <c r="J43" s="190">
        <v>28</v>
      </c>
      <c r="K43" s="191"/>
      <c r="L43" s="191">
        <v>2024</v>
      </c>
      <c r="M43" s="49" t="e">
        <f t="shared" si="30"/>
        <v>#DIV/0!</v>
      </c>
      <c r="N43" s="133"/>
      <c r="O43" s="133">
        <v>8445.84</v>
      </c>
      <c r="P43" s="49" t="e">
        <f t="shared" si="31"/>
        <v>#DIV/0!</v>
      </c>
      <c r="Q43" s="133">
        <f t="shared" si="32"/>
        <v>0</v>
      </c>
      <c r="R43" s="133">
        <f t="shared" si="33"/>
        <v>10469.84</v>
      </c>
      <c r="S43" s="49" t="e">
        <f t="shared" si="34"/>
        <v>#DIV/0!</v>
      </c>
      <c r="T43" s="60"/>
      <c r="U43" s="60"/>
      <c r="V43" s="49" t="e">
        <f t="shared" si="35"/>
        <v>#DIV/0!</v>
      </c>
      <c r="W43" s="60">
        <f t="shared" si="36"/>
        <v>0</v>
      </c>
      <c r="X43" s="60">
        <f t="shared" si="37"/>
        <v>10469.84</v>
      </c>
      <c r="Y43" s="49" t="e">
        <f t="shared" si="38"/>
        <v>#DIV/0!</v>
      </c>
      <c r="Z43" s="133"/>
      <c r="AA43" s="133">
        <v>24539.8</v>
      </c>
      <c r="AB43" s="49" t="e">
        <f t="shared" si="39"/>
        <v>#DIV/0!</v>
      </c>
      <c r="AC43" s="133">
        <f t="shared" si="40"/>
        <v>0</v>
      </c>
      <c r="AD43" s="133">
        <f t="shared" si="41"/>
        <v>35009.64</v>
      </c>
      <c r="AE43" s="49" t="e">
        <f t="shared" si="42"/>
        <v>#DIV/0!</v>
      </c>
      <c r="AF43" s="133"/>
      <c r="AG43" s="133">
        <v>18827.5</v>
      </c>
      <c r="AH43" s="49" t="e">
        <f t="shared" si="43"/>
        <v>#DIV/0!</v>
      </c>
      <c r="AI43" s="133">
        <f t="shared" si="44"/>
        <v>0</v>
      </c>
      <c r="AJ43" s="133">
        <f t="shared" si="45"/>
        <v>53837.14</v>
      </c>
      <c r="AK43" s="49" t="e">
        <f t="shared" si="46"/>
        <v>#DIV/0!</v>
      </c>
      <c r="AL43" s="133"/>
      <c r="AM43" s="133">
        <v>51848.85</v>
      </c>
      <c r="AN43" s="49" t="e">
        <f t="shared" si="47"/>
        <v>#DIV/0!</v>
      </c>
      <c r="AO43" s="133">
        <f t="shared" si="48"/>
        <v>0</v>
      </c>
      <c r="AP43" s="133">
        <f t="shared" si="49"/>
        <v>105685.99</v>
      </c>
      <c r="AQ43" s="49" t="e">
        <f t="shared" si="50"/>
        <v>#DIV/0!</v>
      </c>
      <c r="AR43" s="133"/>
      <c r="AS43" s="133">
        <v>4399.2</v>
      </c>
      <c r="AT43" s="49" t="e">
        <f t="shared" si="51"/>
        <v>#DIV/0!</v>
      </c>
      <c r="AU43" s="133">
        <f t="shared" si="52"/>
        <v>0</v>
      </c>
      <c r="AV43" s="133">
        <f t="shared" si="53"/>
        <v>110085.19</v>
      </c>
      <c r="AW43" s="49" t="e">
        <f t="shared" si="54"/>
        <v>#DIV/0!</v>
      </c>
      <c r="AX43" s="60">
        <v>2640</v>
      </c>
      <c r="AY43" s="60">
        <v>57282.79</v>
      </c>
      <c r="AZ43" s="49">
        <f t="shared" si="55"/>
        <v>20.6980265151515</v>
      </c>
      <c r="BA43" s="60">
        <f t="shared" si="56"/>
        <v>2640</v>
      </c>
      <c r="BB43" s="60">
        <f t="shared" si="57"/>
        <v>167367.98</v>
      </c>
      <c r="BC43" s="49">
        <f t="shared" si="58"/>
        <v>62.3969621212121</v>
      </c>
      <c r="BD43" s="60">
        <v>873.36</v>
      </c>
      <c r="BE43" s="192">
        <v>29873.1</v>
      </c>
      <c r="BF43" s="191">
        <v>22911.5</v>
      </c>
      <c r="BG43" s="133">
        <v>6688</v>
      </c>
      <c r="BH43" s="133">
        <v>62985.96</v>
      </c>
      <c r="BI43" s="159">
        <f t="shared" si="59"/>
        <v>0.597742785714286</v>
      </c>
      <c r="BJ43" s="133"/>
      <c r="BK43" s="133"/>
    </row>
    <row r="44" spans="1:63">
      <c r="A44" s="186"/>
      <c r="B44" s="141" t="s">
        <v>27</v>
      </c>
      <c r="C44" s="141" t="s">
        <v>27</v>
      </c>
      <c r="D44" s="187" t="s">
        <v>215</v>
      </c>
      <c r="E44" s="126" t="s">
        <v>101</v>
      </c>
      <c r="F44" s="126" t="s">
        <v>101</v>
      </c>
      <c r="G44" s="126" t="s">
        <v>167</v>
      </c>
      <c r="H44" s="126" t="s">
        <v>213</v>
      </c>
      <c r="I44" s="126" t="s">
        <v>169</v>
      </c>
      <c r="J44" s="190"/>
      <c r="K44" s="191">
        <v>3911</v>
      </c>
      <c r="L44" s="191"/>
      <c r="M44" s="49">
        <f t="shared" si="30"/>
        <v>-1</v>
      </c>
      <c r="N44" s="133"/>
      <c r="O44" s="133"/>
      <c r="P44" s="49" t="e">
        <f t="shared" si="31"/>
        <v>#DIV/0!</v>
      </c>
      <c r="Q44" s="133">
        <f t="shared" si="32"/>
        <v>3911</v>
      </c>
      <c r="R44" s="133">
        <f t="shared" si="33"/>
        <v>0</v>
      </c>
      <c r="S44" s="49">
        <f t="shared" si="34"/>
        <v>-1</v>
      </c>
      <c r="T44" s="60"/>
      <c r="U44" s="60"/>
      <c r="V44" s="49" t="e">
        <f t="shared" si="35"/>
        <v>#DIV/0!</v>
      </c>
      <c r="W44" s="60">
        <f t="shared" si="36"/>
        <v>3911</v>
      </c>
      <c r="X44" s="60">
        <f t="shared" si="37"/>
        <v>0</v>
      </c>
      <c r="Y44" s="49">
        <f t="shared" si="38"/>
        <v>-1</v>
      </c>
      <c r="Z44" s="133"/>
      <c r="AA44" s="133"/>
      <c r="AB44" s="49" t="e">
        <f t="shared" si="39"/>
        <v>#DIV/0!</v>
      </c>
      <c r="AC44" s="133">
        <f t="shared" si="40"/>
        <v>3911</v>
      </c>
      <c r="AD44" s="133">
        <f t="shared" si="41"/>
        <v>0</v>
      </c>
      <c r="AE44" s="49">
        <f t="shared" si="42"/>
        <v>-1</v>
      </c>
      <c r="AF44" s="133"/>
      <c r="AG44" s="133"/>
      <c r="AH44" s="49" t="e">
        <f t="shared" si="43"/>
        <v>#DIV/0!</v>
      </c>
      <c r="AI44" s="133">
        <f t="shared" si="44"/>
        <v>3911</v>
      </c>
      <c r="AJ44" s="133">
        <f t="shared" si="45"/>
        <v>0</v>
      </c>
      <c r="AK44" s="49">
        <f t="shared" si="46"/>
        <v>-1</v>
      </c>
      <c r="AL44" s="133"/>
      <c r="AM44" s="133"/>
      <c r="AN44" s="49" t="e">
        <f t="shared" si="47"/>
        <v>#DIV/0!</v>
      </c>
      <c r="AO44" s="133">
        <f t="shared" si="48"/>
        <v>3911</v>
      </c>
      <c r="AP44" s="133">
        <f t="shared" si="49"/>
        <v>0</v>
      </c>
      <c r="AQ44" s="49">
        <f t="shared" si="50"/>
        <v>-1</v>
      </c>
      <c r="AR44" s="133"/>
      <c r="AS44" s="133"/>
      <c r="AT44" s="49" t="e">
        <f t="shared" si="51"/>
        <v>#DIV/0!</v>
      </c>
      <c r="AU44" s="133">
        <f t="shared" si="52"/>
        <v>3911</v>
      </c>
      <c r="AV44" s="133">
        <f t="shared" si="53"/>
        <v>0</v>
      </c>
      <c r="AW44" s="49">
        <f t="shared" si="54"/>
        <v>-1</v>
      </c>
      <c r="AX44" s="60"/>
      <c r="AY44" s="60"/>
      <c r="AZ44" s="49" t="e">
        <f t="shared" si="55"/>
        <v>#DIV/0!</v>
      </c>
      <c r="BA44" s="60">
        <f t="shared" si="56"/>
        <v>3911</v>
      </c>
      <c r="BB44" s="60">
        <f t="shared" si="57"/>
        <v>0</v>
      </c>
      <c r="BC44" s="49">
        <f t="shared" si="58"/>
        <v>-1</v>
      </c>
      <c r="BD44" s="60"/>
      <c r="BE44" s="192"/>
      <c r="BF44" s="191"/>
      <c r="BG44" s="133"/>
      <c r="BH44" s="133">
        <v>3911</v>
      </c>
      <c r="BI44" s="159" t="e">
        <f t="shared" si="59"/>
        <v>#DIV/0!</v>
      </c>
      <c r="BJ44" s="133"/>
      <c r="BK44" s="133"/>
    </row>
    <row r="45" spans="1:63">
      <c r="A45" s="186"/>
      <c r="B45" s="141" t="s">
        <v>27</v>
      </c>
      <c r="C45" s="141" t="s">
        <v>27</v>
      </c>
      <c r="D45" s="187" t="s">
        <v>216</v>
      </c>
      <c r="E45" s="126" t="s">
        <v>101</v>
      </c>
      <c r="F45" s="126" t="s">
        <v>101</v>
      </c>
      <c r="G45" s="126" t="s">
        <v>163</v>
      </c>
      <c r="H45" s="126" t="s">
        <v>163</v>
      </c>
      <c r="I45" s="126" t="s">
        <v>164</v>
      </c>
      <c r="J45" s="190"/>
      <c r="K45" s="191"/>
      <c r="L45" s="191"/>
      <c r="M45" s="49" t="e">
        <f t="shared" si="30"/>
        <v>#DIV/0!</v>
      </c>
      <c r="N45" s="133">
        <v>6431</v>
      </c>
      <c r="O45" s="133"/>
      <c r="P45" s="49">
        <f t="shared" si="31"/>
        <v>-1</v>
      </c>
      <c r="Q45" s="133">
        <f t="shared" si="32"/>
        <v>6431</v>
      </c>
      <c r="R45" s="133">
        <f t="shared" si="33"/>
        <v>0</v>
      </c>
      <c r="S45" s="49">
        <f t="shared" si="34"/>
        <v>-1</v>
      </c>
      <c r="T45" s="60"/>
      <c r="U45" s="60"/>
      <c r="V45" s="49" t="e">
        <f t="shared" si="35"/>
        <v>#DIV/0!</v>
      </c>
      <c r="W45" s="60">
        <f t="shared" si="36"/>
        <v>6431</v>
      </c>
      <c r="X45" s="60">
        <f t="shared" si="37"/>
        <v>0</v>
      </c>
      <c r="Y45" s="49">
        <f t="shared" si="38"/>
        <v>-1</v>
      </c>
      <c r="Z45" s="133"/>
      <c r="AA45" s="133"/>
      <c r="AB45" s="49" t="e">
        <f t="shared" si="39"/>
        <v>#DIV/0!</v>
      </c>
      <c r="AC45" s="133">
        <f t="shared" si="40"/>
        <v>6431</v>
      </c>
      <c r="AD45" s="133">
        <f t="shared" si="41"/>
        <v>0</v>
      </c>
      <c r="AE45" s="49">
        <f t="shared" si="42"/>
        <v>-1</v>
      </c>
      <c r="AF45" s="133"/>
      <c r="AG45" s="133">
        <v>6566</v>
      </c>
      <c r="AH45" s="49" t="e">
        <f t="shared" si="43"/>
        <v>#DIV/0!</v>
      </c>
      <c r="AI45" s="133">
        <f t="shared" si="44"/>
        <v>6431</v>
      </c>
      <c r="AJ45" s="133">
        <f t="shared" si="45"/>
        <v>6566</v>
      </c>
      <c r="AK45" s="49">
        <f t="shared" si="46"/>
        <v>0.0209920696625718</v>
      </c>
      <c r="AL45" s="133"/>
      <c r="AM45" s="133"/>
      <c r="AN45" s="49" t="e">
        <f t="shared" si="47"/>
        <v>#DIV/0!</v>
      </c>
      <c r="AO45" s="133">
        <f t="shared" si="48"/>
        <v>6431</v>
      </c>
      <c r="AP45" s="133">
        <f t="shared" si="49"/>
        <v>6566</v>
      </c>
      <c r="AQ45" s="49">
        <f t="shared" si="50"/>
        <v>0.0209920696625718</v>
      </c>
      <c r="AR45" s="133"/>
      <c r="AS45" s="133"/>
      <c r="AT45" s="49" t="e">
        <f t="shared" si="51"/>
        <v>#DIV/0!</v>
      </c>
      <c r="AU45" s="133">
        <f t="shared" si="52"/>
        <v>6431</v>
      </c>
      <c r="AV45" s="133">
        <f t="shared" si="53"/>
        <v>6566</v>
      </c>
      <c r="AW45" s="49">
        <f t="shared" si="54"/>
        <v>0.0209920696625718</v>
      </c>
      <c r="AX45" s="60"/>
      <c r="AY45" s="60"/>
      <c r="AZ45" s="49" t="e">
        <f t="shared" si="55"/>
        <v>#DIV/0!</v>
      </c>
      <c r="BA45" s="60">
        <f t="shared" si="56"/>
        <v>6431</v>
      </c>
      <c r="BB45" s="60">
        <f t="shared" si="57"/>
        <v>6566</v>
      </c>
      <c r="BC45" s="49">
        <f t="shared" si="58"/>
        <v>0.0209920696625718</v>
      </c>
      <c r="BD45" s="60"/>
      <c r="BE45" s="192"/>
      <c r="BF45" s="191"/>
      <c r="BG45" s="133"/>
      <c r="BH45" s="133">
        <v>6431</v>
      </c>
      <c r="BI45" s="159" t="e">
        <f t="shared" si="59"/>
        <v>#DIV/0!</v>
      </c>
      <c r="BJ45" s="133"/>
      <c r="BK45" s="133"/>
    </row>
    <row r="46" spans="1:63">
      <c r="A46" s="186"/>
      <c r="B46" s="141" t="s">
        <v>27</v>
      </c>
      <c r="C46" s="141" t="s">
        <v>27</v>
      </c>
      <c r="D46" s="187" t="s">
        <v>217</v>
      </c>
      <c r="E46" s="126" t="s">
        <v>60</v>
      </c>
      <c r="F46" s="126" t="s">
        <v>60</v>
      </c>
      <c r="G46" s="126" t="s">
        <v>167</v>
      </c>
      <c r="H46" s="126" t="s">
        <v>185</v>
      </c>
      <c r="I46" s="126" t="s">
        <v>169</v>
      </c>
      <c r="J46" s="190">
        <v>0</v>
      </c>
      <c r="K46" s="191"/>
      <c r="L46" s="191"/>
      <c r="M46" s="49" t="e">
        <f t="shared" si="30"/>
        <v>#DIV/0!</v>
      </c>
      <c r="N46" s="133">
        <v>20000</v>
      </c>
      <c r="O46" s="133"/>
      <c r="P46" s="49">
        <f t="shared" si="31"/>
        <v>-1</v>
      </c>
      <c r="Q46" s="133">
        <f t="shared" si="32"/>
        <v>20000</v>
      </c>
      <c r="R46" s="133">
        <f t="shared" si="33"/>
        <v>0</v>
      </c>
      <c r="S46" s="49">
        <f t="shared" si="34"/>
        <v>-1</v>
      </c>
      <c r="T46" s="60"/>
      <c r="U46" s="60">
        <v>7105</v>
      </c>
      <c r="V46" s="49" t="e">
        <f t="shared" si="35"/>
        <v>#DIV/0!</v>
      </c>
      <c r="W46" s="60">
        <f t="shared" si="36"/>
        <v>20000</v>
      </c>
      <c r="X46" s="60">
        <f t="shared" si="37"/>
        <v>7105</v>
      </c>
      <c r="Y46" s="49">
        <f t="shared" si="38"/>
        <v>-0.64475</v>
      </c>
      <c r="Z46" s="133"/>
      <c r="AA46" s="133"/>
      <c r="AB46" s="49" t="e">
        <f t="shared" si="39"/>
        <v>#DIV/0!</v>
      </c>
      <c r="AC46" s="133">
        <f t="shared" si="40"/>
        <v>20000</v>
      </c>
      <c r="AD46" s="133">
        <f t="shared" si="41"/>
        <v>7105</v>
      </c>
      <c r="AE46" s="49">
        <f t="shared" si="42"/>
        <v>-0.64475</v>
      </c>
      <c r="AF46" s="133"/>
      <c r="AG46" s="133"/>
      <c r="AH46" s="49" t="e">
        <f t="shared" si="43"/>
        <v>#DIV/0!</v>
      </c>
      <c r="AI46" s="133">
        <f t="shared" si="44"/>
        <v>20000</v>
      </c>
      <c r="AJ46" s="133">
        <f t="shared" si="45"/>
        <v>7105</v>
      </c>
      <c r="AK46" s="49">
        <f t="shared" si="46"/>
        <v>-0.64475</v>
      </c>
      <c r="AL46" s="133">
        <v>2310</v>
      </c>
      <c r="AM46" s="133"/>
      <c r="AN46" s="49">
        <f t="shared" si="47"/>
        <v>-1</v>
      </c>
      <c r="AO46" s="133">
        <f t="shared" si="48"/>
        <v>22310</v>
      </c>
      <c r="AP46" s="133">
        <f t="shared" si="49"/>
        <v>7105</v>
      </c>
      <c r="AQ46" s="49">
        <f t="shared" si="50"/>
        <v>-0.681532944867772</v>
      </c>
      <c r="AR46" s="133"/>
      <c r="AS46" s="133"/>
      <c r="AT46" s="49" t="e">
        <f t="shared" si="51"/>
        <v>#DIV/0!</v>
      </c>
      <c r="AU46" s="133">
        <f t="shared" si="52"/>
        <v>22310</v>
      </c>
      <c r="AV46" s="133">
        <f t="shared" si="53"/>
        <v>7105</v>
      </c>
      <c r="AW46" s="49">
        <f t="shared" si="54"/>
        <v>-0.681532944867772</v>
      </c>
      <c r="AX46" s="60"/>
      <c r="AY46" s="60"/>
      <c r="AZ46" s="49" t="e">
        <f t="shared" si="55"/>
        <v>#DIV/0!</v>
      </c>
      <c r="BA46" s="60">
        <f t="shared" si="56"/>
        <v>22310</v>
      </c>
      <c r="BB46" s="60">
        <f t="shared" si="57"/>
        <v>7105</v>
      </c>
      <c r="BC46" s="49">
        <f t="shared" si="58"/>
        <v>-0.681532944867772</v>
      </c>
      <c r="BD46" s="60">
        <v>15249</v>
      </c>
      <c r="BE46" s="192">
        <v>5443</v>
      </c>
      <c r="BF46" s="191"/>
      <c r="BG46" s="133"/>
      <c r="BH46" s="133">
        <v>43002</v>
      </c>
      <c r="BI46" s="159" t="e">
        <f t="shared" si="59"/>
        <v>#DIV/0!</v>
      </c>
      <c r="BJ46" s="133"/>
      <c r="BK46" s="133"/>
    </row>
    <row r="47" spans="1:63">
      <c r="A47" s="186"/>
      <c r="B47" s="141" t="s">
        <v>27</v>
      </c>
      <c r="C47" s="141" t="s">
        <v>27</v>
      </c>
      <c r="D47" s="146" t="s">
        <v>218</v>
      </c>
      <c r="E47" s="133" t="s">
        <v>60</v>
      </c>
      <c r="F47" s="126" t="s">
        <v>60</v>
      </c>
      <c r="G47" s="126" t="s">
        <v>176</v>
      </c>
      <c r="H47" s="126" t="s">
        <v>176</v>
      </c>
      <c r="I47" s="133" t="s">
        <v>164</v>
      </c>
      <c r="J47" s="190"/>
      <c r="K47" s="191"/>
      <c r="L47" s="191"/>
      <c r="M47" s="49" t="e">
        <f t="shared" si="30"/>
        <v>#DIV/0!</v>
      </c>
      <c r="N47" s="133"/>
      <c r="O47" s="133">
        <v>10000</v>
      </c>
      <c r="P47" s="49" t="e">
        <f t="shared" si="31"/>
        <v>#DIV/0!</v>
      </c>
      <c r="Q47" s="133">
        <f t="shared" si="32"/>
        <v>0</v>
      </c>
      <c r="R47" s="133">
        <f t="shared" si="33"/>
        <v>10000</v>
      </c>
      <c r="S47" s="49" t="e">
        <f t="shared" si="34"/>
        <v>#DIV/0!</v>
      </c>
      <c r="T47" s="60"/>
      <c r="U47" s="60"/>
      <c r="V47" s="49" t="e">
        <f t="shared" si="35"/>
        <v>#DIV/0!</v>
      </c>
      <c r="W47" s="60">
        <f t="shared" si="36"/>
        <v>0</v>
      </c>
      <c r="X47" s="60">
        <f t="shared" si="37"/>
        <v>10000</v>
      </c>
      <c r="Y47" s="49" t="e">
        <f t="shared" si="38"/>
        <v>#DIV/0!</v>
      </c>
      <c r="Z47" s="133">
        <v>10000</v>
      </c>
      <c r="AA47" s="133"/>
      <c r="AB47" s="49">
        <f t="shared" si="39"/>
        <v>-1</v>
      </c>
      <c r="AC47" s="133">
        <f t="shared" si="40"/>
        <v>10000</v>
      </c>
      <c r="AD47" s="133">
        <f t="shared" si="41"/>
        <v>10000</v>
      </c>
      <c r="AE47" s="49">
        <f t="shared" si="42"/>
        <v>0</v>
      </c>
      <c r="AF47" s="133"/>
      <c r="AG47" s="133"/>
      <c r="AH47" s="49" t="e">
        <f t="shared" si="43"/>
        <v>#DIV/0!</v>
      </c>
      <c r="AI47" s="133">
        <f t="shared" si="44"/>
        <v>10000</v>
      </c>
      <c r="AJ47" s="133">
        <f t="shared" si="45"/>
        <v>10000</v>
      </c>
      <c r="AK47" s="49">
        <f t="shared" si="46"/>
        <v>0</v>
      </c>
      <c r="AL47" s="133"/>
      <c r="AM47" s="133"/>
      <c r="AN47" s="49" t="e">
        <f t="shared" si="47"/>
        <v>#DIV/0!</v>
      </c>
      <c r="AO47" s="133">
        <f t="shared" si="48"/>
        <v>10000</v>
      </c>
      <c r="AP47" s="133">
        <f t="shared" si="49"/>
        <v>10000</v>
      </c>
      <c r="AQ47" s="49">
        <f t="shared" si="50"/>
        <v>0</v>
      </c>
      <c r="AR47" s="133"/>
      <c r="AS47" s="133">
        <v>4124</v>
      </c>
      <c r="AT47" s="49" t="e">
        <f t="shared" si="51"/>
        <v>#DIV/0!</v>
      </c>
      <c r="AU47" s="133">
        <f t="shared" si="52"/>
        <v>10000</v>
      </c>
      <c r="AV47" s="133">
        <f t="shared" si="53"/>
        <v>14124</v>
      </c>
      <c r="AW47" s="49">
        <f t="shared" si="54"/>
        <v>0.4124</v>
      </c>
      <c r="AX47" s="60"/>
      <c r="AY47" s="60"/>
      <c r="AZ47" s="49" t="e">
        <f t="shared" si="55"/>
        <v>#DIV/0!</v>
      </c>
      <c r="BA47" s="60">
        <f t="shared" si="56"/>
        <v>10000</v>
      </c>
      <c r="BB47" s="60">
        <f t="shared" si="57"/>
        <v>14124</v>
      </c>
      <c r="BC47" s="49">
        <f t="shared" si="58"/>
        <v>0.4124</v>
      </c>
      <c r="BD47" s="60"/>
      <c r="BE47" s="192"/>
      <c r="BF47" s="191">
        <v>10000</v>
      </c>
      <c r="BG47" s="133"/>
      <c r="BH47" s="133">
        <v>20000</v>
      </c>
      <c r="BI47" s="159" t="e">
        <f t="shared" si="59"/>
        <v>#DIV/0!</v>
      </c>
      <c r="BJ47" s="133"/>
      <c r="BK47" s="133"/>
    </row>
    <row r="48" spans="1:63">
      <c r="A48" s="186"/>
      <c r="B48" s="141" t="s">
        <v>27</v>
      </c>
      <c r="C48" s="141" t="s">
        <v>27</v>
      </c>
      <c r="D48" s="146" t="s">
        <v>219</v>
      </c>
      <c r="E48" s="133" t="s">
        <v>60</v>
      </c>
      <c r="F48" s="126" t="s">
        <v>60</v>
      </c>
      <c r="G48" s="188" t="s">
        <v>182</v>
      </c>
      <c r="H48" s="188" t="s">
        <v>182</v>
      </c>
      <c r="I48" s="133" t="s">
        <v>173</v>
      </c>
      <c r="J48" s="190">
        <v>5</v>
      </c>
      <c r="K48" s="191"/>
      <c r="L48" s="191"/>
      <c r="M48" s="49" t="e">
        <f t="shared" si="30"/>
        <v>#DIV/0!</v>
      </c>
      <c r="N48" s="133"/>
      <c r="O48" s="133"/>
      <c r="P48" s="49" t="e">
        <f t="shared" si="31"/>
        <v>#DIV/0!</v>
      </c>
      <c r="Q48" s="133">
        <f t="shared" si="32"/>
        <v>0</v>
      </c>
      <c r="R48" s="133">
        <f t="shared" si="33"/>
        <v>0</v>
      </c>
      <c r="S48" s="49" t="e">
        <f t="shared" si="34"/>
        <v>#DIV/0!</v>
      </c>
      <c r="T48" s="60"/>
      <c r="U48" s="60"/>
      <c r="V48" s="49" t="e">
        <f t="shared" si="35"/>
        <v>#DIV/0!</v>
      </c>
      <c r="W48" s="60">
        <f t="shared" si="36"/>
        <v>0</v>
      </c>
      <c r="X48" s="60">
        <f t="shared" si="37"/>
        <v>0</v>
      </c>
      <c r="Y48" s="49" t="e">
        <f t="shared" si="38"/>
        <v>#DIV/0!</v>
      </c>
      <c r="Z48" s="133">
        <v>5382</v>
      </c>
      <c r="AA48" s="133"/>
      <c r="AB48" s="49">
        <f t="shared" si="39"/>
        <v>-1</v>
      </c>
      <c r="AC48" s="133">
        <f t="shared" si="40"/>
        <v>5382</v>
      </c>
      <c r="AD48" s="133">
        <f t="shared" si="41"/>
        <v>0</v>
      </c>
      <c r="AE48" s="49">
        <f t="shared" si="42"/>
        <v>-1</v>
      </c>
      <c r="AF48" s="133"/>
      <c r="AG48" s="133"/>
      <c r="AH48" s="49" t="e">
        <f t="shared" si="43"/>
        <v>#DIV/0!</v>
      </c>
      <c r="AI48" s="133">
        <f t="shared" si="44"/>
        <v>5382</v>
      </c>
      <c r="AJ48" s="133">
        <f t="shared" si="45"/>
        <v>0</v>
      </c>
      <c r="AK48" s="49">
        <f t="shared" si="46"/>
        <v>-1</v>
      </c>
      <c r="AL48" s="133"/>
      <c r="AM48" s="133"/>
      <c r="AN48" s="49" t="e">
        <f t="shared" si="47"/>
        <v>#DIV/0!</v>
      </c>
      <c r="AO48" s="133">
        <f t="shared" si="48"/>
        <v>5382</v>
      </c>
      <c r="AP48" s="133">
        <f t="shared" si="49"/>
        <v>0</v>
      </c>
      <c r="AQ48" s="49">
        <f t="shared" si="50"/>
        <v>-1</v>
      </c>
      <c r="AR48" s="133"/>
      <c r="AS48" s="133"/>
      <c r="AT48" s="49" t="e">
        <f t="shared" si="51"/>
        <v>#DIV/0!</v>
      </c>
      <c r="AU48" s="133">
        <f t="shared" si="52"/>
        <v>5382</v>
      </c>
      <c r="AV48" s="133">
        <f t="shared" si="53"/>
        <v>0</v>
      </c>
      <c r="AW48" s="49">
        <f t="shared" si="54"/>
        <v>-1</v>
      </c>
      <c r="AX48" s="60"/>
      <c r="AY48" s="60"/>
      <c r="AZ48" s="49" t="e">
        <f t="shared" si="55"/>
        <v>#DIV/0!</v>
      </c>
      <c r="BA48" s="60">
        <f t="shared" si="56"/>
        <v>5382</v>
      </c>
      <c r="BB48" s="60">
        <f t="shared" si="57"/>
        <v>0</v>
      </c>
      <c r="BC48" s="49">
        <f t="shared" si="58"/>
        <v>-1</v>
      </c>
      <c r="BD48" s="60"/>
      <c r="BE48" s="192"/>
      <c r="BF48" s="191"/>
      <c r="BG48" s="133"/>
      <c r="BH48" s="133">
        <v>5382</v>
      </c>
      <c r="BI48" s="159">
        <f t="shared" si="59"/>
        <v>0</v>
      </c>
      <c r="BJ48" s="133"/>
      <c r="BK48" s="133"/>
    </row>
    <row r="49" spans="1:63">
      <c r="A49" s="186"/>
      <c r="B49" s="141" t="s">
        <v>27</v>
      </c>
      <c r="C49" s="141" t="s">
        <v>27</v>
      </c>
      <c r="D49" s="146" t="s">
        <v>220</v>
      </c>
      <c r="E49" s="133" t="s">
        <v>60</v>
      </c>
      <c r="F49" s="126" t="s">
        <v>60</v>
      </c>
      <c r="G49" s="126" t="s">
        <v>163</v>
      </c>
      <c r="H49" s="126" t="s">
        <v>163</v>
      </c>
      <c r="I49" s="133" t="s">
        <v>164</v>
      </c>
      <c r="J49" s="190"/>
      <c r="K49" s="191"/>
      <c r="L49" s="191"/>
      <c r="M49" s="49" t="e">
        <f t="shared" si="30"/>
        <v>#DIV/0!</v>
      </c>
      <c r="N49" s="133"/>
      <c r="O49" s="133">
        <v>2992</v>
      </c>
      <c r="P49" s="49" t="e">
        <f t="shared" si="31"/>
        <v>#DIV/0!</v>
      </c>
      <c r="Q49" s="133">
        <f t="shared" si="32"/>
        <v>0</v>
      </c>
      <c r="R49" s="133">
        <f t="shared" si="33"/>
        <v>2992</v>
      </c>
      <c r="S49" s="49" t="e">
        <f t="shared" si="34"/>
        <v>#DIV/0!</v>
      </c>
      <c r="T49" s="60"/>
      <c r="U49" s="60"/>
      <c r="V49" s="49" t="e">
        <f t="shared" si="35"/>
        <v>#DIV/0!</v>
      </c>
      <c r="W49" s="60">
        <f t="shared" si="36"/>
        <v>0</v>
      </c>
      <c r="X49" s="60">
        <f t="shared" si="37"/>
        <v>2992</v>
      </c>
      <c r="Y49" s="49" t="e">
        <f t="shared" si="38"/>
        <v>#DIV/0!</v>
      </c>
      <c r="Z49" s="133"/>
      <c r="AA49" s="133"/>
      <c r="AB49" s="49" t="e">
        <f t="shared" si="39"/>
        <v>#DIV/0!</v>
      </c>
      <c r="AC49" s="133">
        <f t="shared" si="40"/>
        <v>0</v>
      </c>
      <c r="AD49" s="133">
        <f t="shared" si="41"/>
        <v>2992</v>
      </c>
      <c r="AE49" s="49" t="e">
        <f t="shared" si="42"/>
        <v>#DIV/0!</v>
      </c>
      <c r="AF49" s="133">
        <v>5370</v>
      </c>
      <c r="AG49" s="133"/>
      <c r="AH49" s="49">
        <f t="shared" si="43"/>
        <v>-1</v>
      </c>
      <c r="AI49" s="133">
        <f t="shared" si="44"/>
        <v>5370</v>
      </c>
      <c r="AJ49" s="133">
        <f t="shared" si="45"/>
        <v>2992</v>
      </c>
      <c r="AK49" s="49">
        <f t="shared" si="46"/>
        <v>-0.442830540037244</v>
      </c>
      <c r="AL49" s="133"/>
      <c r="AM49" s="133"/>
      <c r="AN49" s="49" t="e">
        <f t="shared" si="47"/>
        <v>#DIV/0!</v>
      </c>
      <c r="AO49" s="133">
        <f t="shared" si="48"/>
        <v>5370</v>
      </c>
      <c r="AP49" s="133">
        <f t="shared" si="49"/>
        <v>2992</v>
      </c>
      <c r="AQ49" s="49">
        <f t="shared" si="50"/>
        <v>-0.442830540037244</v>
      </c>
      <c r="AR49" s="133"/>
      <c r="AS49" s="133"/>
      <c r="AT49" s="49" t="e">
        <f t="shared" si="51"/>
        <v>#DIV/0!</v>
      </c>
      <c r="AU49" s="133">
        <f t="shared" si="52"/>
        <v>5370</v>
      </c>
      <c r="AV49" s="133">
        <f t="shared" si="53"/>
        <v>2992</v>
      </c>
      <c r="AW49" s="49">
        <f t="shared" si="54"/>
        <v>-0.442830540037244</v>
      </c>
      <c r="AX49" s="60"/>
      <c r="AY49" s="60"/>
      <c r="AZ49" s="49" t="e">
        <f t="shared" si="55"/>
        <v>#DIV/0!</v>
      </c>
      <c r="BA49" s="60">
        <f t="shared" si="56"/>
        <v>5370</v>
      </c>
      <c r="BB49" s="60">
        <f t="shared" si="57"/>
        <v>2992</v>
      </c>
      <c r="BC49" s="49">
        <f t="shared" si="58"/>
        <v>-0.442830540037244</v>
      </c>
      <c r="BD49" s="60"/>
      <c r="BE49" s="192">
        <v>4058</v>
      </c>
      <c r="BF49" s="191"/>
      <c r="BG49" s="133"/>
      <c r="BH49" s="133">
        <v>9428</v>
      </c>
      <c r="BI49" s="159" t="e">
        <f t="shared" si="59"/>
        <v>#DIV/0!</v>
      </c>
      <c r="BJ49" s="133"/>
      <c r="BK49" s="133"/>
    </row>
    <row r="50" spans="1:63">
      <c r="A50" s="186"/>
      <c r="B50" s="141" t="s">
        <v>27</v>
      </c>
      <c r="C50" s="141" t="s">
        <v>27</v>
      </c>
      <c r="D50" s="146" t="s">
        <v>221</v>
      </c>
      <c r="E50" s="133" t="s">
        <v>60</v>
      </c>
      <c r="F50" s="126" t="s">
        <v>60</v>
      </c>
      <c r="G50" s="126" t="s">
        <v>163</v>
      </c>
      <c r="H50" s="126" t="s">
        <v>163</v>
      </c>
      <c r="I50" s="133" t="s">
        <v>164</v>
      </c>
      <c r="J50" s="190"/>
      <c r="K50" s="191"/>
      <c r="L50" s="191"/>
      <c r="M50" s="49" t="e">
        <f t="shared" si="30"/>
        <v>#DIV/0!</v>
      </c>
      <c r="N50" s="133"/>
      <c r="O50" s="133"/>
      <c r="P50" s="49" t="e">
        <f t="shared" si="31"/>
        <v>#DIV/0!</v>
      </c>
      <c r="Q50" s="133">
        <f t="shared" si="32"/>
        <v>0</v>
      </c>
      <c r="R50" s="133">
        <f t="shared" si="33"/>
        <v>0</v>
      </c>
      <c r="S50" s="49" t="e">
        <f t="shared" si="34"/>
        <v>#DIV/0!</v>
      </c>
      <c r="T50" s="60"/>
      <c r="U50" s="60"/>
      <c r="V50" s="49" t="e">
        <f t="shared" si="35"/>
        <v>#DIV/0!</v>
      </c>
      <c r="W50" s="60">
        <f t="shared" si="36"/>
        <v>0</v>
      </c>
      <c r="X50" s="60">
        <f t="shared" si="37"/>
        <v>0</v>
      </c>
      <c r="Y50" s="49" t="e">
        <f t="shared" si="38"/>
        <v>#DIV/0!</v>
      </c>
      <c r="Z50" s="133"/>
      <c r="AA50" s="133"/>
      <c r="AB50" s="49" t="e">
        <f t="shared" si="39"/>
        <v>#DIV/0!</v>
      </c>
      <c r="AC50" s="133">
        <f t="shared" si="40"/>
        <v>0</v>
      </c>
      <c r="AD50" s="133">
        <f t="shared" si="41"/>
        <v>0</v>
      </c>
      <c r="AE50" s="49" t="e">
        <f t="shared" si="42"/>
        <v>#DIV/0!</v>
      </c>
      <c r="AF50" s="133">
        <v>7590</v>
      </c>
      <c r="AG50" s="133"/>
      <c r="AH50" s="49">
        <f t="shared" si="43"/>
        <v>-1</v>
      </c>
      <c r="AI50" s="133">
        <f t="shared" si="44"/>
        <v>7590</v>
      </c>
      <c r="AJ50" s="133">
        <f t="shared" si="45"/>
        <v>0</v>
      </c>
      <c r="AK50" s="49">
        <f t="shared" si="46"/>
        <v>-1</v>
      </c>
      <c r="AL50" s="133">
        <v>11200</v>
      </c>
      <c r="AM50" s="133"/>
      <c r="AN50" s="49">
        <f t="shared" si="47"/>
        <v>-1</v>
      </c>
      <c r="AO50" s="133">
        <f t="shared" si="48"/>
        <v>18790</v>
      </c>
      <c r="AP50" s="133">
        <f t="shared" si="49"/>
        <v>0</v>
      </c>
      <c r="AQ50" s="49">
        <f t="shared" si="50"/>
        <v>-1</v>
      </c>
      <c r="AR50" s="133">
        <v>2148</v>
      </c>
      <c r="AS50" s="133"/>
      <c r="AT50" s="49">
        <f t="shared" si="51"/>
        <v>-1</v>
      </c>
      <c r="AU50" s="133">
        <f t="shared" si="52"/>
        <v>20938</v>
      </c>
      <c r="AV50" s="133">
        <f t="shared" si="53"/>
        <v>0</v>
      </c>
      <c r="AW50" s="49">
        <f t="shared" si="54"/>
        <v>-1</v>
      </c>
      <c r="AX50" s="60">
        <v>3919</v>
      </c>
      <c r="AY50" s="60"/>
      <c r="AZ50" s="49">
        <f t="shared" si="55"/>
        <v>-1</v>
      </c>
      <c r="BA50" s="60">
        <f t="shared" si="56"/>
        <v>24857</v>
      </c>
      <c r="BB50" s="60">
        <f t="shared" si="57"/>
        <v>0</v>
      </c>
      <c r="BC50" s="49">
        <f t="shared" si="58"/>
        <v>-1</v>
      </c>
      <c r="BD50" s="60">
        <v>4887</v>
      </c>
      <c r="BE50" s="192">
        <v>23919</v>
      </c>
      <c r="BF50" s="191"/>
      <c r="BG50" s="133">
        <v>57800</v>
      </c>
      <c r="BH50" s="133">
        <v>111463</v>
      </c>
      <c r="BI50" s="159" t="e">
        <f t="shared" si="59"/>
        <v>#DIV/0!</v>
      </c>
      <c r="BJ50" s="133"/>
      <c r="BK50" s="133"/>
    </row>
    <row r="51" spans="1:63">
      <c r="A51" s="186"/>
      <c r="B51" s="141" t="s">
        <v>27</v>
      </c>
      <c r="C51" s="141" t="s">
        <v>27</v>
      </c>
      <c r="D51" s="146" t="s">
        <v>222</v>
      </c>
      <c r="E51" s="133" t="s">
        <v>60</v>
      </c>
      <c r="F51" s="126" t="s">
        <v>60</v>
      </c>
      <c r="G51" s="188" t="s">
        <v>180</v>
      </c>
      <c r="H51" s="188" t="s">
        <v>180</v>
      </c>
      <c r="I51" s="133" t="s">
        <v>173</v>
      </c>
      <c r="J51" s="190"/>
      <c r="K51" s="191"/>
      <c r="L51" s="191"/>
      <c r="M51" s="49" t="e">
        <f t="shared" si="30"/>
        <v>#DIV/0!</v>
      </c>
      <c r="N51" s="133"/>
      <c r="O51" s="133"/>
      <c r="P51" s="49" t="e">
        <f t="shared" si="31"/>
        <v>#DIV/0!</v>
      </c>
      <c r="Q51" s="133">
        <f t="shared" si="32"/>
        <v>0</v>
      </c>
      <c r="R51" s="133">
        <f t="shared" si="33"/>
        <v>0</v>
      </c>
      <c r="S51" s="49" t="e">
        <f t="shared" si="34"/>
        <v>#DIV/0!</v>
      </c>
      <c r="T51" s="60"/>
      <c r="U51" s="60">
        <v>6400</v>
      </c>
      <c r="V51" s="49" t="e">
        <f t="shared" si="35"/>
        <v>#DIV/0!</v>
      </c>
      <c r="W51" s="60">
        <f t="shared" si="36"/>
        <v>0</v>
      </c>
      <c r="X51" s="60">
        <f t="shared" si="37"/>
        <v>6400</v>
      </c>
      <c r="Y51" s="49" t="e">
        <f t="shared" si="38"/>
        <v>#DIV/0!</v>
      </c>
      <c r="Z51" s="133"/>
      <c r="AA51" s="133">
        <v>3934</v>
      </c>
      <c r="AB51" s="49" t="e">
        <f t="shared" si="39"/>
        <v>#DIV/0!</v>
      </c>
      <c r="AC51" s="133">
        <f t="shared" si="40"/>
        <v>0</v>
      </c>
      <c r="AD51" s="133">
        <f t="shared" si="41"/>
        <v>10334</v>
      </c>
      <c r="AE51" s="49" t="e">
        <f t="shared" si="42"/>
        <v>#DIV/0!</v>
      </c>
      <c r="AF51" s="133">
        <v>2388</v>
      </c>
      <c r="AG51" s="133">
        <v>2400</v>
      </c>
      <c r="AH51" s="49">
        <f t="shared" si="43"/>
        <v>0.00502512562814061</v>
      </c>
      <c r="AI51" s="133">
        <f t="shared" si="44"/>
        <v>2388</v>
      </c>
      <c r="AJ51" s="133">
        <f t="shared" si="45"/>
        <v>12734</v>
      </c>
      <c r="AK51" s="49">
        <f t="shared" si="46"/>
        <v>4.33249581239531</v>
      </c>
      <c r="AL51" s="133"/>
      <c r="AM51" s="133"/>
      <c r="AN51" s="49" t="e">
        <f t="shared" si="47"/>
        <v>#DIV/0!</v>
      </c>
      <c r="AO51" s="133">
        <f t="shared" si="48"/>
        <v>2388</v>
      </c>
      <c r="AP51" s="133">
        <f t="shared" si="49"/>
        <v>12734</v>
      </c>
      <c r="AQ51" s="49">
        <f t="shared" si="50"/>
        <v>4.33249581239531</v>
      </c>
      <c r="AR51" s="133"/>
      <c r="AS51" s="133"/>
      <c r="AT51" s="49" t="e">
        <f t="shared" si="51"/>
        <v>#DIV/0!</v>
      </c>
      <c r="AU51" s="133">
        <f t="shared" si="52"/>
        <v>2388</v>
      </c>
      <c r="AV51" s="133">
        <f t="shared" si="53"/>
        <v>12734</v>
      </c>
      <c r="AW51" s="49">
        <f t="shared" si="54"/>
        <v>4.33249581239531</v>
      </c>
      <c r="AX51" s="60">
        <v>7700</v>
      </c>
      <c r="AY51" s="60"/>
      <c r="AZ51" s="49">
        <f t="shared" si="55"/>
        <v>-1</v>
      </c>
      <c r="BA51" s="60">
        <f t="shared" si="56"/>
        <v>10088</v>
      </c>
      <c r="BB51" s="60">
        <f t="shared" si="57"/>
        <v>12734</v>
      </c>
      <c r="BC51" s="49">
        <f t="shared" si="58"/>
        <v>0.262291831879461</v>
      </c>
      <c r="BD51" s="60"/>
      <c r="BE51" s="192"/>
      <c r="BF51" s="191"/>
      <c r="BG51" s="133"/>
      <c r="BH51" s="133">
        <v>10088</v>
      </c>
      <c r="BI51" s="159" t="e">
        <f t="shared" si="59"/>
        <v>#DIV/0!</v>
      </c>
      <c r="BJ51" s="133"/>
      <c r="BK51" s="133"/>
    </row>
    <row r="52" spans="1:63">
      <c r="A52" s="186"/>
      <c r="B52" s="141" t="s">
        <v>27</v>
      </c>
      <c r="C52" s="141" t="s">
        <v>27</v>
      </c>
      <c r="D52" s="146" t="s">
        <v>223</v>
      </c>
      <c r="E52" s="133" t="s">
        <v>60</v>
      </c>
      <c r="F52" s="126" t="s">
        <v>60</v>
      </c>
      <c r="G52" s="188" t="s">
        <v>180</v>
      </c>
      <c r="H52" s="188" t="s">
        <v>180</v>
      </c>
      <c r="I52" s="133" t="s">
        <v>173</v>
      </c>
      <c r="J52" s="190"/>
      <c r="K52" s="191"/>
      <c r="L52" s="191"/>
      <c r="M52" s="49" t="e">
        <f t="shared" si="30"/>
        <v>#DIV/0!</v>
      </c>
      <c r="N52" s="133"/>
      <c r="O52" s="133"/>
      <c r="P52" s="49" t="e">
        <f t="shared" si="31"/>
        <v>#DIV/0!</v>
      </c>
      <c r="Q52" s="133">
        <f t="shared" si="32"/>
        <v>0</v>
      </c>
      <c r="R52" s="133">
        <f t="shared" si="33"/>
        <v>0</v>
      </c>
      <c r="S52" s="49" t="e">
        <f t="shared" si="34"/>
        <v>#DIV/0!</v>
      </c>
      <c r="T52" s="60"/>
      <c r="U52" s="60"/>
      <c r="V52" s="49" t="e">
        <f t="shared" si="35"/>
        <v>#DIV/0!</v>
      </c>
      <c r="W52" s="60">
        <f t="shared" si="36"/>
        <v>0</v>
      </c>
      <c r="X52" s="60">
        <f t="shared" si="37"/>
        <v>0</v>
      </c>
      <c r="Y52" s="49" t="e">
        <f t="shared" si="38"/>
        <v>#DIV/0!</v>
      </c>
      <c r="Z52" s="133"/>
      <c r="AA52" s="133"/>
      <c r="AB52" s="49" t="e">
        <f t="shared" si="39"/>
        <v>#DIV/0!</v>
      </c>
      <c r="AC52" s="133">
        <f t="shared" si="40"/>
        <v>0</v>
      </c>
      <c r="AD52" s="133">
        <f t="shared" si="41"/>
        <v>0</v>
      </c>
      <c r="AE52" s="49" t="e">
        <f t="shared" si="42"/>
        <v>#DIV/0!</v>
      </c>
      <c r="AF52" s="133"/>
      <c r="AG52" s="133"/>
      <c r="AH52" s="49" t="e">
        <f t="shared" si="43"/>
        <v>#DIV/0!</v>
      </c>
      <c r="AI52" s="133">
        <f t="shared" si="44"/>
        <v>0</v>
      </c>
      <c r="AJ52" s="133">
        <f t="shared" si="45"/>
        <v>0</v>
      </c>
      <c r="AK52" s="49" t="e">
        <f t="shared" si="46"/>
        <v>#DIV/0!</v>
      </c>
      <c r="AL52" s="133">
        <v>2594</v>
      </c>
      <c r="AM52" s="133"/>
      <c r="AN52" s="49">
        <f t="shared" si="47"/>
        <v>-1</v>
      </c>
      <c r="AO52" s="133">
        <f t="shared" si="48"/>
        <v>2594</v>
      </c>
      <c r="AP52" s="133">
        <f t="shared" si="49"/>
        <v>0</v>
      </c>
      <c r="AQ52" s="49">
        <f t="shared" si="50"/>
        <v>-1</v>
      </c>
      <c r="AR52" s="133"/>
      <c r="AS52" s="133"/>
      <c r="AT52" s="49" t="e">
        <f t="shared" si="51"/>
        <v>#DIV/0!</v>
      </c>
      <c r="AU52" s="133">
        <f t="shared" si="52"/>
        <v>2594</v>
      </c>
      <c r="AV52" s="133">
        <f t="shared" si="53"/>
        <v>0</v>
      </c>
      <c r="AW52" s="49">
        <f t="shared" si="54"/>
        <v>-1</v>
      </c>
      <c r="AX52" s="60"/>
      <c r="AY52" s="60"/>
      <c r="AZ52" s="49" t="e">
        <f t="shared" si="55"/>
        <v>#DIV/0!</v>
      </c>
      <c r="BA52" s="60">
        <f t="shared" si="56"/>
        <v>2594</v>
      </c>
      <c r="BB52" s="60">
        <f t="shared" si="57"/>
        <v>0</v>
      </c>
      <c r="BC52" s="49">
        <f t="shared" si="58"/>
        <v>-1</v>
      </c>
      <c r="BD52" s="60"/>
      <c r="BE52" s="192"/>
      <c r="BF52" s="191"/>
      <c r="BG52" s="133"/>
      <c r="BH52" s="133">
        <v>2594</v>
      </c>
      <c r="BI52" s="159" t="e">
        <f t="shared" si="59"/>
        <v>#DIV/0!</v>
      </c>
      <c r="BJ52" s="133"/>
      <c r="BK52" s="133"/>
    </row>
    <row r="53" spans="1:63">
      <c r="A53" s="186"/>
      <c r="B53" s="141" t="s">
        <v>27</v>
      </c>
      <c r="C53" s="141" t="s">
        <v>27</v>
      </c>
      <c r="D53" s="146" t="s">
        <v>224</v>
      </c>
      <c r="E53" s="133" t="s">
        <v>60</v>
      </c>
      <c r="F53" s="126" t="s">
        <v>60</v>
      </c>
      <c r="G53" s="126" t="s">
        <v>163</v>
      </c>
      <c r="H53" s="126" t="s">
        <v>163</v>
      </c>
      <c r="I53" s="133" t="s">
        <v>164</v>
      </c>
      <c r="J53" s="190"/>
      <c r="K53" s="191"/>
      <c r="L53" s="191"/>
      <c r="M53" s="49" t="e">
        <f t="shared" si="30"/>
        <v>#DIV/0!</v>
      </c>
      <c r="N53" s="133"/>
      <c r="O53" s="133"/>
      <c r="P53" s="49" t="e">
        <f t="shared" si="31"/>
        <v>#DIV/0!</v>
      </c>
      <c r="Q53" s="133">
        <f t="shared" si="32"/>
        <v>0</v>
      </c>
      <c r="R53" s="133">
        <f t="shared" si="33"/>
        <v>0</v>
      </c>
      <c r="S53" s="49" t="e">
        <f t="shared" si="34"/>
        <v>#DIV/0!</v>
      </c>
      <c r="T53" s="60"/>
      <c r="U53" s="60"/>
      <c r="V53" s="49" t="e">
        <f t="shared" si="35"/>
        <v>#DIV/0!</v>
      </c>
      <c r="W53" s="60">
        <f t="shared" si="36"/>
        <v>0</v>
      </c>
      <c r="X53" s="60">
        <f t="shared" si="37"/>
        <v>0</v>
      </c>
      <c r="Y53" s="49" t="e">
        <f t="shared" si="38"/>
        <v>#DIV/0!</v>
      </c>
      <c r="Z53" s="133"/>
      <c r="AA53" s="133"/>
      <c r="AB53" s="49" t="e">
        <f t="shared" si="39"/>
        <v>#DIV/0!</v>
      </c>
      <c r="AC53" s="133">
        <f t="shared" si="40"/>
        <v>0</v>
      </c>
      <c r="AD53" s="133">
        <f t="shared" si="41"/>
        <v>0</v>
      </c>
      <c r="AE53" s="49" t="e">
        <f t="shared" si="42"/>
        <v>#DIV/0!</v>
      </c>
      <c r="AF53" s="133"/>
      <c r="AG53" s="133"/>
      <c r="AH53" s="49" t="e">
        <f t="shared" si="43"/>
        <v>#DIV/0!</v>
      </c>
      <c r="AI53" s="133">
        <f t="shared" si="44"/>
        <v>0</v>
      </c>
      <c r="AJ53" s="133">
        <f t="shared" si="45"/>
        <v>0</v>
      </c>
      <c r="AK53" s="49" t="e">
        <f t="shared" si="46"/>
        <v>#DIV/0!</v>
      </c>
      <c r="AL53" s="133"/>
      <c r="AM53" s="133"/>
      <c r="AN53" s="49" t="e">
        <f t="shared" si="47"/>
        <v>#DIV/0!</v>
      </c>
      <c r="AO53" s="133">
        <f t="shared" si="48"/>
        <v>0</v>
      </c>
      <c r="AP53" s="133">
        <f t="shared" si="49"/>
        <v>0</v>
      </c>
      <c r="AQ53" s="49" t="e">
        <f t="shared" si="50"/>
        <v>#DIV/0!</v>
      </c>
      <c r="AR53" s="133">
        <v>4000</v>
      </c>
      <c r="AS53" s="133">
        <v>2104</v>
      </c>
      <c r="AT53" s="49">
        <f t="shared" si="51"/>
        <v>-0.474</v>
      </c>
      <c r="AU53" s="133">
        <f t="shared" si="52"/>
        <v>4000</v>
      </c>
      <c r="AV53" s="133">
        <f t="shared" si="53"/>
        <v>2104</v>
      </c>
      <c r="AW53" s="49">
        <f t="shared" si="54"/>
        <v>-0.474</v>
      </c>
      <c r="AX53" s="60"/>
      <c r="AY53" s="60"/>
      <c r="AZ53" s="49" t="e">
        <f t="shared" si="55"/>
        <v>#DIV/0!</v>
      </c>
      <c r="BA53" s="60">
        <f t="shared" si="56"/>
        <v>4000</v>
      </c>
      <c r="BB53" s="60">
        <f t="shared" si="57"/>
        <v>2104</v>
      </c>
      <c r="BC53" s="49">
        <f t="shared" si="58"/>
        <v>-0.474</v>
      </c>
      <c r="BD53" s="60">
        <v>3082</v>
      </c>
      <c r="BE53" s="192">
        <v>4260</v>
      </c>
      <c r="BF53" s="191"/>
      <c r="BG53" s="133"/>
      <c r="BH53" s="133">
        <v>11342</v>
      </c>
      <c r="BI53" s="159" t="e">
        <f t="shared" si="59"/>
        <v>#DIV/0!</v>
      </c>
      <c r="BJ53" s="133"/>
      <c r="BK53" s="133"/>
    </row>
    <row r="54" spans="1:63">
      <c r="A54" s="186"/>
      <c r="B54" s="141" t="s">
        <v>27</v>
      </c>
      <c r="C54" s="141" t="s">
        <v>27</v>
      </c>
      <c r="D54" s="146" t="s">
        <v>225</v>
      </c>
      <c r="E54" s="133" t="s">
        <v>60</v>
      </c>
      <c r="F54" s="126" t="s">
        <v>60</v>
      </c>
      <c r="G54" s="126" t="s">
        <v>163</v>
      </c>
      <c r="H54" s="126" t="s">
        <v>163</v>
      </c>
      <c r="I54" s="133" t="s">
        <v>164</v>
      </c>
      <c r="J54" s="190"/>
      <c r="K54" s="191"/>
      <c r="L54" s="191"/>
      <c r="M54" s="49" t="e">
        <f t="shared" si="30"/>
        <v>#DIV/0!</v>
      </c>
      <c r="N54" s="133"/>
      <c r="O54" s="133">
        <v>2644</v>
      </c>
      <c r="P54" s="49" t="e">
        <f t="shared" si="31"/>
        <v>#DIV/0!</v>
      </c>
      <c r="Q54" s="133">
        <f t="shared" si="32"/>
        <v>0</v>
      </c>
      <c r="R54" s="133">
        <f t="shared" si="33"/>
        <v>2644</v>
      </c>
      <c r="S54" s="49" t="e">
        <f t="shared" si="34"/>
        <v>#DIV/0!</v>
      </c>
      <c r="T54" s="60"/>
      <c r="U54" s="60"/>
      <c r="V54" s="49" t="e">
        <f t="shared" si="35"/>
        <v>#DIV/0!</v>
      </c>
      <c r="W54" s="60">
        <f t="shared" si="36"/>
        <v>0</v>
      </c>
      <c r="X54" s="60">
        <f t="shared" si="37"/>
        <v>2644</v>
      </c>
      <c r="Y54" s="49" t="e">
        <f t="shared" si="38"/>
        <v>#DIV/0!</v>
      </c>
      <c r="Z54" s="133"/>
      <c r="AA54" s="133"/>
      <c r="AB54" s="49" t="e">
        <f t="shared" si="39"/>
        <v>#DIV/0!</v>
      </c>
      <c r="AC54" s="133">
        <f t="shared" si="40"/>
        <v>0</v>
      </c>
      <c r="AD54" s="133">
        <f t="shared" si="41"/>
        <v>2644</v>
      </c>
      <c r="AE54" s="49" t="e">
        <f t="shared" si="42"/>
        <v>#DIV/0!</v>
      </c>
      <c r="AF54" s="133"/>
      <c r="AG54" s="133"/>
      <c r="AH54" s="49" t="e">
        <f t="shared" si="43"/>
        <v>#DIV/0!</v>
      </c>
      <c r="AI54" s="133">
        <f t="shared" si="44"/>
        <v>0</v>
      </c>
      <c r="AJ54" s="133">
        <f t="shared" si="45"/>
        <v>2644</v>
      </c>
      <c r="AK54" s="49" t="e">
        <f t="shared" si="46"/>
        <v>#DIV/0!</v>
      </c>
      <c r="AL54" s="133"/>
      <c r="AM54" s="133"/>
      <c r="AN54" s="49" t="e">
        <f t="shared" si="47"/>
        <v>#DIV/0!</v>
      </c>
      <c r="AO54" s="133">
        <f t="shared" si="48"/>
        <v>0</v>
      </c>
      <c r="AP54" s="133">
        <f t="shared" si="49"/>
        <v>2644</v>
      </c>
      <c r="AQ54" s="49" t="e">
        <f t="shared" si="50"/>
        <v>#DIV/0!</v>
      </c>
      <c r="AR54" s="133">
        <v>18000</v>
      </c>
      <c r="AS54" s="133">
        <v>2200</v>
      </c>
      <c r="AT54" s="49">
        <f t="shared" si="51"/>
        <v>-0.877777777777778</v>
      </c>
      <c r="AU54" s="133">
        <f t="shared" si="52"/>
        <v>18000</v>
      </c>
      <c r="AV54" s="133">
        <f t="shared" si="53"/>
        <v>4844</v>
      </c>
      <c r="AW54" s="49">
        <f t="shared" si="54"/>
        <v>-0.730888888888889</v>
      </c>
      <c r="AX54" s="60"/>
      <c r="AY54" s="60">
        <v>5610</v>
      </c>
      <c r="AZ54" s="49" t="e">
        <f t="shared" si="55"/>
        <v>#DIV/0!</v>
      </c>
      <c r="BA54" s="60">
        <f t="shared" si="56"/>
        <v>18000</v>
      </c>
      <c r="BB54" s="60">
        <f t="shared" si="57"/>
        <v>10454</v>
      </c>
      <c r="BC54" s="49">
        <f t="shared" si="58"/>
        <v>-0.419222222222222</v>
      </c>
      <c r="BD54" s="60">
        <v>20000</v>
      </c>
      <c r="BE54" s="192">
        <v>7925</v>
      </c>
      <c r="BF54" s="191">
        <v>2644</v>
      </c>
      <c r="BG54" s="133">
        <v>2644</v>
      </c>
      <c r="BH54" s="133">
        <v>51213</v>
      </c>
      <c r="BI54" s="159" t="e">
        <f t="shared" si="59"/>
        <v>#DIV/0!</v>
      </c>
      <c r="BJ54" s="133"/>
      <c r="BK54" s="133"/>
    </row>
    <row r="55" spans="1:63">
      <c r="A55" s="186"/>
      <c r="B55" s="141" t="s">
        <v>27</v>
      </c>
      <c r="C55" s="141" t="s">
        <v>27</v>
      </c>
      <c r="D55" s="146" t="s">
        <v>226</v>
      </c>
      <c r="E55" s="188" t="s">
        <v>101</v>
      </c>
      <c r="F55" s="126" t="s">
        <v>101</v>
      </c>
      <c r="G55" s="126" t="s">
        <v>167</v>
      </c>
      <c r="H55" s="188"/>
      <c r="I55" s="126" t="s">
        <v>169</v>
      </c>
      <c r="J55" s="190"/>
      <c r="K55" s="191"/>
      <c r="L55" s="191">
        <v>10328</v>
      </c>
      <c r="M55" s="49" t="e">
        <f t="shared" si="30"/>
        <v>#DIV/0!</v>
      </c>
      <c r="N55" s="133"/>
      <c r="O55" s="133"/>
      <c r="P55" s="49" t="e">
        <f t="shared" si="31"/>
        <v>#DIV/0!</v>
      </c>
      <c r="Q55" s="133">
        <f t="shared" si="32"/>
        <v>0</v>
      </c>
      <c r="R55" s="133">
        <f t="shared" si="33"/>
        <v>10328</v>
      </c>
      <c r="S55" s="49" t="e">
        <f t="shared" si="34"/>
        <v>#DIV/0!</v>
      </c>
      <c r="T55" s="60"/>
      <c r="U55" s="60">
        <v>-1000</v>
      </c>
      <c r="V55" s="49" t="e">
        <f t="shared" si="35"/>
        <v>#DIV/0!</v>
      </c>
      <c r="W55" s="60">
        <f t="shared" si="36"/>
        <v>0</v>
      </c>
      <c r="X55" s="60">
        <f t="shared" si="37"/>
        <v>9328</v>
      </c>
      <c r="Y55" s="49" t="e">
        <f t="shared" si="38"/>
        <v>#DIV/0!</v>
      </c>
      <c r="Z55" s="133"/>
      <c r="AA55" s="133"/>
      <c r="AB55" s="49" t="e">
        <f t="shared" si="39"/>
        <v>#DIV/0!</v>
      </c>
      <c r="AC55" s="133">
        <f t="shared" si="40"/>
        <v>0</v>
      </c>
      <c r="AD55" s="133">
        <f t="shared" si="41"/>
        <v>9328</v>
      </c>
      <c r="AE55" s="49" t="e">
        <f t="shared" si="42"/>
        <v>#DIV/0!</v>
      </c>
      <c r="AF55" s="133"/>
      <c r="AG55" s="133"/>
      <c r="AH55" s="49" t="e">
        <f t="shared" si="43"/>
        <v>#DIV/0!</v>
      </c>
      <c r="AI55" s="133">
        <f t="shared" si="44"/>
        <v>0</v>
      </c>
      <c r="AJ55" s="133">
        <f t="shared" si="45"/>
        <v>9328</v>
      </c>
      <c r="AK55" s="49" t="e">
        <f t="shared" si="46"/>
        <v>#DIV/0!</v>
      </c>
      <c r="AL55" s="133"/>
      <c r="AM55" s="133"/>
      <c r="AN55" s="49" t="e">
        <f t="shared" si="47"/>
        <v>#DIV/0!</v>
      </c>
      <c r="AO55" s="133">
        <f t="shared" si="48"/>
        <v>0</v>
      </c>
      <c r="AP55" s="133">
        <f t="shared" si="49"/>
        <v>9328</v>
      </c>
      <c r="AQ55" s="49" t="e">
        <f t="shared" si="50"/>
        <v>#DIV/0!</v>
      </c>
      <c r="AR55" s="133">
        <v>3868</v>
      </c>
      <c r="AS55" s="133">
        <v>4092</v>
      </c>
      <c r="AT55" s="49">
        <f t="shared" si="51"/>
        <v>0.0579110651499484</v>
      </c>
      <c r="AU55" s="133">
        <f t="shared" si="52"/>
        <v>3868</v>
      </c>
      <c r="AV55" s="133">
        <f t="shared" si="53"/>
        <v>13420</v>
      </c>
      <c r="AW55" s="49">
        <f t="shared" si="54"/>
        <v>2.46949327817994</v>
      </c>
      <c r="AX55" s="60"/>
      <c r="AY55" s="60">
        <v>8474</v>
      </c>
      <c r="AZ55" s="49" t="e">
        <f t="shared" si="55"/>
        <v>#DIV/0!</v>
      </c>
      <c r="BA55" s="60">
        <f t="shared" si="56"/>
        <v>3868</v>
      </c>
      <c r="BB55" s="60">
        <f t="shared" si="57"/>
        <v>21894</v>
      </c>
      <c r="BC55" s="49">
        <f t="shared" si="58"/>
        <v>4.66028955532575</v>
      </c>
      <c r="BD55" s="60"/>
      <c r="BE55" s="192"/>
      <c r="BF55" s="191"/>
      <c r="BG55" s="133"/>
      <c r="BH55" s="133">
        <v>3868</v>
      </c>
      <c r="BI55" s="159" t="e">
        <f t="shared" si="59"/>
        <v>#DIV/0!</v>
      </c>
      <c r="BJ55" s="133"/>
      <c r="BK55" s="133"/>
    </row>
    <row r="56" spans="1:63">
      <c r="A56" s="186"/>
      <c r="B56" s="141" t="s">
        <v>27</v>
      </c>
      <c r="C56" s="141" t="s">
        <v>27</v>
      </c>
      <c r="D56" s="146" t="s">
        <v>227</v>
      </c>
      <c r="E56" s="133" t="s">
        <v>60</v>
      </c>
      <c r="F56" s="126" t="s">
        <v>60</v>
      </c>
      <c r="G56" s="126" t="s">
        <v>182</v>
      </c>
      <c r="H56" s="126" t="s">
        <v>182</v>
      </c>
      <c r="I56" s="133" t="s">
        <v>173</v>
      </c>
      <c r="J56" s="190"/>
      <c r="K56" s="191"/>
      <c r="L56" s="191"/>
      <c r="M56" s="49" t="e">
        <f t="shared" si="30"/>
        <v>#DIV/0!</v>
      </c>
      <c r="N56" s="133"/>
      <c r="O56" s="133"/>
      <c r="P56" s="49" t="e">
        <f t="shared" si="31"/>
        <v>#DIV/0!</v>
      </c>
      <c r="Q56" s="133">
        <f t="shared" si="32"/>
        <v>0</v>
      </c>
      <c r="R56" s="133">
        <f t="shared" si="33"/>
        <v>0</v>
      </c>
      <c r="S56" s="49" t="e">
        <f t="shared" si="34"/>
        <v>#DIV/0!</v>
      </c>
      <c r="T56" s="60"/>
      <c r="U56" s="60"/>
      <c r="V56" s="49" t="e">
        <f t="shared" si="35"/>
        <v>#DIV/0!</v>
      </c>
      <c r="W56" s="60">
        <f t="shared" si="36"/>
        <v>0</v>
      </c>
      <c r="X56" s="60">
        <f t="shared" si="37"/>
        <v>0</v>
      </c>
      <c r="Y56" s="49" t="e">
        <f t="shared" si="38"/>
        <v>#DIV/0!</v>
      </c>
      <c r="Z56" s="133"/>
      <c r="AA56" s="133"/>
      <c r="AB56" s="49" t="e">
        <f t="shared" si="39"/>
        <v>#DIV/0!</v>
      </c>
      <c r="AC56" s="133">
        <f t="shared" si="40"/>
        <v>0</v>
      </c>
      <c r="AD56" s="133">
        <f t="shared" si="41"/>
        <v>0</v>
      </c>
      <c r="AE56" s="49" t="e">
        <f t="shared" si="42"/>
        <v>#DIV/0!</v>
      </c>
      <c r="AF56" s="133"/>
      <c r="AG56" s="133"/>
      <c r="AH56" s="49" t="e">
        <f t="shared" si="43"/>
        <v>#DIV/0!</v>
      </c>
      <c r="AI56" s="133">
        <f t="shared" si="44"/>
        <v>0</v>
      </c>
      <c r="AJ56" s="133">
        <f t="shared" si="45"/>
        <v>0</v>
      </c>
      <c r="AK56" s="49" t="e">
        <f t="shared" si="46"/>
        <v>#DIV/0!</v>
      </c>
      <c r="AL56" s="133"/>
      <c r="AM56" s="133"/>
      <c r="AN56" s="49" t="e">
        <f t="shared" si="47"/>
        <v>#DIV/0!</v>
      </c>
      <c r="AO56" s="133">
        <f t="shared" si="48"/>
        <v>0</v>
      </c>
      <c r="AP56" s="133">
        <f t="shared" si="49"/>
        <v>0</v>
      </c>
      <c r="AQ56" s="49" t="e">
        <f t="shared" si="50"/>
        <v>#DIV/0!</v>
      </c>
      <c r="AR56" s="133">
        <v>2549</v>
      </c>
      <c r="AS56" s="133"/>
      <c r="AT56" s="49">
        <f t="shared" si="51"/>
        <v>-1</v>
      </c>
      <c r="AU56" s="133">
        <f t="shared" si="52"/>
        <v>2549</v>
      </c>
      <c r="AV56" s="133">
        <f t="shared" si="53"/>
        <v>0</v>
      </c>
      <c r="AW56" s="49">
        <f t="shared" si="54"/>
        <v>-1</v>
      </c>
      <c r="AX56" s="60"/>
      <c r="AY56" s="60"/>
      <c r="AZ56" s="49" t="e">
        <f t="shared" si="55"/>
        <v>#DIV/0!</v>
      </c>
      <c r="BA56" s="60">
        <f t="shared" si="56"/>
        <v>2549</v>
      </c>
      <c r="BB56" s="60">
        <f t="shared" si="57"/>
        <v>0</v>
      </c>
      <c r="BC56" s="49">
        <f t="shared" si="58"/>
        <v>-1</v>
      </c>
      <c r="BD56" s="60"/>
      <c r="BE56" s="192"/>
      <c r="BF56" s="191"/>
      <c r="BG56" s="133"/>
      <c r="BH56" s="133">
        <v>2549</v>
      </c>
      <c r="BI56" s="159" t="e">
        <f t="shared" si="59"/>
        <v>#DIV/0!</v>
      </c>
      <c r="BJ56" s="133"/>
      <c r="BK56" s="133"/>
    </row>
    <row r="57" spans="1:63">
      <c r="A57" s="186"/>
      <c r="B57" s="141" t="s">
        <v>27</v>
      </c>
      <c r="C57" s="141" t="s">
        <v>27</v>
      </c>
      <c r="D57" s="146" t="s">
        <v>118</v>
      </c>
      <c r="E57" s="133" t="s">
        <v>60</v>
      </c>
      <c r="F57" s="126" t="s">
        <v>60</v>
      </c>
      <c r="G57" s="126" t="s">
        <v>167</v>
      </c>
      <c r="H57" s="126" t="s">
        <v>167</v>
      </c>
      <c r="I57" s="133" t="s">
        <v>173</v>
      </c>
      <c r="J57" s="190"/>
      <c r="K57" s="191"/>
      <c r="L57" s="191">
        <v>5704</v>
      </c>
      <c r="M57" s="49" t="e">
        <f t="shared" si="30"/>
        <v>#DIV/0!</v>
      </c>
      <c r="N57" s="133"/>
      <c r="O57" s="133"/>
      <c r="P57" s="49" t="e">
        <f t="shared" si="31"/>
        <v>#DIV/0!</v>
      </c>
      <c r="Q57" s="133">
        <f t="shared" si="32"/>
        <v>0</v>
      </c>
      <c r="R57" s="133">
        <f t="shared" si="33"/>
        <v>5704</v>
      </c>
      <c r="S57" s="49" t="e">
        <f t="shared" si="34"/>
        <v>#DIV/0!</v>
      </c>
      <c r="T57" s="60"/>
      <c r="U57" s="60"/>
      <c r="V57" s="49" t="e">
        <f t="shared" si="35"/>
        <v>#DIV/0!</v>
      </c>
      <c r="W57" s="60">
        <f t="shared" si="36"/>
        <v>0</v>
      </c>
      <c r="X57" s="60">
        <f t="shared" si="37"/>
        <v>5704</v>
      </c>
      <c r="Y57" s="49" t="e">
        <f t="shared" si="38"/>
        <v>#DIV/0!</v>
      </c>
      <c r="Z57" s="133"/>
      <c r="AA57" s="133"/>
      <c r="AB57" s="49" t="e">
        <f t="shared" si="39"/>
        <v>#DIV/0!</v>
      </c>
      <c r="AC57" s="133">
        <f t="shared" si="40"/>
        <v>0</v>
      </c>
      <c r="AD57" s="133">
        <f t="shared" si="41"/>
        <v>5704</v>
      </c>
      <c r="AE57" s="49" t="e">
        <f t="shared" si="42"/>
        <v>#DIV/0!</v>
      </c>
      <c r="AF57" s="133"/>
      <c r="AG57" s="133"/>
      <c r="AH57" s="49" t="e">
        <f t="shared" si="43"/>
        <v>#DIV/0!</v>
      </c>
      <c r="AI57" s="133">
        <f t="shared" si="44"/>
        <v>0</v>
      </c>
      <c r="AJ57" s="133">
        <f t="shared" si="45"/>
        <v>5704</v>
      </c>
      <c r="AK57" s="49" t="e">
        <f t="shared" si="46"/>
        <v>#DIV/0!</v>
      </c>
      <c r="AL57" s="133"/>
      <c r="AM57" s="133"/>
      <c r="AN57" s="49" t="e">
        <f t="shared" si="47"/>
        <v>#DIV/0!</v>
      </c>
      <c r="AO57" s="133">
        <f t="shared" si="48"/>
        <v>0</v>
      </c>
      <c r="AP57" s="133">
        <f t="shared" si="49"/>
        <v>5704</v>
      </c>
      <c r="AQ57" s="49" t="e">
        <f t="shared" si="50"/>
        <v>#DIV/0!</v>
      </c>
      <c r="AR57" s="133"/>
      <c r="AS57" s="133"/>
      <c r="AT57" s="49" t="e">
        <f t="shared" si="51"/>
        <v>#DIV/0!</v>
      </c>
      <c r="AU57" s="133">
        <f t="shared" si="52"/>
        <v>0</v>
      </c>
      <c r="AV57" s="133">
        <f t="shared" si="53"/>
        <v>5704</v>
      </c>
      <c r="AW57" s="49" t="e">
        <f t="shared" si="54"/>
        <v>#DIV/0!</v>
      </c>
      <c r="AX57" s="60">
        <v>2203.4</v>
      </c>
      <c r="AY57" s="60"/>
      <c r="AZ57" s="49">
        <f t="shared" si="55"/>
        <v>-1</v>
      </c>
      <c r="BA57" s="60">
        <f t="shared" si="56"/>
        <v>2203.4</v>
      </c>
      <c r="BB57" s="60">
        <f t="shared" si="57"/>
        <v>5704</v>
      </c>
      <c r="BC57" s="49">
        <f t="shared" si="58"/>
        <v>1.58872651356994</v>
      </c>
      <c r="BD57" s="60"/>
      <c r="BE57" s="192">
        <v>5772.08</v>
      </c>
      <c r="BF57" s="191"/>
      <c r="BG57" s="133">
        <v>2058.96</v>
      </c>
      <c r="BH57" s="133">
        <v>10034.44</v>
      </c>
      <c r="BI57" s="159" t="e">
        <f t="shared" si="59"/>
        <v>#DIV/0!</v>
      </c>
      <c r="BJ57" s="133"/>
      <c r="BK57" s="133"/>
    </row>
    <row r="58" spans="1:63">
      <c r="A58" s="186"/>
      <c r="B58" s="141" t="s">
        <v>27</v>
      </c>
      <c r="C58" s="141" t="s">
        <v>27</v>
      </c>
      <c r="D58" s="146" t="s">
        <v>228</v>
      </c>
      <c r="E58" s="133" t="s">
        <v>60</v>
      </c>
      <c r="F58" s="126" t="s">
        <v>60</v>
      </c>
      <c r="G58" s="276" t="s">
        <v>182</v>
      </c>
      <c r="H58" s="276" t="s">
        <v>182</v>
      </c>
      <c r="I58" s="133" t="s">
        <v>173</v>
      </c>
      <c r="J58" s="190">
        <v>30</v>
      </c>
      <c r="K58" s="191"/>
      <c r="L58" s="191">
        <v>29664</v>
      </c>
      <c r="M58" s="49" t="e">
        <f t="shared" si="30"/>
        <v>#DIV/0!</v>
      </c>
      <c r="N58" s="133"/>
      <c r="O58" s="133">
        <v>19159</v>
      </c>
      <c r="P58" s="49" t="e">
        <f t="shared" si="31"/>
        <v>#DIV/0!</v>
      </c>
      <c r="Q58" s="133">
        <f t="shared" si="32"/>
        <v>0</v>
      </c>
      <c r="R58" s="133">
        <f t="shared" si="33"/>
        <v>48823</v>
      </c>
      <c r="S58" s="49" t="e">
        <f t="shared" si="34"/>
        <v>#DIV/0!</v>
      </c>
      <c r="T58" s="60"/>
      <c r="U58" s="60">
        <v>1887</v>
      </c>
      <c r="V58" s="49" t="e">
        <f t="shared" si="35"/>
        <v>#DIV/0!</v>
      </c>
      <c r="W58" s="60">
        <f t="shared" si="36"/>
        <v>0</v>
      </c>
      <c r="X58" s="60">
        <f t="shared" si="37"/>
        <v>50710</v>
      </c>
      <c r="Y58" s="49" t="e">
        <f t="shared" si="38"/>
        <v>#DIV/0!</v>
      </c>
      <c r="Z58" s="133"/>
      <c r="AA58" s="133">
        <v>9073</v>
      </c>
      <c r="AB58" s="49" t="e">
        <f t="shared" si="39"/>
        <v>#DIV/0!</v>
      </c>
      <c r="AC58" s="133">
        <f t="shared" si="40"/>
        <v>0</v>
      </c>
      <c r="AD58" s="133">
        <f t="shared" si="41"/>
        <v>59783</v>
      </c>
      <c r="AE58" s="49" t="e">
        <f t="shared" si="42"/>
        <v>#DIV/0!</v>
      </c>
      <c r="AF58" s="133"/>
      <c r="AG58" s="133">
        <v>25484</v>
      </c>
      <c r="AH58" s="49" t="e">
        <f t="shared" si="43"/>
        <v>#DIV/0!</v>
      </c>
      <c r="AI58" s="133">
        <f t="shared" si="44"/>
        <v>0</v>
      </c>
      <c r="AJ58" s="133">
        <f t="shared" si="45"/>
        <v>85267</v>
      </c>
      <c r="AK58" s="49" t="e">
        <f t="shared" si="46"/>
        <v>#DIV/0!</v>
      </c>
      <c r="AL58" s="133"/>
      <c r="AM58" s="133">
        <v>6200</v>
      </c>
      <c r="AN58" s="49" t="e">
        <f t="shared" si="47"/>
        <v>#DIV/0!</v>
      </c>
      <c r="AO58" s="133">
        <f t="shared" si="48"/>
        <v>0</v>
      </c>
      <c r="AP58" s="133">
        <f t="shared" si="49"/>
        <v>91467</v>
      </c>
      <c r="AQ58" s="49" t="e">
        <f t="shared" si="50"/>
        <v>#DIV/0!</v>
      </c>
      <c r="AR58" s="133"/>
      <c r="AS58" s="133">
        <v>19429</v>
      </c>
      <c r="AT58" s="49" t="e">
        <f t="shared" si="51"/>
        <v>#DIV/0!</v>
      </c>
      <c r="AU58" s="133">
        <f t="shared" si="52"/>
        <v>0</v>
      </c>
      <c r="AV58" s="133">
        <f t="shared" si="53"/>
        <v>110896</v>
      </c>
      <c r="AW58" s="49" t="e">
        <f t="shared" si="54"/>
        <v>#DIV/0!</v>
      </c>
      <c r="AX58" s="60"/>
      <c r="AY58" s="60">
        <v>28500</v>
      </c>
      <c r="AZ58" s="49" t="e">
        <f t="shared" si="55"/>
        <v>#DIV/0!</v>
      </c>
      <c r="BA58" s="60">
        <f t="shared" si="56"/>
        <v>0</v>
      </c>
      <c r="BB58" s="60">
        <f t="shared" si="57"/>
        <v>139396</v>
      </c>
      <c r="BC58" s="49" t="e">
        <f t="shared" si="58"/>
        <v>#DIV/0!</v>
      </c>
      <c r="BD58" s="60">
        <v>5629</v>
      </c>
      <c r="BE58" s="192">
        <v>24130</v>
      </c>
      <c r="BF58" s="191">
        <v>38318</v>
      </c>
      <c r="BG58" s="133">
        <v>30121</v>
      </c>
      <c r="BH58" s="133">
        <v>98198</v>
      </c>
      <c r="BI58" s="159">
        <f t="shared" si="59"/>
        <v>0.464653333333333</v>
      </c>
      <c r="BJ58" s="133"/>
      <c r="BK58" s="133"/>
    </row>
    <row r="59" spans="1:63">
      <c r="A59" s="186"/>
      <c r="B59" s="141" t="s">
        <v>27</v>
      </c>
      <c r="C59" s="141" t="s">
        <v>27</v>
      </c>
      <c r="D59" s="146" t="s">
        <v>229</v>
      </c>
      <c r="E59" s="133" t="s">
        <v>60</v>
      </c>
      <c r="F59" s="126" t="s">
        <v>60</v>
      </c>
      <c r="G59" s="126" t="s">
        <v>163</v>
      </c>
      <c r="H59" s="126" t="s">
        <v>163</v>
      </c>
      <c r="I59" s="133" t="s">
        <v>164</v>
      </c>
      <c r="J59" s="190"/>
      <c r="K59" s="191"/>
      <c r="L59" s="191">
        <v>2992</v>
      </c>
      <c r="M59" s="49" t="e">
        <f t="shared" si="30"/>
        <v>#DIV/0!</v>
      </c>
      <c r="N59" s="133"/>
      <c r="O59" s="133"/>
      <c r="P59" s="49" t="e">
        <f t="shared" si="31"/>
        <v>#DIV/0!</v>
      </c>
      <c r="Q59" s="133">
        <f t="shared" si="32"/>
        <v>0</v>
      </c>
      <c r="R59" s="133">
        <f t="shared" si="33"/>
        <v>2992</v>
      </c>
      <c r="S59" s="49" t="e">
        <f t="shared" si="34"/>
        <v>#DIV/0!</v>
      </c>
      <c r="T59" s="60"/>
      <c r="U59" s="60">
        <v>2104</v>
      </c>
      <c r="V59" s="49" t="e">
        <f t="shared" si="35"/>
        <v>#DIV/0!</v>
      </c>
      <c r="W59" s="60">
        <f t="shared" si="36"/>
        <v>0</v>
      </c>
      <c r="X59" s="60">
        <f t="shared" si="37"/>
        <v>5096</v>
      </c>
      <c r="Y59" s="49" t="e">
        <f t="shared" si="38"/>
        <v>#DIV/0!</v>
      </c>
      <c r="Z59" s="133"/>
      <c r="AA59" s="133"/>
      <c r="AB59" s="49" t="e">
        <f t="shared" si="39"/>
        <v>#DIV/0!</v>
      </c>
      <c r="AC59" s="133">
        <f t="shared" si="40"/>
        <v>0</v>
      </c>
      <c r="AD59" s="133">
        <f t="shared" si="41"/>
        <v>5096</v>
      </c>
      <c r="AE59" s="49" t="e">
        <f t="shared" si="42"/>
        <v>#DIV/0!</v>
      </c>
      <c r="AF59" s="133"/>
      <c r="AG59" s="133"/>
      <c r="AH59" s="49" t="e">
        <f t="shared" si="43"/>
        <v>#DIV/0!</v>
      </c>
      <c r="AI59" s="133">
        <f t="shared" si="44"/>
        <v>0</v>
      </c>
      <c r="AJ59" s="133">
        <f t="shared" si="45"/>
        <v>5096</v>
      </c>
      <c r="AK59" s="49" t="e">
        <f t="shared" si="46"/>
        <v>#DIV/0!</v>
      </c>
      <c r="AL59" s="133"/>
      <c r="AM59" s="133">
        <v>4347</v>
      </c>
      <c r="AN59" s="49" t="e">
        <f t="shared" si="47"/>
        <v>#DIV/0!</v>
      </c>
      <c r="AO59" s="133">
        <f t="shared" si="48"/>
        <v>0</v>
      </c>
      <c r="AP59" s="133">
        <f t="shared" si="49"/>
        <v>9443</v>
      </c>
      <c r="AQ59" s="49" t="e">
        <f t="shared" si="50"/>
        <v>#DIV/0!</v>
      </c>
      <c r="AR59" s="133"/>
      <c r="AS59" s="133">
        <v>5929</v>
      </c>
      <c r="AT59" s="49" t="e">
        <f t="shared" si="51"/>
        <v>#DIV/0!</v>
      </c>
      <c r="AU59" s="133">
        <f t="shared" si="52"/>
        <v>0</v>
      </c>
      <c r="AV59" s="133">
        <f t="shared" si="53"/>
        <v>15372</v>
      </c>
      <c r="AW59" s="49" t="e">
        <f t="shared" si="54"/>
        <v>#DIV/0!</v>
      </c>
      <c r="AX59" s="60"/>
      <c r="AY59" s="60"/>
      <c r="AZ59" s="49" t="e">
        <f t="shared" si="55"/>
        <v>#DIV/0!</v>
      </c>
      <c r="BA59" s="60">
        <f t="shared" si="56"/>
        <v>0</v>
      </c>
      <c r="BB59" s="60">
        <f t="shared" si="57"/>
        <v>15372</v>
      </c>
      <c r="BC59" s="49" t="e">
        <f t="shared" si="58"/>
        <v>#DIV/0!</v>
      </c>
      <c r="BD59" s="60"/>
      <c r="BE59" s="192">
        <v>8743</v>
      </c>
      <c r="BF59" s="191">
        <v>8532</v>
      </c>
      <c r="BG59" s="133">
        <v>10778</v>
      </c>
      <c r="BH59" s="133">
        <v>28053</v>
      </c>
      <c r="BI59" s="159" t="e">
        <f t="shared" si="59"/>
        <v>#DIV/0!</v>
      </c>
      <c r="BJ59" s="133"/>
      <c r="BK59" s="133"/>
    </row>
    <row r="60" spans="1:63">
      <c r="A60" s="186"/>
      <c r="B60" s="141" t="s">
        <v>27</v>
      </c>
      <c r="C60" s="141" t="s">
        <v>27</v>
      </c>
      <c r="D60" s="146" t="s">
        <v>230</v>
      </c>
      <c r="E60" s="133" t="s">
        <v>60</v>
      </c>
      <c r="F60" s="126" t="s">
        <v>60</v>
      </c>
      <c r="G60" s="126" t="s">
        <v>176</v>
      </c>
      <c r="H60" s="126" t="s">
        <v>176</v>
      </c>
      <c r="I60" s="133" t="s">
        <v>164</v>
      </c>
      <c r="J60" s="190">
        <v>11</v>
      </c>
      <c r="K60" s="191"/>
      <c r="L60" s="191">
        <v>15756</v>
      </c>
      <c r="M60" s="49" t="e">
        <f t="shared" si="30"/>
        <v>#DIV/0!</v>
      </c>
      <c r="N60" s="133"/>
      <c r="O60" s="133">
        <v>40000</v>
      </c>
      <c r="P60" s="49" t="e">
        <f t="shared" si="31"/>
        <v>#DIV/0!</v>
      </c>
      <c r="Q60" s="133">
        <f t="shared" si="32"/>
        <v>0</v>
      </c>
      <c r="R60" s="133">
        <f t="shared" si="33"/>
        <v>55756</v>
      </c>
      <c r="S60" s="49" t="e">
        <f t="shared" si="34"/>
        <v>#DIV/0!</v>
      </c>
      <c r="T60" s="60"/>
      <c r="U60" s="60">
        <v>25190</v>
      </c>
      <c r="V60" s="49" t="e">
        <f t="shared" si="35"/>
        <v>#DIV/0!</v>
      </c>
      <c r="W60" s="60">
        <f t="shared" si="36"/>
        <v>0</v>
      </c>
      <c r="X60" s="60">
        <f t="shared" si="37"/>
        <v>80946</v>
      </c>
      <c r="Y60" s="49" t="e">
        <f t="shared" si="38"/>
        <v>#DIV/0!</v>
      </c>
      <c r="Z60" s="133"/>
      <c r="AA60" s="133">
        <v>7652</v>
      </c>
      <c r="AB60" s="49" t="e">
        <f t="shared" si="39"/>
        <v>#DIV/0!</v>
      </c>
      <c r="AC60" s="133">
        <f t="shared" si="40"/>
        <v>0</v>
      </c>
      <c r="AD60" s="133">
        <f t="shared" si="41"/>
        <v>88598</v>
      </c>
      <c r="AE60" s="49" t="e">
        <f t="shared" si="42"/>
        <v>#DIV/0!</v>
      </c>
      <c r="AF60" s="133"/>
      <c r="AG60" s="133">
        <v>22404</v>
      </c>
      <c r="AH60" s="49" t="e">
        <f t="shared" si="43"/>
        <v>#DIV/0!</v>
      </c>
      <c r="AI60" s="133">
        <f t="shared" si="44"/>
        <v>0</v>
      </c>
      <c r="AJ60" s="133">
        <f t="shared" si="45"/>
        <v>111002</v>
      </c>
      <c r="AK60" s="49" t="e">
        <f t="shared" si="46"/>
        <v>#DIV/0!</v>
      </c>
      <c r="AL60" s="133"/>
      <c r="AM60" s="133">
        <v>8108</v>
      </c>
      <c r="AN60" s="49" t="e">
        <f t="shared" si="47"/>
        <v>#DIV/0!</v>
      </c>
      <c r="AO60" s="133">
        <f t="shared" si="48"/>
        <v>0</v>
      </c>
      <c r="AP60" s="133">
        <f t="shared" si="49"/>
        <v>119110</v>
      </c>
      <c r="AQ60" s="49" t="e">
        <f t="shared" si="50"/>
        <v>#DIV/0!</v>
      </c>
      <c r="AR60" s="133"/>
      <c r="AS60" s="133">
        <v>15674</v>
      </c>
      <c r="AT60" s="49" t="e">
        <f t="shared" si="51"/>
        <v>#DIV/0!</v>
      </c>
      <c r="AU60" s="133">
        <f t="shared" si="52"/>
        <v>0</v>
      </c>
      <c r="AV60" s="133">
        <f t="shared" si="53"/>
        <v>134784</v>
      </c>
      <c r="AW60" s="49" t="e">
        <f t="shared" si="54"/>
        <v>#DIV/0!</v>
      </c>
      <c r="AX60" s="60"/>
      <c r="AY60" s="60"/>
      <c r="AZ60" s="49" t="e">
        <f t="shared" si="55"/>
        <v>#DIV/0!</v>
      </c>
      <c r="BA60" s="60">
        <f t="shared" si="56"/>
        <v>0</v>
      </c>
      <c r="BB60" s="60">
        <f t="shared" si="57"/>
        <v>134784</v>
      </c>
      <c r="BC60" s="49" t="e">
        <f t="shared" si="58"/>
        <v>#DIV/0!</v>
      </c>
      <c r="BD60" s="60"/>
      <c r="BE60" s="192">
        <v>72790</v>
      </c>
      <c r="BF60" s="191">
        <v>5444</v>
      </c>
      <c r="BG60" s="133">
        <v>9708</v>
      </c>
      <c r="BH60" s="133">
        <v>87942</v>
      </c>
      <c r="BI60" s="159">
        <f t="shared" si="59"/>
        <v>1.22530909090909</v>
      </c>
      <c r="BJ60" s="133"/>
      <c r="BK60" s="133"/>
    </row>
    <row r="61" spans="1:63">
      <c r="A61" s="186"/>
      <c r="B61" s="141" t="s">
        <v>27</v>
      </c>
      <c r="C61" s="141" t="s">
        <v>27</v>
      </c>
      <c r="D61" s="189" t="s">
        <v>231</v>
      </c>
      <c r="E61" s="133" t="s">
        <v>60</v>
      </c>
      <c r="F61" s="126" t="s">
        <v>60</v>
      </c>
      <c r="G61" s="188" t="s">
        <v>180</v>
      </c>
      <c r="H61" s="188" t="s">
        <v>180</v>
      </c>
      <c r="I61" s="133" t="s">
        <v>173</v>
      </c>
      <c r="J61" s="190"/>
      <c r="K61" s="191"/>
      <c r="L61" s="191">
        <v>3980</v>
      </c>
      <c r="M61" s="49" t="e">
        <f t="shared" si="30"/>
        <v>#DIV/0!</v>
      </c>
      <c r="N61" s="133"/>
      <c r="O61" s="133"/>
      <c r="P61" s="49" t="e">
        <f t="shared" si="31"/>
        <v>#DIV/0!</v>
      </c>
      <c r="Q61" s="133">
        <f t="shared" si="32"/>
        <v>0</v>
      </c>
      <c r="R61" s="133">
        <f t="shared" si="33"/>
        <v>3980</v>
      </c>
      <c r="S61" s="49" t="e">
        <f t="shared" si="34"/>
        <v>#DIV/0!</v>
      </c>
      <c r="T61" s="60"/>
      <c r="U61" s="60"/>
      <c r="V61" s="49" t="e">
        <f t="shared" si="35"/>
        <v>#DIV/0!</v>
      </c>
      <c r="W61" s="60">
        <f t="shared" si="36"/>
        <v>0</v>
      </c>
      <c r="X61" s="60">
        <f t="shared" si="37"/>
        <v>3980</v>
      </c>
      <c r="Y61" s="49" t="e">
        <f t="shared" si="38"/>
        <v>#DIV/0!</v>
      </c>
      <c r="Z61" s="133"/>
      <c r="AA61" s="133"/>
      <c r="AB61" s="49" t="e">
        <f t="shared" si="39"/>
        <v>#DIV/0!</v>
      </c>
      <c r="AC61" s="133">
        <f t="shared" si="40"/>
        <v>0</v>
      </c>
      <c r="AD61" s="133">
        <f t="shared" si="41"/>
        <v>3980</v>
      </c>
      <c r="AE61" s="49" t="e">
        <f t="shared" si="42"/>
        <v>#DIV/0!</v>
      </c>
      <c r="AF61" s="133"/>
      <c r="AG61" s="133"/>
      <c r="AH61" s="49" t="e">
        <f t="shared" si="43"/>
        <v>#DIV/0!</v>
      </c>
      <c r="AI61" s="133">
        <f t="shared" si="44"/>
        <v>0</v>
      </c>
      <c r="AJ61" s="133">
        <f t="shared" si="45"/>
        <v>3980</v>
      </c>
      <c r="AK61" s="49" t="e">
        <f t="shared" si="46"/>
        <v>#DIV/0!</v>
      </c>
      <c r="AL61" s="133"/>
      <c r="AM61" s="133"/>
      <c r="AN61" s="49" t="e">
        <f t="shared" si="47"/>
        <v>#DIV/0!</v>
      </c>
      <c r="AO61" s="133">
        <f t="shared" si="48"/>
        <v>0</v>
      </c>
      <c r="AP61" s="133">
        <f t="shared" si="49"/>
        <v>3980</v>
      </c>
      <c r="AQ61" s="49" t="e">
        <f t="shared" si="50"/>
        <v>#DIV/0!</v>
      </c>
      <c r="AR61" s="133"/>
      <c r="AS61" s="133"/>
      <c r="AT61" s="49" t="e">
        <f t="shared" si="51"/>
        <v>#DIV/0!</v>
      </c>
      <c r="AU61" s="133">
        <f t="shared" si="52"/>
        <v>0</v>
      </c>
      <c r="AV61" s="133">
        <f t="shared" si="53"/>
        <v>3980</v>
      </c>
      <c r="AW61" s="49" t="e">
        <f t="shared" si="54"/>
        <v>#DIV/0!</v>
      </c>
      <c r="AX61" s="60"/>
      <c r="AY61" s="60"/>
      <c r="AZ61" s="49" t="e">
        <f t="shared" si="55"/>
        <v>#DIV/0!</v>
      </c>
      <c r="BA61" s="60">
        <f t="shared" si="56"/>
        <v>0</v>
      </c>
      <c r="BB61" s="60">
        <f t="shared" si="57"/>
        <v>3980</v>
      </c>
      <c r="BC61" s="49" t="e">
        <f t="shared" si="58"/>
        <v>#DIV/0!</v>
      </c>
      <c r="BD61" s="60"/>
      <c r="BE61" s="192"/>
      <c r="BF61" s="145">
        <v>4980</v>
      </c>
      <c r="BG61" s="133"/>
      <c r="BH61" s="133">
        <v>4980</v>
      </c>
      <c r="BI61" s="159" t="e">
        <f t="shared" si="59"/>
        <v>#DIV/0!</v>
      </c>
      <c r="BJ61" s="133"/>
      <c r="BK61" s="133"/>
    </row>
    <row r="62" spans="1:63">
      <c r="A62" s="186"/>
      <c r="B62" s="141" t="s">
        <v>27</v>
      </c>
      <c r="C62" s="141" t="s">
        <v>27</v>
      </c>
      <c r="D62" s="189" t="s">
        <v>232</v>
      </c>
      <c r="E62" s="133" t="s">
        <v>60</v>
      </c>
      <c r="F62" s="126" t="s">
        <v>60</v>
      </c>
      <c r="G62" s="126" t="s">
        <v>167</v>
      </c>
      <c r="H62" s="188"/>
      <c r="I62" s="126" t="s">
        <v>169</v>
      </c>
      <c r="J62" s="190"/>
      <c r="K62" s="191"/>
      <c r="L62" s="191"/>
      <c r="M62" s="49" t="e">
        <f t="shared" si="30"/>
        <v>#DIV/0!</v>
      </c>
      <c r="N62" s="133"/>
      <c r="O62" s="133"/>
      <c r="P62" s="49" t="e">
        <f t="shared" si="31"/>
        <v>#DIV/0!</v>
      </c>
      <c r="Q62" s="133">
        <f t="shared" si="32"/>
        <v>0</v>
      </c>
      <c r="R62" s="133">
        <f t="shared" si="33"/>
        <v>0</v>
      </c>
      <c r="S62" s="49" t="e">
        <f t="shared" si="34"/>
        <v>#DIV/0!</v>
      </c>
      <c r="T62" s="60"/>
      <c r="U62" s="60"/>
      <c r="V62" s="49" t="e">
        <f t="shared" si="35"/>
        <v>#DIV/0!</v>
      </c>
      <c r="W62" s="60">
        <f t="shared" si="36"/>
        <v>0</v>
      </c>
      <c r="X62" s="60">
        <f t="shared" si="37"/>
        <v>0</v>
      </c>
      <c r="Y62" s="49" t="e">
        <f t="shared" si="38"/>
        <v>#DIV/0!</v>
      </c>
      <c r="Z62" s="133"/>
      <c r="AA62" s="133"/>
      <c r="AB62" s="49" t="e">
        <f t="shared" si="39"/>
        <v>#DIV/0!</v>
      </c>
      <c r="AC62" s="133">
        <f t="shared" si="40"/>
        <v>0</v>
      </c>
      <c r="AD62" s="133">
        <f t="shared" si="41"/>
        <v>0</v>
      </c>
      <c r="AE62" s="49" t="e">
        <f t="shared" si="42"/>
        <v>#DIV/0!</v>
      </c>
      <c r="AF62" s="133"/>
      <c r="AG62" s="133"/>
      <c r="AH62" s="49" t="e">
        <f t="shared" si="43"/>
        <v>#DIV/0!</v>
      </c>
      <c r="AI62" s="133">
        <f t="shared" si="44"/>
        <v>0</v>
      </c>
      <c r="AJ62" s="133">
        <f t="shared" si="45"/>
        <v>0</v>
      </c>
      <c r="AK62" s="49" t="e">
        <f t="shared" si="46"/>
        <v>#DIV/0!</v>
      </c>
      <c r="AL62" s="133"/>
      <c r="AM62" s="133"/>
      <c r="AN62" s="49" t="e">
        <f t="shared" si="47"/>
        <v>#DIV/0!</v>
      </c>
      <c r="AO62" s="133">
        <f t="shared" si="48"/>
        <v>0</v>
      </c>
      <c r="AP62" s="133">
        <f t="shared" si="49"/>
        <v>0</v>
      </c>
      <c r="AQ62" s="49" t="e">
        <f t="shared" si="50"/>
        <v>#DIV/0!</v>
      </c>
      <c r="AR62" s="133"/>
      <c r="AS62" s="133"/>
      <c r="AT62" s="49" t="e">
        <f t="shared" si="51"/>
        <v>#DIV/0!</v>
      </c>
      <c r="AU62" s="133">
        <f t="shared" si="52"/>
        <v>0</v>
      </c>
      <c r="AV62" s="133">
        <f t="shared" si="53"/>
        <v>0</v>
      </c>
      <c r="AW62" s="49" t="e">
        <f t="shared" si="54"/>
        <v>#DIV/0!</v>
      </c>
      <c r="AX62" s="60"/>
      <c r="AY62" s="60"/>
      <c r="AZ62" s="49" t="e">
        <f t="shared" si="55"/>
        <v>#DIV/0!</v>
      </c>
      <c r="BA62" s="60">
        <f t="shared" si="56"/>
        <v>0</v>
      </c>
      <c r="BB62" s="60">
        <f t="shared" si="57"/>
        <v>0</v>
      </c>
      <c r="BC62" s="49" t="e">
        <f t="shared" si="58"/>
        <v>#DIV/0!</v>
      </c>
      <c r="BD62" s="60"/>
      <c r="BE62" s="192"/>
      <c r="BF62" s="145">
        <v>18890</v>
      </c>
      <c r="BG62" s="133">
        <v>17758</v>
      </c>
      <c r="BH62" s="133">
        <v>36648</v>
      </c>
      <c r="BI62" s="159" t="e">
        <f t="shared" si="59"/>
        <v>#DIV/0!</v>
      </c>
      <c r="BJ62" s="133"/>
      <c r="BK62" s="133"/>
    </row>
    <row r="63" spans="1:63">
      <c r="A63" s="186"/>
      <c r="B63" s="141" t="s">
        <v>27</v>
      </c>
      <c r="C63" s="141" t="s">
        <v>27</v>
      </c>
      <c r="D63" s="189" t="s">
        <v>233</v>
      </c>
      <c r="E63" s="133" t="s">
        <v>60</v>
      </c>
      <c r="F63" s="126" t="s">
        <v>60</v>
      </c>
      <c r="G63" s="126" t="s">
        <v>167</v>
      </c>
      <c r="H63" s="188"/>
      <c r="I63" s="126" t="s">
        <v>169</v>
      </c>
      <c r="J63" s="190">
        <v>0</v>
      </c>
      <c r="K63" s="191"/>
      <c r="L63" s="191"/>
      <c r="M63" s="49" t="e">
        <f t="shared" si="30"/>
        <v>#DIV/0!</v>
      </c>
      <c r="N63" s="133"/>
      <c r="O63" s="133"/>
      <c r="P63" s="49" t="e">
        <f t="shared" si="31"/>
        <v>#DIV/0!</v>
      </c>
      <c r="Q63" s="133">
        <f t="shared" si="32"/>
        <v>0</v>
      </c>
      <c r="R63" s="133">
        <f t="shared" si="33"/>
        <v>0</v>
      </c>
      <c r="S63" s="49" t="e">
        <f t="shared" si="34"/>
        <v>#DIV/0!</v>
      </c>
      <c r="T63" s="60"/>
      <c r="U63" s="60">
        <v>2196</v>
      </c>
      <c r="V63" s="49" t="e">
        <f t="shared" si="35"/>
        <v>#DIV/0!</v>
      </c>
      <c r="W63" s="60">
        <f t="shared" si="36"/>
        <v>0</v>
      </c>
      <c r="X63" s="60">
        <f t="shared" si="37"/>
        <v>2196</v>
      </c>
      <c r="Y63" s="49" t="e">
        <f t="shared" si="38"/>
        <v>#DIV/0!</v>
      </c>
      <c r="Z63" s="133"/>
      <c r="AA63" s="133"/>
      <c r="AB63" s="49" t="e">
        <f t="shared" si="39"/>
        <v>#DIV/0!</v>
      </c>
      <c r="AC63" s="133">
        <f t="shared" si="40"/>
        <v>0</v>
      </c>
      <c r="AD63" s="133">
        <f t="shared" si="41"/>
        <v>2196</v>
      </c>
      <c r="AE63" s="49" t="e">
        <f t="shared" si="42"/>
        <v>#DIV/0!</v>
      </c>
      <c r="AF63" s="133"/>
      <c r="AG63" s="133"/>
      <c r="AH63" s="49" t="e">
        <f t="shared" si="43"/>
        <v>#DIV/0!</v>
      </c>
      <c r="AI63" s="133">
        <f t="shared" si="44"/>
        <v>0</v>
      </c>
      <c r="AJ63" s="133">
        <f t="shared" si="45"/>
        <v>2196</v>
      </c>
      <c r="AK63" s="49" t="e">
        <f t="shared" si="46"/>
        <v>#DIV/0!</v>
      </c>
      <c r="AL63" s="133"/>
      <c r="AM63" s="133"/>
      <c r="AN63" s="49" t="e">
        <f t="shared" si="47"/>
        <v>#DIV/0!</v>
      </c>
      <c r="AO63" s="133">
        <f t="shared" si="48"/>
        <v>0</v>
      </c>
      <c r="AP63" s="133">
        <f t="shared" si="49"/>
        <v>2196</v>
      </c>
      <c r="AQ63" s="49" t="e">
        <f t="shared" si="50"/>
        <v>#DIV/0!</v>
      </c>
      <c r="AR63" s="133"/>
      <c r="AS63" s="133"/>
      <c r="AT63" s="49" t="e">
        <f t="shared" si="51"/>
        <v>#DIV/0!</v>
      </c>
      <c r="AU63" s="133">
        <f t="shared" si="52"/>
        <v>0</v>
      </c>
      <c r="AV63" s="133">
        <f t="shared" si="53"/>
        <v>2196</v>
      </c>
      <c r="AW63" s="49" t="e">
        <f t="shared" si="54"/>
        <v>#DIV/0!</v>
      </c>
      <c r="AX63" s="60"/>
      <c r="AY63" s="60"/>
      <c r="AZ63" s="49" t="e">
        <f t="shared" si="55"/>
        <v>#DIV/0!</v>
      </c>
      <c r="BA63" s="60">
        <f t="shared" si="56"/>
        <v>0</v>
      </c>
      <c r="BB63" s="60">
        <f t="shared" si="57"/>
        <v>2196</v>
      </c>
      <c r="BC63" s="49" t="e">
        <f t="shared" si="58"/>
        <v>#DIV/0!</v>
      </c>
      <c r="BD63" s="60"/>
      <c r="BE63" s="192"/>
      <c r="BF63" s="145">
        <v>4070</v>
      </c>
      <c r="BG63" s="133">
        <v>6204</v>
      </c>
      <c r="BH63" s="133">
        <v>10274</v>
      </c>
      <c r="BI63" s="159" t="e">
        <f t="shared" si="59"/>
        <v>#DIV/0!</v>
      </c>
      <c r="BJ63" s="133"/>
      <c r="BK63" s="133"/>
    </row>
    <row r="64" spans="1:63">
      <c r="A64" s="186"/>
      <c r="B64" s="141" t="s">
        <v>27</v>
      </c>
      <c r="C64" s="141" t="s">
        <v>27</v>
      </c>
      <c r="D64" s="189" t="s">
        <v>234</v>
      </c>
      <c r="E64" s="133" t="s">
        <v>60</v>
      </c>
      <c r="F64" s="126" t="s">
        <v>60</v>
      </c>
      <c r="G64" s="126" t="s">
        <v>172</v>
      </c>
      <c r="H64" s="126"/>
      <c r="I64" s="133" t="s">
        <v>173</v>
      </c>
      <c r="J64" s="190"/>
      <c r="K64" s="191"/>
      <c r="L64" s="191"/>
      <c r="M64" s="49" t="e">
        <f t="shared" si="30"/>
        <v>#DIV/0!</v>
      </c>
      <c r="N64" s="133"/>
      <c r="O64" s="133"/>
      <c r="P64" s="49" t="e">
        <f t="shared" si="31"/>
        <v>#DIV/0!</v>
      </c>
      <c r="Q64" s="133">
        <f t="shared" si="32"/>
        <v>0</v>
      </c>
      <c r="R64" s="133">
        <f t="shared" si="33"/>
        <v>0</v>
      </c>
      <c r="S64" s="49" t="e">
        <f t="shared" si="34"/>
        <v>#DIV/0!</v>
      </c>
      <c r="T64" s="60"/>
      <c r="U64" s="60">
        <v>20000</v>
      </c>
      <c r="V64" s="49" t="e">
        <f t="shared" si="35"/>
        <v>#DIV/0!</v>
      </c>
      <c r="W64" s="60">
        <f t="shared" si="36"/>
        <v>0</v>
      </c>
      <c r="X64" s="60">
        <f t="shared" si="37"/>
        <v>20000</v>
      </c>
      <c r="Y64" s="49" t="e">
        <f t="shared" si="38"/>
        <v>#DIV/0!</v>
      </c>
      <c r="Z64" s="133"/>
      <c r="AA64" s="133"/>
      <c r="AB64" s="49" t="e">
        <f t="shared" si="39"/>
        <v>#DIV/0!</v>
      </c>
      <c r="AC64" s="133">
        <f t="shared" si="40"/>
        <v>0</v>
      </c>
      <c r="AD64" s="133">
        <f t="shared" si="41"/>
        <v>20000</v>
      </c>
      <c r="AE64" s="49" t="e">
        <f t="shared" si="42"/>
        <v>#DIV/0!</v>
      </c>
      <c r="AF64" s="133"/>
      <c r="AG64" s="133">
        <v>10000</v>
      </c>
      <c r="AH64" s="49" t="e">
        <f t="shared" si="43"/>
        <v>#DIV/0!</v>
      </c>
      <c r="AI64" s="133">
        <f t="shared" si="44"/>
        <v>0</v>
      </c>
      <c r="AJ64" s="133">
        <f t="shared" si="45"/>
        <v>30000</v>
      </c>
      <c r="AK64" s="49" t="e">
        <f t="shared" si="46"/>
        <v>#DIV/0!</v>
      </c>
      <c r="AL64" s="133"/>
      <c r="AM64" s="133">
        <v>50000</v>
      </c>
      <c r="AN64" s="49" t="e">
        <f t="shared" si="47"/>
        <v>#DIV/0!</v>
      </c>
      <c r="AO64" s="133">
        <f t="shared" si="48"/>
        <v>0</v>
      </c>
      <c r="AP64" s="133">
        <f t="shared" si="49"/>
        <v>80000</v>
      </c>
      <c r="AQ64" s="49" t="e">
        <f t="shared" si="50"/>
        <v>#DIV/0!</v>
      </c>
      <c r="AR64" s="133"/>
      <c r="AS64" s="133"/>
      <c r="AT64" s="49" t="e">
        <f t="shared" si="51"/>
        <v>#DIV/0!</v>
      </c>
      <c r="AU64" s="133">
        <f t="shared" si="52"/>
        <v>0</v>
      </c>
      <c r="AV64" s="133">
        <f t="shared" si="53"/>
        <v>80000</v>
      </c>
      <c r="AW64" s="49" t="e">
        <f t="shared" si="54"/>
        <v>#DIV/0!</v>
      </c>
      <c r="AX64" s="60"/>
      <c r="AY64" s="60">
        <v>20000</v>
      </c>
      <c r="AZ64" s="49" t="e">
        <f t="shared" si="55"/>
        <v>#DIV/0!</v>
      </c>
      <c r="BA64" s="60">
        <f t="shared" si="56"/>
        <v>0</v>
      </c>
      <c r="BB64" s="60">
        <f t="shared" si="57"/>
        <v>100000</v>
      </c>
      <c r="BC64" s="49" t="e">
        <f t="shared" si="58"/>
        <v>#DIV/0!</v>
      </c>
      <c r="BD64" s="60"/>
      <c r="BE64" s="192"/>
      <c r="BF64" s="145">
        <v>50000</v>
      </c>
      <c r="BG64" s="133"/>
      <c r="BH64" s="133">
        <v>50000</v>
      </c>
      <c r="BI64" s="159" t="e">
        <f t="shared" si="59"/>
        <v>#DIV/0!</v>
      </c>
      <c r="BJ64" s="133"/>
      <c r="BK64" s="133"/>
    </row>
    <row r="65" spans="1:63">
      <c r="A65" s="186"/>
      <c r="B65" s="141" t="s">
        <v>27</v>
      </c>
      <c r="C65" s="141" t="s">
        <v>27</v>
      </c>
      <c r="D65" s="189" t="s">
        <v>235</v>
      </c>
      <c r="E65" s="133" t="s">
        <v>60</v>
      </c>
      <c r="F65" s="126" t="s">
        <v>60</v>
      </c>
      <c r="G65" s="126" t="s">
        <v>167</v>
      </c>
      <c r="H65" s="188" t="s">
        <v>185</v>
      </c>
      <c r="I65" s="133" t="s">
        <v>169</v>
      </c>
      <c r="J65" s="190">
        <v>0</v>
      </c>
      <c r="K65" s="191"/>
      <c r="L65" s="191"/>
      <c r="M65" s="49" t="e">
        <f t="shared" si="30"/>
        <v>#DIV/0!</v>
      </c>
      <c r="N65" s="133"/>
      <c r="O65" s="133"/>
      <c r="P65" s="49" t="e">
        <f t="shared" si="31"/>
        <v>#DIV/0!</v>
      </c>
      <c r="Q65" s="133">
        <f t="shared" si="32"/>
        <v>0</v>
      </c>
      <c r="R65" s="133">
        <f t="shared" si="33"/>
        <v>0</v>
      </c>
      <c r="S65" s="49" t="e">
        <f t="shared" si="34"/>
        <v>#DIV/0!</v>
      </c>
      <c r="T65" s="60"/>
      <c r="U65" s="60"/>
      <c r="V65" s="49" t="e">
        <f t="shared" si="35"/>
        <v>#DIV/0!</v>
      </c>
      <c r="W65" s="60">
        <f t="shared" si="36"/>
        <v>0</v>
      </c>
      <c r="X65" s="60">
        <f t="shared" si="37"/>
        <v>0</v>
      </c>
      <c r="Y65" s="49" t="e">
        <f t="shared" si="38"/>
        <v>#DIV/0!</v>
      </c>
      <c r="Z65" s="133"/>
      <c r="AA65" s="133"/>
      <c r="AB65" s="49" t="e">
        <f t="shared" si="39"/>
        <v>#DIV/0!</v>
      </c>
      <c r="AC65" s="133">
        <f t="shared" si="40"/>
        <v>0</v>
      </c>
      <c r="AD65" s="133">
        <f t="shared" si="41"/>
        <v>0</v>
      </c>
      <c r="AE65" s="49" t="e">
        <f t="shared" si="42"/>
        <v>#DIV/0!</v>
      </c>
      <c r="AF65" s="133"/>
      <c r="AG65" s="133"/>
      <c r="AH65" s="49" t="e">
        <f t="shared" si="43"/>
        <v>#DIV/0!</v>
      </c>
      <c r="AI65" s="133">
        <f t="shared" si="44"/>
        <v>0</v>
      </c>
      <c r="AJ65" s="133">
        <f t="shared" si="45"/>
        <v>0</v>
      </c>
      <c r="AK65" s="49" t="e">
        <f t="shared" si="46"/>
        <v>#DIV/0!</v>
      </c>
      <c r="AL65" s="133"/>
      <c r="AM65" s="133"/>
      <c r="AN65" s="49" t="e">
        <f t="shared" si="47"/>
        <v>#DIV/0!</v>
      </c>
      <c r="AO65" s="133">
        <f t="shared" si="48"/>
        <v>0</v>
      </c>
      <c r="AP65" s="133">
        <f t="shared" si="49"/>
        <v>0</v>
      </c>
      <c r="AQ65" s="49" t="e">
        <f t="shared" si="50"/>
        <v>#DIV/0!</v>
      </c>
      <c r="AR65" s="133"/>
      <c r="AS65" s="133"/>
      <c r="AT65" s="49" t="e">
        <f t="shared" si="51"/>
        <v>#DIV/0!</v>
      </c>
      <c r="AU65" s="133">
        <f t="shared" si="52"/>
        <v>0</v>
      </c>
      <c r="AV65" s="133">
        <f t="shared" si="53"/>
        <v>0</v>
      </c>
      <c r="AW65" s="49" t="e">
        <f t="shared" si="54"/>
        <v>#DIV/0!</v>
      </c>
      <c r="AX65" s="60"/>
      <c r="AY65" s="60"/>
      <c r="AZ65" s="49" t="e">
        <f t="shared" si="55"/>
        <v>#DIV/0!</v>
      </c>
      <c r="BA65" s="60">
        <f t="shared" si="56"/>
        <v>0</v>
      </c>
      <c r="BB65" s="60">
        <f t="shared" si="57"/>
        <v>0</v>
      </c>
      <c r="BC65" s="49" t="e">
        <f t="shared" si="58"/>
        <v>#DIV/0!</v>
      </c>
      <c r="BD65" s="60"/>
      <c r="BE65" s="192"/>
      <c r="BF65" s="145">
        <v>1760</v>
      </c>
      <c r="BG65" s="133"/>
      <c r="BH65" s="133">
        <v>1760</v>
      </c>
      <c r="BI65" s="159" t="e">
        <f t="shared" si="59"/>
        <v>#DIV/0!</v>
      </c>
      <c r="BJ65" s="133"/>
      <c r="BK65" s="133"/>
    </row>
    <row r="66" spans="1:63">
      <c r="A66" s="186"/>
      <c r="B66" s="141" t="s">
        <v>27</v>
      </c>
      <c r="C66" s="141" t="s">
        <v>27</v>
      </c>
      <c r="D66" s="189" t="s">
        <v>236</v>
      </c>
      <c r="E66" s="133" t="s">
        <v>237</v>
      </c>
      <c r="F66" s="126" t="s">
        <v>60</v>
      </c>
      <c r="G66" s="126" t="s">
        <v>176</v>
      </c>
      <c r="H66" s="126" t="s">
        <v>176</v>
      </c>
      <c r="I66" s="133" t="s">
        <v>164</v>
      </c>
      <c r="J66" s="190"/>
      <c r="K66" s="191"/>
      <c r="L66" s="191"/>
      <c r="M66" s="49" t="e">
        <f t="shared" si="30"/>
        <v>#DIV/0!</v>
      </c>
      <c r="N66" s="133"/>
      <c r="O66" s="133"/>
      <c r="P66" s="49" t="e">
        <f t="shared" si="31"/>
        <v>#DIV/0!</v>
      </c>
      <c r="Q66" s="133">
        <f t="shared" si="32"/>
        <v>0</v>
      </c>
      <c r="R66" s="133">
        <f t="shared" si="33"/>
        <v>0</v>
      </c>
      <c r="S66" s="49" t="e">
        <f t="shared" si="34"/>
        <v>#DIV/0!</v>
      </c>
      <c r="T66" s="60"/>
      <c r="U66" s="60"/>
      <c r="V66" s="49" t="e">
        <f t="shared" si="35"/>
        <v>#DIV/0!</v>
      </c>
      <c r="W66" s="60">
        <f t="shared" si="36"/>
        <v>0</v>
      </c>
      <c r="X66" s="60">
        <f t="shared" si="37"/>
        <v>0</v>
      </c>
      <c r="Y66" s="49" t="e">
        <f t="shared" si="38"/>
        <v>#DIV/0!</v>
      </c>
      <c r="Z66" s="133"/>
      <c r="AA66" s="133"/>
      <c r="AB66" s="49" t="e">
        <f t="shared" si="39"/>
        <v>#DIV/0!</v>
      </c>
      <c r="AC66" s="133">
        <f t="shared" si="40"/>
        <v>0</v>
      </c>
      <c r="AD66" s="133">
        <f t="shared" si="41"/>
        <v>0</v>
      </c>
      <c r="AE66" s="49" t="e">
        <f t="shared" si="42"/>
        <v>#DIV/0!</v>
      </c>
      <c r="AF66" s="133"/>
      <c r="AG66" s="133"/>
      <c r="AH66" s="49" t="e">
        <f t="shared" si="43"/>
        <v>#DIV/0!</v>
      </c>
      <c r="AI66" s="133">
        <f t="shared" si="44"/>
        <v>0</v>
      </c>
      <c r="AJ66" s="133">
        <f t="shared" si="45"/>
        <v>0</v>
      </c>
      <c r="AK66" s="49" t="e">
        <f t="shared" si="46"/>
        <v>#DIV/0!</v>
      </c>
      <c r="AL66" s="133"/>
      <c r="AM66" s="133"/>
      <c r="AN66" s="49" t="e">
        <f t="shared" si="47"/>
        <v>#DIV/0!</v>
      </c>
      <c r="AO66" s="133">
        <f t="shared" si="48"/>
        <v>0</v>
      </c>
      <c r="AP66" s="133">
        <f t="shared" si="49"/>
        <v>0</v>
      </c>
      <c r="AQ66" s="49" t="e">
        <f t="shared" si="50"/>
        <v>#DIV/0!</v>
      </c>
      <c r="AR66" s="133"/>
      <c r="AS66" s="133">
        <v>3027</v>
      </c>
      <c r="AT66" s="49" t="e">
        <f t="shared" si="51"/>
        <v>#DIV/0!</v>
      </c>
      <c r="AU66" s="133">
        <f t="shared" si="52"/>
        <v>0</v>
      </c>
      <c r="AV66" s="133">
        <f t="shared" si="53"/>
        <v>3027</v>
      </c>
      <c r="AW66" s="49" t="e">
        <f t="shared" si="54"/>
        <v>#DIV/0!</v>
      </c>
      <c r="AX66" s="60"/>
      <c r="AY66" s="60"/>
      <c r="AZ66" s="49" t="e">
        <f t="shared" si="55"/>
        <v>#DIV/0!</v>
      </c>
      <c r="BA66" s="60">
        <f t="shared" si="56"/>
        <v>0</v>
      </c>
      <c r="BB66" s="60">
        <f t="shared" si="57"/>
        <v>3027</v>
      </c>
      <c r="BC66" s="49" t="e">
        <f t="shared" si="58"/>
        <v>#DIV/0!</v>
      </c>
      <c r="BD66" s="60"/>
      <c r="BE66" s="192"/>
      <c r="BF66" s="145"/>
      <c r="BG66" s="133">
        <v>7362</v>
      </c>
      <c r="BH66" s="133">
        <v>7362</v>
      </c>
      <c r="BI66" s="159" t="e">
        <f t="shared" si="59"/>
        <v>#DIV/0!</v>
      </c>
      <c r="BJ66" s="133"/>
      <c r="BK66" s="133"/>
    </row>
    <row r="67" spans="1:63">
      <c r="A67" s="186"/>
      <c r="B67" s="141" t="s">
        <v>27</v>
      </c>
      <c r="C67" s="141" t="s">
        <v>27</v>
      </c>
      <c r="D67" s="189" t="s">
        <v>238</v>
      </c>
      <c r="E67" s="133" t="s">
        <v>60</v>
      </c>
      <c r="F67" s="126" t="s">
        <v>60</v>
      </c>
      <c r="G67" s="126"/>
      <c r="H67" s="126"/>
      <c r="I67" s="133" t="s">
        <v>173</v>
      </c>
      <c r="J67" s="190">
        <v>0</v>
      </c>
      <c r="K67" s="191"/>
      <c r="L67" s="191"/>
      <c r="M67" s="49"/>
      <c r="N67" s="133"/>
      <c r="O67" s="133"/>
      <c r="P67" s="49"/>
      <c r="Q67" s="133"/>
      <c r="R67" s="133"/>
      <c r="S67" s="49"/>
      <c r="T67" s="60"/>
      <c r="U67" s="60">
        <v>23457</v>
      </c>
      <c r="V67" s="49" t="e">
        <f t="shared" si="35"/>
        <v>#DIV/0!</v>
      </c>
      <c r="W67" s="60">
        <f t="shared" si="36"/>
        <v>0</v>
      </c>
      <c r="X67" s="60">
        <f t="shared" si="37"/>
        <v>23457</v>
      </c>
      <c r="Y67" s="49" t="e">
        <f t="shared" si="38"/>
        <v>#DIV/0!</v>
      </c>
      <c r="Z67" s="133"/>
      <c r="AA67" s="133">
        <v>90</v>
      </c>
      <c r="AB67" s="49" t="e">
        <f t="shared" si="39"/>
        <v>#DIV/0!</v>
      </c>
      <c r="AC67" s="133">
        <f t="shared" si="40"/>
        <v>0</v>
      </c>
      <c r="AD67" s="133">
        <f t="shared" si="41"/>
        <v>23547</v>
      </c>
      <c r="AE67" s="49" t="e">
        <f t="shared" si="42"/>
        <v>#DIV/0!</v>
      </c>
      <c r="AF67" s="133"/>
      <c r="AG67" s="133"/>
      <c r="AH67" s="49" t="e">
        <f t="shared" si="43"/>
        <v>#DIV/0!</v>
      </c>
      <c r="AI67" s="133">
        <f t="shared" si="44"/>
        <v>0</v>
      </c>
      <c r="AJ67" s="133">
        <f t="shared" si="45"/>
        <v>23547</v>
      </c>
      <c r="AK67" s="49" t="e">
        <f t="shared" si="46"/>
        <v>#DIV/0!</v>
      </c>
      <c r="AL67" s="133"/>
      <c r="AM67" s="133"/>
      <c r="AN67" s="49" t="e">
        <f t="shared" si="47"/>
        <v>#DIV/0!</v>
      </c>
      <c r="AO67" s="133">
        <f t="shared" si="48"/>
        <v>0</v>
      </c>
      <c r="AP67" s="133">
        <f t="shared" si="49"/>
        <v>23547</v>
      </c>
      <c r="AQ67" s="49" t="e">
        <f t="shared" si="50"/>
        <v>#DIV/0!</v>
      </c>
      <c r="AR67" s="133"/>
      <c r="AS67" s="133"/>
      <c r="AT67" s="49" t="e">
        <f t="shared" si="51"/>
        <v>#DIV/0!</v>
      </c>
      <c r="AU67" s="133">
        <f t="shared" si="52"/>
        <v>0</v>
      </c>
      <c r="AV67" s="133">
        <f t="shared" si="53"/>
        <v>23547</v>
      </c>
      <c r="AW67" s="49" t="e">
        <f t="shared" si="54"/>
        <v>#DIV/0!</v>
      </c>
      <c r="AX67" s="60"/>
      <c r="AY67" s="60"/>
      <c r="AZ67" s="49" t="e">
        <f t="shared" si="55"/>
        <v>#DIV/0!</v>
      </c>
      <c r="BA67" s="60">
        <f t="shared" si="56"/>
        <v>0</v>
      </c>
      <c r="BB67" s="60">
        <f t="shared" si="57"/>
        <v>23547</v>
      </c>
      <c r="BC67" s="49" t="e">
        <f t="shared" si="58"/>
        <v>#DIV/0!</v>
      </c>
      <c r="BD67" s="60"/>
      <c r="BE67" s="192"/>
      <c r="BF67" s="145"/>
      <c r="BG67" s="133"/>
      <c r="BH67" s="133"/>
      <c r="BI67" s="159" t="e">
        <f t="shared" si="59"/>
        <v>#DIV/0!</v>
      </c>
      <c r="BJ67" s="133"/>
      <c r="BK67" s="133"/>
    </row>
    <row r="68" spans="1:63">
      <c r="A68" s="186"/>
      <c r="B68" s="141" t="s">
        <v>27</v>
      </c>
      <c r="C68" s="141" t="s">
        <v>27</v>
      </c>
      <c r="D68" s="189" t="s">
        <v>239</v>
      </c>
      <c r="E68" s="133" t="s">
        <v>237</v>
      </c>
      <c r="F68" s="126" t="s">
        <v>60</v>
      </c>
      <c r="G68" s="126" t="s">
        <v>176</v>
      </c>
      <c r="H68" s="126" t="s">
        <v>176</v>
      </c>
      <c r="I68" s="133" t="s">
        <v>164</v>
      </c>
      <c r="J68" s="190"/>
      <c r="K68" s="191"/>
      <c r="L68" s="191">
        <v>3081</v>
      </c>
      <c r="M68" s="49" t="e">
        <f>L68/K68-1</f>
        <v>#DIV/0!</v>
      </c>
      <c r="N68" s="133"/>
      <c r="O68" s="133"/>
      <c r="P68" s="49" t="e">
        <f>O68/N68-1</f>
        <v>#DIV/0!</v>
      </c>
      <c r="Q68" s="133">
        <f>N68+K68</f>
        <v>0</v>
      </c>
      <c r="R68" s="133">
        <f>O68+L68</f>
        <v>3081</v>
      </c>
      <c r="S68" s="49" t="e">
        <f>R68/Q68-1</f>
        <v>#DIV/0!</v>
      </c>
      <c r="T68" s="60"/>
      <c r="U68" s="60"/>
      <c r="V68" s="49" t="e">
        <f t="shared" si="35"/>
        <v>#DIV/0!</v>
      </c>
      <c r="W68" s="60">
        <f t="shared" si="36"/>
        <v>0</v>
      </c>
      <c r="X68" s="60">
        <f t="shared" si="37"/>
        <v>3081</v>
      </c>
      <c r="Y68" s="49" t="e">
        <f t="shared" si="38"/>
        <v>#DIV/0!</v>
      </c>
      <c r="Z68" s="133"/>
      <c r="AA68" s="133">
        <v>18653</v>
      </c>
      <c r="AB68" s="49" t="e">
        <f t="shared" si="39"/>
        <v>#DIV/0!</v>
      </c>
      <c r="AC68" s="133">
        <f t="shared" si="40"/>
        <v>0</v>
      </c>
      <c r="AD68" s="133">
        <f t="shared" si="41"/>
        <v>21734</v>
      </c>
      <c r="AE68" s="49" t="e">
        <f t="shared" si="42"/>
        <v>#DIV/0!</v>
      </c>
      <c r="AF68" s="133"/>
      <c r="AG68" s="133">
        <v>7102</v>
      </c>
      <c r="AH68" s="49" t="e">
        <f t="shared" si="43"/>
        <v>#DIV/0!</v>
      </c>
      <c r="AI68" s="133">
        <f t="shared" si="44"/>
        <v>0</v>
      </c>
      <c r="AJ68" s="133">
        <f t="shared" si="45"/>
        <v>28836</v>
      </c>
      <c r="AK68" s="49" t="e">
        <f t="shared" si="46"/>
        <v>#DIV/0!</v>
      </c>
      <c r="AL68" s="133"/>
      <c r="AM68" s="133">
        <v>24314</v>
      </c>
      <c r="AN68" s="49" t="e">
        <f t="shared" si="47"/>
        <v>#DIV/0!</v>
      </c>
      <c r="AO68" s="133">
        <f t="shared" si="48"/>
        <v>0</v>
      </c>
      <c r="AP68" s="133">
        <f t="shared" si="49"/>
        <v>53150</v>
      </c>
      <c r="AQ68" s="49" t="e">
        <f t="shared" si="50"/>
        <v>#DIV/0!</v>
      </c>
      <c r="AR68" s="133"/>
      <c r="AS68" s="133">
        <v>18974</v>
      </c>
      <c r="AT68" s="49" t="e">
        <f t="shared" si="51"/>
        <v>#DIV/0!</v>
      </c>
      <c r="AU68" s="133">
        <f t="shared" si="52"/>
        <v>0</v>
      </c>
      <c r="AV68" s="133">
        <f t="shared" si="53"/>
        <v>72124</v>
      </c>
      <c r="AW68" s="49" t="e">
        <f t="shared" si="54"/>
        <v>#DIV/0!</v>
      </c>
      <c r="AX68" s="60"/>
      <c r="AY68" s="60"/>
      <c r="AZ68" s="49" t="e">
        <f t="shared" si="55"/>
        <v>#DIV/0!</v>
      </c>
      <c r="BA68" s="60">
        <f t="shared" si="56"/>
        <v>0</v>
      </c>
      <c r="BB68" s="60">
        <f t="shared" si="57"/>
        <v>72124</v>
      </c>
      <c r="BC68" s="49" t="e">
        <f t="shared" si="58"/>
        <v>#DIV/0!</v>
      </c>
      <c r="BD68" s="60"/>
      <c r="BE68" s="192"/>
      <c r="BF68" s="145"/>
      <c r="BG68" s="133"/>
      <c r="BH68" s="133"/>
      <c r="BI68" s="159" t="e">
        <f t="shared" si="59"/>
        <v>#DIV/0!</v>
      </c>
      <c r="BJ68" s="133"/>
      <c r="BK68" s="133"/>
    </row>
    <row r="69" spans="1:63">
      <c r="A69" s="186"/>
      <c r="B69" s="10" t="s">
        <v>27</v>
      </c>
      <c r="C69" s="10" t="s">
        <v>27</v>
      </c>
      <c r="D69" s="84" t="s">
        <v>240</v>
      </c>
      <c r="E69" s="10" t="s">
        <v>113</v>
      </c>
      <c r="F69" s="10" t="s">
        <v>113</v>
      </c>
      <c r="G69" s="277" t="s">
        <v>182</v>
      </c>
      <c r="H69" s="278" t="s">
        <v>182</v>
      </c>
      <c r="I69" s="10" t="s">
        <v>173</v>
      </c>
      <c r="J69" s="190"/>
      <c r="K69" s="191"/>
      <c r="L69" s="191"/>
      <c r="M69" s="49"/>
      <c r="N69" s="133"/>
      <c r="O69" s="133"/>
      <c r="P69" s="49"/>
      <c r="Q69" s="133"/>
      <c r="R69" s="133"/>
      <c r="S69" s="49"/>
      <c r="T69" s="60"/>
      <c r="U69" s="60">
        <v>20000</v>
      </c>
      <c r="V69" s="49" t="e">
        <f t="shared" si="35"/>
        <v>#DIV/0!</v>
      </c>
      <c r="W69" s="60">
        <f t="shared" si="36"/>
        <v>0</v>
      </c>
      <c r="X69" s="60">
        <f t="shared" si="37"/>
        <v>20000</v>
      </c>
      <c r="Y69" s="49" t="e">
        <f t="shared" si="38"/>
        <v>#DIV/0!</v>
      </c>
      <c r="Z69" s="133"/>
      <c r="AA69" s="133"/>
      <c r="AB69" s="49" t="e">
        <f t="shared" si="39"/>
        <v>#DIV/0!</v>
      </c>
      <c r="AC69" s="133">
        <f t="shared" si="40"/>
        <v>0</v>
      </c>
      <c r="AD69" s="133">
        <f t="shared" si="41"/>
        <v>20000</v>
      </c>
      <c r="AE69" s="49" t="e">
        <f t="shared" si="42"/>
        <v>#DIV/0!</v>
      </c>
      <c r="AF69" s="133"/>
      <c r="AG69" s="133"/>
      <c r="AH69" s="49" t="e">
        <f t="shared" si="43"/>
        <v>#DIV/0!</v>
      </c>
      <c r="AI69" s="133">
        <f t="shared" si="44"/>
        <v>0</v>
      </c>
      <c r="AJ69" s="133">
        <f t="shared" si="45"/>
        <v>20000</v>
      </c>
      <c r="AK69" s="49" t="e">
        <f t="shared" si="46"/>
        <v>#DIV/0!</v>
      </c>
      <c r="AL69" s="133"/>
      <c r="AM69" s="133"/>
      <c r="AN69" s="49" t="e">
        <f t="shared" si="47"/>
        <v>#DIV/0!</v>
      </c>
      <c r="AO69" s="133">
        <f t="shared" si="48"/>
        <v>0</v>
      </c>
      <c r="AP69" s="133">
        <f t="shared" si="49"/>
        <v>20000</v>
      </c>
      <c r="AQ69" s="49" t="e">
        <f t="shared" si="50"/>
        <v>#DIV/0!</v>
      </c>
      <c r="AR69" s="133"/>
      <c r="AS69" s="133"/>
      <c r="AT69" s="49" t="e">
        <f t="shared" si="51"/>
        <v>#DIV/0!</v>
      </c>
      <c r="AU69" s="133">
        <f t="shared" si="52"/>
        <v>0</v>
      </c>
      <c r="AV69" s="133">
        <f t="shared" si="53"/>
        <v>20000</v>
      </c>
      <c r="AW69" s="49" t="e">
        <f t="shared" si="54"/>
        <v>#DIV/0!</v>
      </c>
      <c r="AX69" s="60"/>
      <c r="AY69" s="60"/>
      <c r="AZ69" s="49" t="e">
        <f t="shared" si="55"/>
        <v>#DIV/0!</v>
      </c>
      <c r="BA69" s="60">
        <f t="shared" si="56"/>
        <v>0</v>
      </c>
      <c r="BB69" s="60">
        <f t="shared" si="57"/>
        <v>20000</v>
      </c>
      <c r="BC69" s="49" t="e">
        <f t="shared" si="58"/>
        <v>#DIV/0!</v>
      </c>
      <c r="BD69" s="60"/>
      <c r="BE69" s="192"/>
      <c r="BF69" s="145"/>
      <c r="BG69" s="133"/>
      <c r="BH69" s="133"/>
      <c r="BI69" s="159" t="e">
        <f t="shared" si="59"/>
        <v>#DIV/0!</v>
      </c>
      <c r="BJ69" s="133"/>
      <c r="BK69" s="133"/>
    </row>
    <row r="70" spans="1:63">
      <c r="A70" s="186"/>
      <c r="B70" s="10" t="s">
        <v>27</v>
      </c>
      <c r="C70" s="10" t="s">
        <v>27</v>
      </c>
      <c r="D70" s="84" t="s">
        <v>241</v>
      </c>
      <c r="E70" s="10" t="s">
        <v>60</v>
      </c>
      <c r="F70" s="10" t="s">
        <v>60</v>
      </c>
      <c r="G70" s="10" t="s">
        <v>176</v>
      </c>
      <c r="H70" s="194" t="s">
        <v>176</v>
      </c>
      <c r="I70" s="10" t="s">
        <v>164</v>
      </c>
      <c r="J70" s="190"/>
      <c r="K70" s="191"/>
      <c r="L70" s="191"/>
      <c r="M70" s="49"/>
      <c r="N70" s="133"/>
      <c r="O70" s="133"/>
      <c r="P70" s="49"/>
      <c r="Q70" s="133"/>
      <c r="R70" s="133"/>
      <c r="S70" s="49"/>
      <c r="T70" s="60"/>
      <c r="U70" s="60">
        <v>4305</v>
      </c>
      <c r="V70" s="49" t="e">
        <f t="shared" si="35"/>
        <v>#DIV/0!</v>
      </c>
      <c r="W70" s="60">
        <f t="shared" si="36"/>
        <v>0</v>
      </c>
      <c r="X70" s="60">
        <f t="shared" si="37"/>
        <v>4305</v>
      </c>
      <c r="Y70" s="49" t="e">
        <f t="shared" si="38"/>
        <v>#DIV/0!</v>
      </c>
      <c r="Z70" s="133"/>
      <c r="AA70" s="133"/>
      <c r="AB70" s="49" t="e">
        <f t="shared" si="39"/>
        <v>#DIV/0!</v>
      </c>
      <c r="AC70" s="133">
        <f t="shared" si="40"/>
        <v>0</v>
      </c>
      <c r="AD70" s="133">
        <f t="shared" si="41"/>
        <v>4305</v>
      </c>
      <c r="AE70" s="49" t="e">
        <f t="shared" si="42"/>
        <v>#DIV/0!</v>
      </c>
      <c r="AF70" s="133"/>
      <c r="AG70" s="133"/>
      <c r="AH70" s="49" t="e">
        <f t="shared" si="43"/>
        <v>#DIV/0!</v>
      </c>
      <c r="AI70" s="133">
        <f t="shared" si="44"/>
        <v>0</v>
      </c>
      <c r="AJ70" s="133">
        <f t="shared" si="45"/>
        <v>4305</v>
      </c>
      <c r="AK70" s="49" t="e">
        <f t="shared" si="46"/>
        <v>#DIV/0!</v>
      </c>
      <c r="AL70" s="133"/>
      <c r="AM70" s="133"/>
      <c r="AN70" s="49" t="e">
        <f t="shared" si="47"/>
        <v>#DIV/0!</v>
      </c>
      <c r="AO70" s="133">
        <f t="shared" si="48"/>
        <v>0</v>
      </c>
      <c r="AP70" s="133">
        <f t="shared" si="49"/>
        <v>4305</v>
      </c>
      <c r="AQ70" s="49" t="e">
        <f t="shared" si="50"/>
        <v>#DIV/0!</v>
      </c>
      <c r="AR70" s="133"/>
      <c r="AS70" s="133"/>
      <c r="AT70" s="49" t="e">
        <f t="shared" ref="AT70:AT76" si="60">AS70/AR70-1</f>
        <v>#DIV/0!</v>
      </c>
      <c r="AU70" s="133">
        <f t="shared" si="52"/>
        <v>0</v>
      </c>
      <c r="AV70" s="133">
        <f t="shared" si="53"/>
        <v>4305</v>
      </c>
      <c r="AW70" s="49" t="e">
        <f t="shared" si="54"/>
        <v>#DIV/0!</v>
      </c>
      <c r="AX70" s="60"/>
      <c r="AY70" s="60"/>
      <c r="AZ70" s="49" t="e">
        <f t="shared" si="55"/>
        <v>#DIV/0!</v>
      </c>
      <c r="BA70" s="60">
        <f t="shared" si="56"/>
        <v>0</v>
      </c>
      <c r="BB70" s="60">
        <f t="shared" si="57"/>
        <v>4305</v>
      </c>
      <c r="BC70" s="49" t="e">
        <f t="shared" si="58"/>
        <v>#DIV/0!</v>
      </c>
      <c r="BD70" s="60"/>
      <c r="BE70" s="192"/>
      <c r="BF70" s="145"/>
      <c r="BG70" s="133"/>
      <c r="BH70" s="133"/>
      <c r="BI70" s="159" t="e">
        <f t="shared" si="59"/>
        <v>#DIV/0!</v>
      </c>
      <c r="BJ70" s="133"/>
      <c r="BK70" s="133"/>
    </row>
    <row r="71" spans="1:63">
      <c r="A71" s="186"/>
      <c r="B71" s="10" t="s">
        <v>27</v>
      </c>
      <c r="C71" s="10" t="s">
        <v>27</v>
      </c>
      <c r="D71" s="84" t="s">
        <v>242</v>
      </c>
      <c r="E71" s="10" t="s">
        <v>78</v>
      </c>
      <c r="F71" s="10" t="s">
        <v>78</v>
      </c>
      <c r="G71" s="10" t="s">
        <v>167</v>
      </c>
      <c r="H71" s="194"/>
      <c r="I71" s="10" t="s">
        <v>169</v>
      </c>
      <c r="J71" s="190"/>
      <c r="K71" s="191"/>
      <c r="L71" s="191"/>
      <c r="M71" s="49"/>
      <c r="N71" s="133"/>
      <c r="O71" s="133"/>
      <c r="P71" s="49"/>
      <c r="Q71" s="133"/>
      <c r="R71" s="133"/>
      <c r="S71" s="49"/>
      <c r="T71" s="60"/>
      <c r="U71" s="60"/>
      <c r="V71" s="49"/>
      <c r="W71" s="60"/>
      <c r="X71" s="60"/>
      <c r="Y71" s="49"/>
      <c r="Z71" s="133"/>
      <c r="AA71" s="133"/>
      <c r="AB71" s="49"/>
      <c r="AC71" s="133"/>
      <c r="AD71" s="133"/>
      <c r="AE71" s="49"/>
      <c r="AF71" s="133"/>
      <c r="AG71" s="133">
        <v>194929.35</v>
      </c>
      <c r="AH71" s="49" t="e">
        <f t="shared" si="43"/>
        <v>#DIV/0!</v>
      </c>
      <c r="AI71" s="133">
        <f t="shared" si="44"/>
        <v>0</v>
      </c>
      <c r="AJ71" s="133">
        <f t="shared" si="45"/>
        <v>194929.35</v>
      </c>
      <c r="AK71" s="49" t="e">
        <f t="shared" si="46"/>
        <v>#DIV/0!</v>
      </c>
      <c r="AL71" s="133"/>
      <c r="AM71" s="133">
        <v>214386.54</v>
      </c>
      <c r="AN71" s="49" t="e">
        <f t="shared" si="47"/>
        <v>#DIV/0!</v>
      </c>
      <c r="AO71" s="133">
        <f t="shared" si="48"/>
        <v>0</v>
      </c>
      <c r="AP71" s="133">
        <f t="shared" si="49"/>
        <v>409315.89</v>
      </c>
      <c r="AQ71" s="49" t="e">
        <f t="shared" si="50"/>
        <v>#DIV/0!</v>
      </c>
      <c r="AR71" s="133"/>
      <c r="AS71" s="133">
        <v>198566.8</v>
      </c>
      <c r="AT71" s="49" t="e">
        <f t="shared" si="60"/>
        <v>#DIV/0!</v>
      </c>
      <c r="AU71" s="133">
        <f t="shared" si="52"/>
        <v>0</v>
      </c>
      <c r="AV71" s="133">
        <f t="shared" si="53"/>
        <v>607882.69</v>
      </c>
      <c r="AW71" s="49" t="e">
        <f t="shared" si="54"/>
        <v>#DIV/0!</v>
      </c>
      <c r="AX71" s="60"/>
      <c r="AY71" s="60"/>
      <c r="AZ71" s="49" t="e">
        <f t="shared" si="55"/>
        <v>#DIV/0!</v>
      </c>
      <c r="BA71" s="60">
        <f t="shared" si="56"/>
        <v>0</v>
      </c>
      <c r="BB71" s="60">
        <f t="shared" si="57"/>
        <v>607882.69</v>
      </c>
      <c r="BC71" s="49" t="e">
        <f t="shared" si="58"/>
        <v>#DIV/0!</v>
      </c>
      <c r="BD71" s="60"/>
      <c r="BE71" s="192"/>
      <c r="BF71" s="145"/>
      <c r="BG71" s="133"/>
      <c r="BH71" s="133"/>
      <c r="BI71" s="159" t="e">
        <f t="shared" si="59"/>
        <v>#DIV/0!</v>
      </c>
      <c r="BJ71" s="133"/>
      <c r="BK71" s="133"/>
    </row>
    <row r="72" spans="1:63">
      <c r="A72" s="186"/>
      <c r="B72" s="10" t="s">
        <v>27</v>
      </c>
      <c r="C72" s="10" t="s">
        <v>27</v>
      </c>
      <c r="D72" s="84" t="s">
        <v>243</v>
      </c>
      <c r="E72" s="133" t="s">
        <v>244</v>
      </c>
      <c r="F72" s="10" t="s">
        <v>60</v>
      </c>
      <c r="G72" s="10" t="s">
        <v>167</v>
      </c>
      <c r="H72" s="194"/>
      <c r="I72" s="10" t="s">
        <v>169</v>
      </c>
      <c r="J72" s="190"/>
      <c r="K72" s="191"/>
      <c r="L72" s="191"/>
      <c r="M72" s="49"/>
      <c r="N72" s="133"/>
      <c r="O72" s="133"/>
      <c r="P72" s="49"/>
      <c r="Q72" s="133"/>
      <c r="R72" s="133"/>
      <c r="S72" s="49"/>
      <c r="T72" s="60"/>
      <c r="U72" s="60"/>
      <c r="V72" s="49"/>
      <c r="W72" s="60"/>
      <c r="X72" s="60"/>
      <c r="Y72" s="49"/>
      <c r="Z72" s="133"/>
      <c r="AA72" s="133"/>
      <c r="AB72" s="49"/>
      <c r="AC72" s="133"/>
      <c r="AD72" s="133"/>
      <c r="AE72" s="49"/>
      <c r="AF72" s="133"/>
      <c r="AG72" s="133">
        <v>2196</v>
      </c>
      <c r="AH72" s="49" t="e">
        <f t="shared" si="43"/>
        <v>#DIV/0!</v>
      </c>
      <c r="AI72" s="133">
        <f t="shared" si="44"/>
        <v>0</v>
      </c>
      <c r="AJ72" s="133">
        <f t="shared" si="45"/>
        <v>2196</v>
      </c>
      <c r="AK72" s="49" t="e">
        <f t="shared" si="46"/>
        <v>#DIV/0!</v>
      </c>
      <c r="AL72" s="133"/>
      <c r="AM72" s="133"/>
      <c r="AN72" s="49" t="e">
        <f t="shared" si="47"/>
        <v>#DIV/0!</v>
      </c>
      <c r="AO72" s="133">
        <f t="shared" si="48"/>
        <v>0</v>
      </c>
      <c r="AP72" s="133">
        <f t="shared" si="49"/>
        <v>2196</v>
      </c>
      <c r="AQ72" s="49" t="e">
        <f t="shared" si="50"/>
        <v>#DIV/0!</v>
      </c>
      <c r="AR72" s="133"/>
      <c r="AS72" s="133"/>
      <c r="AT72" s="49" t="e">
        <f t="shared" si="60"/>
        <v>#DIV/0!</v>
      </c>
      <c r="AU72" s="133">
        <f t="shared" si="52"/>
        <v>0</v>
      </c>
      <c r="AV72" s="133">
        <f t="shared" si="53"/>
        <v>2196</v>
      </c>
      <c r="AW72" s="49" t="e">
        <f t="shared" si="54"/>
        <v>#DIV/0!</v>
      </c>
      <c r="AX72" s="60"/>
      <c r="AY72" s="60"/>
      <c r="AZ72" s="49" t="e">
        <f t="shared" si="55"/>
        <v>#DIV/0!</v>
      </c>
      <c r="BA72" s="60">
        <f t="shared" si="56"/>
        <v>0</v>
      </c>
      <c r="BB72" s="60">
        <f t="shared" si="57"/>
        <v>2196</v>
      </c>
      <c r="BC72" s="49" t="e">
        <f t="shared" si="58"/>
        <v>#DIV/0!</v>
      </c>
      <c r="BD72" s="60"/>
      <c r="BE72" s="192"/>
      <c r="BF72" s="145"/>
      <c r="BG72" s="133"/>
      <c r="BH72" s="133"/>
      <c r="BI72" s="159" t="e">
        <f t="shared" si="59"/>
        <v>#DIV/0!</v>
      </c>
      <c r="BJ72" s="133"/>
      <c r="BK72" s="133"/>
    </row>
    <row r="73" spans="1:63">
      <c r="A73" s="186"/>
      <c r="B73" s="10" t="s">
        <v>27</v>
      </c>
      <c r="C73" s="10" t="s">
        <v>27</v>
      </c>
      <c r="D73" s="84" t="s">
        <v>245</v>
      </c>
      <c r="E73" s="133" t="s">
        <v>60</v>
      </c>
      <c r="F73" s="10" t="s">
        <v>60</v>
      </c>
      <c r="G73" s="10" t="s">
        <v>176</v>
      </c>
      <c r="H73" s="194"/>
      <c r="I73" s="10" t="s">
        <v>164</v>
      </c>
      <c r="J73" s="190"/>
      <c r="K73" s="191"/>
      <c r="L73" s="191"/>
      <c r="M73" s="49"/>
      <c r="N73" s="133"/>
      <c r="O73" s="133"/>
      <c r="P73" s="49"/>
      <c r="Q73" s="133"/>
      <c r="R73" s="133"/>
      <c r="S73" s="49"/>
      <c r="T73" s="60"/>
      <c r="U73" s="60"/>
      <c r="V73" s="49"/>
      <c r="W73" s="60"/>
      <c r="X73" s="60"/>
      <c r="Y73" s="49"/>
      <c r="Z73" s="133"/>
      <c r="AA73" s="133"/>
      <c r="AB73" s="49"/>
      <c r="AC73" s="133"/>
      <c r="AD73" s="133"/>
      <c r="AE73" s="49"/>
      <c r="AF73" s="133"/>
      <c r="AG73" s="133">
        <v>6252</v>
      </c>
      <c r="AH73" s="49" t="e">
        <f t="shared" si="43"/>
        <v>#DIV/0!</v>
      </c>
      <c r="AI73" s="133">
        <f t="shared" si="44"/>
        <v>0</v>
      </c>
      <c r="AJ73" s="133">
        <f t="shared" si="45"/>
        <v>6252</v>
      </c>
      <c r="AK73" s="49" t="e">
        <f t="shared" si="46"/>
        <v>#DIV/0!</v>
      </c>
      <c r="AL73" s="133"/>
      <c r="AM73" s="133"/>
      <c r="AN73" s="49" t="e">
        <f t="shared" si="47"/>
        <v>#DIV/0!</v>
      </c>
      <c r="AO73" s="133">
        <f t="shared" si="48"/>
        <v>0</v>
      </c>
      <c r="AP73" s="133">
        <f t="shared" si="49"/>
        <v>6252</v>
      </c>
      <c r="AQ73" s="49" t="e">
        <f t="shared" si="50"/>
        <v>#DIV/0!</v>
      </c>
      <c r="AR73" s="133"/>
      <c r="AS73" s="133"/>
      <c r="AT73" s="49" t="e">
        <f t="shared" si="60"/>
        <v>#DIV/0!</v>
      </c>
      <c r="AU73" s="133">
        <f t="shared" si="52"/>
        <v>0</v>
      </c>
      <c r="AV73" s="133">
        <f t="shared" si="53"/>
        <v>6252</v>
      </c>
      <c r="AW73" s="49" t="e">
        <f t="shared" si="54"/>
        <v>#DIV/0!</v>
      </c>
      <c r="AX73" s="60"/>
      <c r="AY73" s="60"/>
      <c r="AZ73" s="49" t="e">
        <f t="shared" si="55"/>
        <v>#DIV/0!</v>
      </c>
      <c r="BA73" s="60">
        <f t="shared" si="56"/>
        <v>0</v>
      </c>
      <c r="BB73" s="60">
        <f t="shared" si="57"/>
        <v>6252</v>
      </c>
      <c r="BC73" s="49" t="e">
        <f t="shared" si="58"/>
        <v>#DIV/0!</v>
      </c>
      <c r="BD73" s="60"/>
      <c r="BE73" s="192"/>
      <c r="BF73" s="145"/>
      <c r="BG73" s="133"/>
      <c r="BH73" s="133"/>
      <c r="BI73" s="159" t="e">
        <f t="shared" si="59"/>
        <v>#DIV/0!</v>
      </c>
      <c r="BJ73" s="133"/>
      <c r="BK73" s="133"/>
    </row>
    <row r="74" spans="1:63">
      <c r="A74" s="186"/>
      <c r="B74" s="10" t="s">
        <v>27</v>
      </c>
      <c r="C74" s="10" t="s">
        <v>27</v>
      </c>
      <c r="D74" s="189" t="s">
        <v>246</v>
      </c>
      <c r="E74" s="133" t="s">
        <v>237</v>
      </c>
      <c r="F74" s="10" t="s">
        <v>60</v>
      </c>
      <c r="G74" s="10" t="s">
        <v>176</v>
      </c>
      <c r="H74" s="194" t="s">
        <v>176</v>
      </c>
      <c r="I74" s="10" t="s">
        <v>164</v>
      </c>
      <c r="J74" s="190"/>
      <c r="K74" s="191"/>
      <c r="L74" s="191"/>
      <c r="M74" s="49"/>
      <c r="N74" s="133"/>
      <c r="O74" s="133"/>
      <c r="P74" s="49"/>
      <c r="Q74" s="133"/>
      <c r="R74" s="133"/>
      <c r="S74" s="49"/>
      <c r="T74" s="60"/>
      <c r="U74" s="60"/>
      <c r="V74" s="60"/>
      <c r="W74" s="60"/>
      <c r="X74" s="60"/>
      <c r="Y74" s="60"/>
      <c r="Z74" s="133"/>
      <c r="AA74" s="133">
        <v>3364</v>
      </c>
      <c r="AB74" s="49" t="e">
        <f>AA74/Z74-1</f>
        <v>#DIV/0!</v>
      </c>
      <c r="AC74" s="133">
        <f>Z74+W74</f>
        <v>0</v>
      </c>
      <c r="AD74" s="133">
        <f>AA74+X74</f>
        <v>3364</v>
      </c>
      <c r="AE74" s="49" t="e">
        <f>AD74/AC74-1</f>
        <v>#DIV/0!</v>
      </c>
      <c r="AF74" s="133"/>
      <c r="AG74" s="133"/>
      <c r="AH74" s="49" t="e">
        <f t="shared" si="43"/>
        <v>#DIV/0!</v>
      </c>
      <c r="AI74" s="133">
        <f t="shared" si="44"/>
        <v>0</v>
      </c>
      <c r="AJ74" s="133">
        <f t="shared" si="45"/>
        <v>3364</v>
      </c>
      <c r="AK74" s="49" t="e">
        <f t="shared" si="46"/>
        <v>#DIV/0!</v>
      </c>
      <c r="AL74" s="133"/>
      <c r="AM74" s="133"/>
      <c r="AN74" s="49" t="e">
        <f t="shared" si="47"/>
        <v>#DIV/0!</v>
      </c>
      <c r="AO74" s="133">
        <f t="shared" si="48"/>
        <v>0</v>
      </c>
      <c r="AP74" s="133">
        <f t="shared" si="49"/>
        <v>3364</v>
      </c>
      <c r="AQ74" s="49" t="e">
        <f t="shared" si="50"/>
        <v>#DIV/0!</v>
      </c>
      <c r="AR74" s="133"/>
      <c r="AS74" s="133"/>
      <c r="AT74" s="49" t="e">
        <f t="shared" si="60"/>
        <v>#DIV/0!</v>
      </c>
      <c r="AU74" s="133">
        <f t="shared" si="52"/>
        <v>0</v>
      </c>
      <c r="AV74" s="133">
        <f t="shared" si="53"/>
        <v>3364</v>
      </c>
      <c r="AW74" s="49" t="e">
        <f t="shared" si="54"/>
        <v>#DIV/0!</v>
      </c>
      <c r="AX74" s="60"/>
      <c r="AY74" s="60"/>
      <c r="AZ74" s="49" t="e">
        <f t="shared" si="55"/>
        <v>#DIV/0!</v>
      </c>
      <c r="BA74" s="60">
        <f t="shared" si="56"/>
        <v>0</v>
      </c>
      <c r="BB74" s="60">
        <f t="shared" si="57"/>
        <v>3364</v>
      </c>
      <c r="BC74" s="49" t="e">
        <f t="shared" si="58"/>
        <v>#DIV/0!</v>
      </c>
      <c r="BD74" s="60"/>
      <c r="BE74" s="192"/>
      <c r="BF74" s="145"/>
      <c r="BG74" s="133"/>
      <c r="BH74" s="133"/>
      <c r="BI74" s="159" t="e">
        <f t="shared" si="59"/>
        <v>#DIV/0!</v>
      </c>
      <c r="BJ74" s="133"/>
      <c r="BK74" s="133"/>
    </row>
    <row r="75" spans="1:63">
      <c r="A75" s="186"/>
      <c r="B75" s="10" t="s">
        <v>27</v>
      </c>
      <c r="C75" s="10" t="s">
        <v>27</v>
      </c>
      <c r="D75" s="189" t="s">
        <v>247</v>
      </c>
      <c r="E75" s="133" t="s">
        <v>60</v>
      </c>
      <c r="F75" s="126" t="s">
        <v>60</v>
      </c>
      <c r="G75" s="126" t="s">
        <v>182</v>
      </c>
      <c r="H75" s="126" t="s">
        <v>182</v>
      </c>
      <c r="I75" s="133" t="s">
        <v>173</v>
      </c>
      <c r="J75" s="190"/>
      <c r="K75" s="191"/>
      <c r="L75" s="191"/>
      <c r="M75" s="49"/>
      <c r="N75" s="133"/>
      <c r="O75" s="133"/>
      <c r="P75" s="49"/>
      <c r="Q75" s="133"/>
      <c r="R75" s="133"/>
      <c r="S75" s="49"/>
      <c r="T75" s="60"/>
      <c r="U75" s="60"/>
      <c r="V75" s="60"/>
      <c r="W75" s="60"/>
      <c r="X75" s="60"/>
      <c r="Y75" s="60"/>
      <c r="Z75" s="133"/>
      <c r="AA75" s="133"/>
      <c r="AB75" s="49"/>
      <c r="AC75" s="133"/>
      <c r="AD75" s="133"/>
      <c r="AE75" s="49"/>
      <c r="AF75" s="133"/>
      <c r="AG75" s="133"/>
      <c r="AH75" s="49"/>
      <c r="AI75" s="133"/>
      <c r="AJ75" s="133"/>
      <c r="AK75" s="49"/>
      <c r="AL75" s="133"/>
      <c r="AM75" s="133"/>
      <c r="AN75" s="49"/>
      <c r="AO75" s="133"/>
      <c r="AP75" s="133"/>
      <c r="AQ75" s="49"/>
      <c r="AR75" s="133"/>
      <c r="AS75" s="133">
        <v>2200</v>
      </c>
      <c r="AT75" s="49" t="e">
        <f t="shared" si="60"/>
        <v>#DIV/0!</v>
      </c>
      <c r="AU75" s="133">
        <f t="shared" si="52"/>
        <v>0</v>
      </c>
      <c r="AV75" s="133">
        <f t="shared" si="53"/>
        <v>2200</v>
      </c>
      <c r="AW75" s="49" t="e">
        <f t="shared" si="54"/>
        <v>#DIV/0!</v>
      </c>
      <c r="AX75" s="60"/>
      <c r="AY75" s="60"/>
      <c r="AZ75" s="49" t="e">
        <f t="shared" si="55"/>
        <v>#DIV/0!</v>
      </c>
      <c r="BA75" s="60">
        <f t="shared" si="56"/>
        <v>0</v>
      </c>
      <c r="BB75" s="60">
        <f t="shared" si="57"/>
        <v>2200</v>
      </c>
      <c r="BC75" s="49" t="e">
        <f t="shared" si="58"/>
        <v>#DIV/0!</v>
      </c>
      <c r="BD75" s="60"/>
      <c r="BE75" s="192"/>
      <c r="BF75" s="145"/>
      <c r="BG75" s="133"/>
      <c r="BH75" s="133"/>
      <c r="BI75" s="159" t="e">
        <f t="shared" si="59"/>
        <v>#DIV/0!</v>
      </c>
      <c r="BJ75" s="133"/>
      <c r="BK75" s="133"/>
    </row>
    <row r="76" spans="1:63">
      <c r="A76" s="186"/>
      <c r="B76" s="10" t="s">
        <v>27</v>
      </c>
      <c r="C76" s="10" t="s">
        <v>27</v>
      </c>
      <c r="D76" s="189" t="s">
        <v>248</v>
      </c>
      <c r="E76" s="133" t="s">
        <v>113</v>
      </c>
      <c r="F76" s="126" t="s">
        <v>113</v>
      </c>
      <c r="G76" s="126" t="s">
        <v>182</v>
      </c>
      <c r="H76" s="126" t="s">
        <v>182</v>
      </c>
      <c r="I76" s="133" t="s">
        <v>173</v>
      </c>
      <c r="J76" s="190">
        <v>10</v>
      </c>
      <c r="K76" s="191"/>
      <c r="L76" s="191"/>
      <c r="M76" s="49"/>
      <c r="N76" s="133"/>
      <c r="O76" s="133"/>
      <c r="P76" s="49"/>
      <c r="Q76" s="133"/>
      <c r="R76" s="133"/>
      <c r="S76" s="49"/>
      <c r="T76" s="60"/>
      <c r="U76" s="60"/>
      <c r="V76" s="60"/>
      <c r="W76" s="60"/>
      <c r="X76" s="60"/>
      <c r="Y76" s="60"/>
      <c r="Z76" s="133"/>
      <c r="AA76" s="133"/>
      <c r="AB76" s="49"/>
      <c r="AC76" s="133"/>
      <c r="AD76" s="133"/>
      <c r="AE76" s="49"/>
      <c r="AF76" s="133"/>
      <c r="AG76" s="133"/>
      <c r="AH76" s="49"/>
      <c r="AI76" s="133"/>
      <c r="AJ76" s="133"/>
      <c r="AK76" s="49"/>
      <c r="AL76" s="133"/>
      <c r="AM76" s="133"/>
      <c r="AN76" s="49"/>
      <c r="AO76" s="133"/>
      <c r="AP76" s="133"/>
      <c r="AQ76" s="49"/>
      <c r="AR76" s="133"/>
      <c r="AS76" s="133"/>
      <c r="AT76" s="49"/>
      <c r="AU76" s="133"/>
      <c r="AV76" s="133"/>
      <c r="AW76" s="49"/>
      <c r="AX76" s="60"/>
      <c r="AY76" s="60">
        <v>4928</v>
      </c>
      <c r="AZ76" s="49" t="e">
        <f t="shared" si="55"/>
        <v>#DIV/0!</v>
      </c>
      <c r="BA76" s="60">
        <f t="shared" si="56"/>
        <v>0</v>
      </c>
      <c r="BB76" s="60">
        <f t="shared" si="57"/>
        <v>4928</v>
      </c>
      <c r="BC76" s="49" t="e">
        <f t="shared" si="58"/>
        <v>#DIV/0!</v>
      </c>
      <c r="BD76" s="60"/>
      <c r="BE76" s="192"/>
      <c r="BF76" s="145"/>
      <c r="BG76" s="133"/>
      <c r="BH76" s="133"/>
      <c r="BI76" s="159">
        <f t="shared" si="59"/>
        <v>0.04928</v>
      </c>
      <c r="BJ76" s="133"/>
      <c r="BK76" s="133"/>
    </row>
    <row r="77" spans="1:63">
      <c r="A77" s="186">
        <v>59</v>
      </c>
      <c r="B77" s="141" t="s">
        <v>27</v>
      </c>
      <c r="C77" s="141" t="s">
        <v>27</v>
      </c>
      <c r="D77" s="123" t="s">
        <v>34</v>
      </c>
      <c r="E77" s="126"/>
      <c r="F77" s="126"/>
      <c r="G77" s="126"/>
      <c r="H77" s="126"/>
      <c r="I77" s="126"/>
      <c r="J77" s="130">
        <f>SUBTOTAL(9,J3:J74)</f>
        <v>1441.88</v>
      </c>
      <c r="K77" s="42">
        <f>SUBTOTAL(9,K3:K74)</f>
        <v>757967.7</v>
      </c>
      <c r="L77" s="42">
        <f>SUBTOTAL(9,L3:L74)</f>
        <v>1062811.5</v>
      </c>
      <c r="M77" s="49">
        <f>L77/K77-1</f>
        <v>0.40218573957703</v>
      </c>
      <c r="N77" s="42">
        <f>SUBTOTAL(9,N3:N74)</f>
        <v>650701</v>
      </c>
      <c r="O77" s="42">
        <f>SUBTOTAL(9,O3:O74)</f>
        <v>653921.1</v>
      </c>
      <c r="P77" s="49">
        <f>O77/N77-1</f>
        <v>0.00494866305722597</v>
      </c>
      <c r="Q77" s="42">
        <f>SUBTOTAL(9,Q3:Q74)</f>
        <v>1408668.7</v>
      </c>
      <c r="R77" s="42">
        <f>SUBTOTAL(9,R3:R74)</f>
        <v>1716732.6</v>
      </c>
      <c r="S77" s="49">
        <f>R77/Q77-1</f>
        <v>0.218691520582519</v>
      </c>
      <c r="T77" s="42">
        <f>SUBTOTAL(9,T3:T74)</f>
        <v>834107.08</v>
      </c>
      <c r="U77" s="42">
        <f>SUBTOTAL(9,U3:U74)</f>
        <v>1262815.5</v>
      </c>
      <c r="V77" s="49">
        <f>U77/T77-1</f>
        <v>0.513972882234736</v>
      </c>
      <c r="W77" s="42">
        <f>SUBTOTAL(9,W3:W74)</f>
        <v>2242775.78</v>
      </c>
      <c r="X77" s="42">
        <f>SUBTOTAL(9,X3:X74)</f>
        <v>2979548.1</v>
      </c>
      <c r="Y77" s="49">
        <f>X77/W77-1</f>
        <v>0.328509129878333</v>
      </c>
      <c r="Z77" s="42">
        <f>SUBTOTAL(9,Z3:Z74)</f>
        <v>1174295.4</v>
      </c>
      <c r="AA77" s="42">
        <f>SUBTOTAL(9,AA3:AA74)</f>
        <v>591900.56</v>
      </c>
      <c r="AB77" s="49">
        <f>AA77/Z77-1</f>
        <v>-0.495952585695218</v>
      </c>
      <c r="AC77" s="42">
        <f>SUBTOTAL(9,AC3:AC74)</f>
        <v>3417071.18</v>
      </c>
      <c r="AD77" s="42">
        <f t="shared" ref="AD77:AJ77" si="61">SUBTOTAL(9,AD3:AD74)</f>
        <v>3571448.66</v>
      </c>
      <c r="AE77" s="49">
        <f>AD77/AC77-1</f>
        <v>0.045178303836211</v>
      </c>
      <c r="AF77" s="42">
        <f t="shared" si="61"/>
        <v>841508.5</v>
      </c>
      <c r="AG77" s="42">
        <f t="shared" si="61"/>
        <v>1004931.65</v>
      </c>
      <c r="AH77" s="49">
        <f>AG77/AF77-1</f>
        <v>0.194202613520838</v>
      </c>
      <c r="AI77" s="42">
        <f t="shared" si="61"/>
        <v>4258579.68</v>
      </c>
      <c r="AJ77" s="42">
        <f t="shared" si="61"/>
        <v>4576380.31</v>
      </c>
      <c r="AK77" s="49">
        <f>AJ77/AI77-1</f>
        <v>0.0746259677827608</v>
      </c>
      <c r="AL77" s="42">
        <f t="shared" ref="AL77:AP77" si="62">SUBTOTAL(9,AL3:AL74)</f>
        <v>1079235.6</v>
      </c>
      <c r="AM77" s="42">
        <f t="shared" si="62"/>
        <v>1527170.63</v>
      </c>
      <c r="AN77" s="49">
        <f>AM77/AL77-1</f>
        <v>0.4150484194554</v>
      </c>
      <c r="AO77" s="42">
        <f t="shared" si="62"/>
        <v>5337815.28</v>
      </c>
      <c r="AP77" s="42">
        <f t="shared" si="62"/>
        <v>6103550.94</v>
      </c>
      <c r="AQ77" s="49">
        <f>AP77/AO77-1</f>
        <v>0.143454881788266</v>
      </c>
      <c r="AR77" s="42">
        <f>SUBTOTAL(9,AR3:AR74)</f>
        <v>767814</v>
      </c>
      <c r="AS77" s="42">
        <f t="shared" ref="AS77:AV77" si="63">SUBTOTAL(9,AS3:AS75)</f>
        <v>1057782.99</v>
      </c>
      <c r="AT77" s="49">
        <f>AS77/AR77-1</f>
        <v>0.377655252443951</v>
      </c>
      <c r="AU77" s="42">
        <f t="shared" si="63"/>
        <v>6105629.28</v>
      </c>
      <c r="AV77" s="42">
        <f t="shared" si="63"/>
        <v>7161333.93</v>
      </c>
      <c r="AW77" s="49">
        <f>AV77/AU77-1</f>
        <v>0.172906772027272</v>
      </c>
      <c r="AX77" s="42">
        <f>SUBTOTAL(9,AX3:AX75)</f>
        <v>611076.9</v>
      </c>
      <c r="AY77" s="42">
        <f t="shared" ref="AY77:BB77" si="64">SUBTOTAL(9,AY3:AY76)</f>
        <v>976642.51</v>
      </c>
      <c r="AZ77" s="49">
        <f t="shared" si="55"/>
        <v>0.598231761010766</v>
      </c>
      <c r="BA77" s="42">
        <f t="shared" si="64"/>
        <v>6716706.18</v>
      </c>
      <c r="BB77" s="42">
        <f t="shared" si="64"/>
        <v>8137976.44</v>
      </c>
      <c r="BC77" s="49">
        <f t="shared" si="58"/>
        <v>0.211602267824674</v>
      </c>
      <c r="BD77" s="158">
        <v>1467492.09</v>
      </c>
      <c r="BE77" s="158">
        <v>2289433.89</v>
      </c>
      <c r="BF77" s="158">
        <v>1909912.36</v>
      </c>
      <c r="BG77" s="158">
        <v>2428025.22</v>
      </c>
      <c r="BH77" s="158">
        <v>15040266.74</v>
      </c>
      <c r="BI77" s="159">
        <f t="shared" si="59"/>
        <v>0.564400396704303</v>
      </c>
      <c r="BJ77" s="133"/>
      <c r="BK77" s="133"/>
    </row>
  </sheetData>
  <mergeCells count="39">
    <mergeCell ref="K1:L1"/>
    <mergeCell ref="N1:O1"/>
    <mergeCell ref="Q1:R1"/>
    <mergeCell ref="T1:U1"/>
    <mergeCell ref="W1:X1"/>
    <mergeCell ref="Z1:AA1"/>
    <mergeCell ref="AC1:AD1"/>
    <mergeCell ref="AF1:AG1"/>
    <mergeCell ref="AI1:AJ1"/>
    <mergeCell ref="AL1:AM1"/>
    <mergeCell ref="AO1:AP1"/>
    <mergeCell ref="AR1:AS1"/>
    <mergeCell ref="AU1:AV1"/>
    <mergeCell ref="AX1:AY1"/>
    <mergeCell ref="BA1:BB1"/>
    <mergeCell ref="A1:A2"/>
    <mergeCell ref="D1:D2"/>
    <mergeCell ref="E1:E2"/>
    <mergeCell ref="F1:F2"/>
    <mergeCell ref="G1:G2"/>
    <mergeCell ref="H1:H2"/>
    <mergeCell ref="I1:I2"/>
    <mergeCell ref="J1:J2"/>
    <mergeCell ref="M1:M2"/>
    <mergeCell ref="P1:P2"/>
    <mergeCell ref="S1:S2"/>
    <mergeCell ref="V1:V2"/>
    <mergeCell ref="Y1:Y2"/>
    <mergeCell ref="AB1:AB2"/>
    <mergeCell ref="AE1:AE2"/>
    <mergeCell ref="AH1:AH2"/>
    <mergeCell ref="AK1:AK2"/>
    <mergeCell ref="AN1:AN2"/>
    <mergeCell ref="AQ1:AQ2"/>
    <mergeCell ref="AT1:AT2"/>
    <mergeCell ref="AW1:AW2"/>
    <mergeCell ref="AZ1:AZ2"/>
    <mergeCell ref="BC1:BC2"/>
    <mergeCell ref="BI1:BI2"/>
  </mergeCell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C000"/>
  </sheetPr>
  <dimension ref="A1:BJ32"/>
  <sheetViews>
    <sheetView workbookViewId="0">
      <pane xSplit="9" ySplit="2" topLeftCell="AW9" activePane="bottomRight" state="frozen"/>
      <selection/>
      <selection pane="topRight"/>
      <selection pane="bottomLeft"/>
      <selection pane="bottomRight" activeCell="AZ31" sqref="AZ31:BA31"/>
    </sheetView>
  </sheetViews>
  <sheetFormatPr defaultColWidth="9" defaultRowHeight="14"/>
  <cols>
    <col min="1" max="1" width="6.25454545454545" style="110" customWidth="1"/>
    <col min="2" max="2" width="4.87272727272727" customWidth="1"/>
    <col min="3" max="3" width="25" customWidth="1"/>
    <col min="4" max="5" width="7.50909090909091" customWidth="1"/>
    <col min="6" max="6" width="11.1272727272727" style="40" customWidth="1"/>
    <col min="7" max="7" width="7.87272727272727" hidden="1" customWidth="1"/>
    <col min="8" max="9" width="9.25454545454545" customWidth="1"/>
    <col min="10" max="12" width="11.1272727272727" style="38" customWidth="1"/>
    <col min="13" max="24" width="10.1272727272727" customWidth="1"/>
    <col min="25" max="25" width="10.7545454545455" customWidth="1"/>
    <col min="26" max="30" width="9.25454545454545" customWidth="1"/>
    <col min="31" max="36" width="10.7545454545455" customWidth="1"/>
    <col min="37" max="42" width="10.7545454545455" style="112" customWidth="1"/>
    <col min="43" max="54" width="10.7545454545455" customWidth="1"/>
    <col min="55" max="55" width="10.7545454545455" style="112" hidden="1" customWidth="1"/>
    <col min="56" max="59" width="10.7545454545455" hidden="1" customWidth="1"/>
    <col min="60" max="60" width="10.7545454545455" customWidth="1"/>
    <col min="61" max="61" width="9" hidden="1" customWidth="1"/>
    <col min="62" max="62" width="9.25454545454545" customWidth="1"/>
  </cols>
  <sheetData>
    <row r="1" spans="1:62">
      <c r="A1" s="42" t="s">
        <v>43</v>
      </c>
      <c r="B1" s="160" t="s">
        <v>44</v>
      </c>
      <c r="C1" s="160" t="s">
        <v>249</v>
      </c>
      <c r="D1" s="161" t="s">
        <v>46</v>
      </c>
      <c r="E1" s="162" t="s">
        <v>47</v>
      </c>
      <c r="F1" s="163" t="s">
        <v>48</v>
      </c>
      <c r="G1" s="164" t="s">
        <v>49</v>
      </c>
      <c r="H1" s="165" t="s">
        <v>50</v>
      </c>
      <c r="I1" s="165" t="s">
        <v>36</v>
      </c>
      <c r="J1" s="174" t="s">
        <v>3</v>
      </c>
      <c r="K1" s="88"/>
      <c r="L1" s="89" t="s">
        <v>4</v>
      </c>
      <c r="M1" s="55" t="s">
        <v>5</v>
      </c>
      <c r="N1" s="55"/>
      <c r="O1" s="56" t="s">
        <v>4</v>
      </c>
      <c r="P1" s="55" t="s">
        <v>37</v>
      </c>
      <c r="Q1" s="55"/>
      <c r="R1" s="56" t="s">
        <v>4</v>
      </c>
      <c r="S1" s="55" t="s">
        <v>6</v>
      </c>
      <c r="T1" s="55"/>
      <c r="U1" s="56" t="s">
        <v>4</v>
      </c>
      <c r="V1" s="55" t="s">
        <v>7</v>
      </c>
      <c r="W1" s="55"/>
      <c r="X1" s="56" t="s">
        <v>4</v>
      </c>
      <c r="Y1" s="55" t="s">
        <v>8</v>
      </c>
      <c r="Z1" s="55"/>
      <c r="AA1" s="56" t="s">
        <v>4</v>
      </c>
      <c r="AB1" s="55" t="s">
        <v>9</v>
      </c>
      <c r="AC1" s="55"/>
      <c r="AD1" s="56" t="s">
        <v>4</v>
      </c>
      <c r="AE1" s="55" t="s">
        <v>10</v>
      </c>
      <c r="AF1" s="55"/>
      <c r="AG1" s="56" t="s">
        <v>4</v>
      </c>
      <c r="AH1" s="55" t="s">
        <v>11</v>
      </c>
      <c r="AI1" s="55"/>
      <c r="AJ1" s="56" t="s">
        <v>4</v>
      </c>
      <c r="AK1" s="55" t="s">
        <v>12</v>
      </c>
      <c r="AL1" s="55"/>
      <c r="AM1" s="56" t="s">
        <v>4</v>
      </c>
      <c r="AN1" s="55" t="s">
        <v>13</v>
      </c>
      <c r="AO1" s="55"/>
      <c r="AP1" s="56" t="s">
        <v>4</v>
      </c>
      <c r="AQ1" s="55" t="s">
        <v>14</v>
      </c>
      <c r="AR1" s="55"/>
      <c r="AS1" s="56" t="s">
        <v>4</v>
      </c>
      <c r="AT1" s="55" t="s">
        <v>15</v>
      </c>
      <c r="AU1" s="55"/>
      <c r="AV1" s="99" t="s">
        <v>4</v>
      </c>
      <c r="AW1" s="55" t="s">
        <v>16</v>
      </c>
      <c r="AX1" s="55"/>
      <c r="AY1" s="56" t="s">
        <v>4</v>
      </c>
      <c r="AZ1" s="55" t="s">
        <v>17</v>
      </c>
      <c r="BA1" s="55"/>
      <c r="BB1" s="99" t="s">
        <v>4</v>
      </c>
      <c r="BC1" s="178" t="s">
        <v>38</v>
      </c>
      <c r="BD1" s="178" t="s">
        <v>39</v>
      </c>
      <c r="BE1" s="178" t="s">
        <v>40</v>
      </c>
      <c r="BF1" s="178" t="s">
        <v>41</v>
      </c>
      <c r="BG1" s="180" t="s">
        <v>132</v>
      </c>
      <c r="BH1" s="137" t="s">
        <v>18</v>
      </c>
      <c r="BI1" s="67"/>
      <c r="BJ1" s="67"/>
    </row>
    <row r="2" ht="12" customHeight="1" spans="1:62">
      <c r="A2" s="42"/>
      <c r="B2" s="166"/>
      <c r="C2" s="166"/>
      <c r="D2" s="167"/>
      <c r="E2" s="162"/>
      <c r="F2" s="163"/>
      <c r="G2" s="168"/>
      <c r="H2" s="169"/>
      <c r="I2" s="169"/>
      <c r="J2" s="93" t="s">
        <v>19</v>
      </c>
      <c r="K2" s="93" t="s">
        <v>20</v>
      </c>
      <c r="L2" s="94"/>
      <c r="M2" s="57" t="s">
        <v>19</v>
      </c>
      <c r="N2" s="57" t="s">
        <v>20</v>
      </c>
      <c r="O2" s="56"/>
      <c r="P2" s="57" t="s">
        <v>19</v>
      </c>
      <c r="Q2" s="57" t="s">
        <v>20</v>
      </c>
      <c r="R2" s="56"/>
      <c r="S2" s="57" t="s">
        <v>19</v>
      </c>
      <c r="T2" s="57" t="s">
        <v>20</v>
      </c>
      <c r="U2" s="56"/>
      <c r="V2" s="57" t="s">
        <v>19</v>
      </c>
      <c r="W2" s="57" t="s">
        <v>20</v>
      </c>
      <c r="X2" s="56"/>
      <c r="Y2" s="57" t="s">
        <v>19</v>
      </c>
      <c r="Z2" s="57" t="s">
        <v>20</v>
      </c>
      <c r="AA2" s="56"/>
      <c r="AB2" s="57" t="s">
        <v>19</v>
      </c>
      <c r="AC2" s="57" t="s">
        <v>20</v>
      </c>
      <c r="AD2" s="56"/>
      <c r="AE2" s="57" t="s">
        <v>19</v>
      </c>
      <c r="AF2" s="57" t="s">
        <v>20</v>
      </c>
      <c r="AG2" s="56"/>
      <c r="AH2" s="57" t="s">
        <v>19</v>
      </c>
      <c r="AI2" s="57" t="s">
        <v>20</v>
      </c>
      <c r="AJ2" s="56"/>
      <c r="AK2" s="57" t="s">
        <v>19</v>
      </c>
      <c r="AL2" s="57" t="s">
        <v>20</v>
      </c>
      <c r="AM2" s="56"/>
      <c r="AN2" s="57" t="s">
        <v>19</v>
      </c>
      <c r="AO2" s="57" t="s">
        <v>20</v>
      </c>
      <c r="AP2" s="56"/>
      <c r="AQ2" s="57" t="s">
        <v>19</v>
      </c>
      <c r="AR2" s="57" t="s">
        <v>20</v>
      </c>
      <c r="AS2" s="56"/>
      <c r="AT2" s="57" t="s">
        <v>19</v>
      </c>
      <c r="AU2" s="57" t="s">
        <v>20</v>
      </c>
      <c r="AV2" s="99"/>
      <c r="AW2" s="57" t="s">
        <v>19</v>
      </c>
      <c r="AX2" s="57" t="s">
        <v>20</v>
      </c>
      <c r="AY2" s="56"/>
      <c r="AZ2" s="57" t="s">
        <v>19</v>
      </c>
      <c r="BA2" s="57" t="s">
        <v>20</v>
      </c>
      <c r="BB2" s="99"/>
      <c r="BC2" s="42" t="s">
        <v>19</v>
      </c>
      <c r="BD2" s="42" t="s">
        <v>19</v>
      </c>
      <c r="BE2" s="42" t="s">
        <v>19</v>
      </c>
      <c r="BF2" s="42" t="s">
        <v>19</v>
      </c>
      <c r="BG2" s="42" t="s">
        <v>19</v>
      </c>
      <c r="BH2" s="137"/>
      <c r="BI2" s="68" t="s">
        <v>250</v>
      </c>
      <c r="BJ2" s="68" t="s">
        <v>251</v>
      </c>
    </row>
    <row r="3" spans="1:62">
      <c r="A3" s="42" t="s">
        <v>252</v>
      </c>
      <c r="B3" s="137" t="s">
        <v>252</v>
      </c>
      <c r="C3" s="53" t="s">
        <v>253</v>
      </c>
      <c r="D3" s="170" t="s">
        <v>64</v>
      </c>
      <c r="E3" s="170" t="s">
        <v>64</v>
      </c>
      <c r="F3" s="126" t="s">
        <v>254</v>
      </c>
      <c r="G3" s="53" t="s">
        <v>254</v>
      </c>
      <c r="H3" s="61" t="s">
        <v>255</v>
      </c>
      <c r="I3" s="61">
        <v>220</v>
      </c>
      <c r="J3" s="42">
        <v>365000</v>
      </c>
      <c r="K3" s="42">
        <f>73000+11500</f>
        <v>84500</v>
      </c>
      <c r="L3" s="129">
        <f>K3/J3-1</f>
        <v>-0.768493150684932</v>
      </c>
      <c r="M3" s="139">
        <v>30000</v>
      </c>
      <c r="N3" s="139">
        <f>15000+21876</f>
        <v>36876</v>
      </c>
      <c r="O3" s="129">
        <f t="shared" ref="O3:O27" si="0">N3/M3-1</f>
        <v>0.2292</v>
      </c>
      <c r="P3" s="139">
        <f>M3+J3</f>
        <v>395000</v>
      </c>
      <c r="Q3" s="139">
        <f>N3+K3</f>
        <v>121376</v>
      </c>
      <c r="R3" s="129">
        <f t="shared" ref="R3:R27" si="1">Q3/P3-1</f>
        <v>-0.692718987341772</v>
      </c>
      <c r="S3" s="61">
        <v>148000</v>
      </c>
      <c r="T3" s="61">
        <f>38155.54+91496-15078</f>
        <v>114573.54</v>
      </c>
      <c r="U3" s="129">
        <f t="shared" ref="U3:U27" si="2">T3/S3-1</f>
        <v>-0.225854459459459</v>
      </c>
      <c r="V3" s="60">
        <f>S3+P3</f>
        <v>543000</v>
      </c>
      <c r="W3" s="60">
        <f>T3+Q3</f>
        <v>235949.54</v>
      </c>
      <c r="X3" s="129">
        <f>W3/V3-1</f>
        <v>-0.565470460405157</v>
      </c>
      <c r="Y3" s="61">
        <v>115000</v>
      </c>
      <c r="Z3" s="61">
        <v>156103</v>
      </c>
      <c r="AA3" s="129">
        <f t="shared" ref="AA3:AA28" si="3">Z3/Y3-1</f>
        <v>0.357417391304348</v>
      </c>
      <c r="AB3" s="61">
        <f>Y3+V3</f>
        <v>658000</v>
      </c>
      <c r="AC3" s="61">
        <f>Z3+W3</f>
        <v>392052.54</v>
      </c>
      <c r="AD3" s="129">
        <f>AC3/AB3-1</f>
        <v>-0.40417547112462</v>
      </c>
      <c r="AE3" s="61">
        <v>171600</v>
      </c>
      <c r="AF3" s="61">
        <v>51953</v>
      </c>
      <c r="AG3" s="129">
        <f>AF3/AE3-1</f>
        <v>-0.69724358974359</v>
      </c>
      <c r="AH3" s="61">
        <f>AE3+AB3</f>
        <v>829600</v>
      </c>
      <c r="AI3" s="61">
        <f>AF3+AC3</f>
        <v>444005.54</v>
      </c>
      <c r="AJ3" s="129">
        <f>AI3/AH3-1</f>
        <v>-0.464795636451302</v>
      </c>
      <c r="AK3" s="60">
        <v>165430.3</v>
      </c>
      <c r="AL3" s="60">
        <v>113309</v>
      </c>
      <c r="AM3" s="129">
        <f>AL3/AK3-1</f>
        <v>-0.315065015296472</v>
      </c>
      <c r="AN3" s="60">
        <f>AK3+AH3</f>
        <v>995030.3</v>
      </c>
      <c r="AO3" s="60">
        <f>AL3+AI3</f>
        <v>557314.54</v>
      </c>
      <c r="AP3" s="129">
        <f>AO3/AN3-1</f>
        <v>-0.43990194067457</v>
      </c>
      <c r="AQ3" s="61">
        <v>130000</v>
      </c>
      <c r="AR3" s="61">
        <v>18500</v>
      </c>
      <c r="AS3" s="129">
        <f t="shared" ref="AS3:AS31" si="4">AR3/AQ3-1</f>
        <v>-0.857692307692308</v>
      </c>
      <c r="AT3" s="61">
        <f>AQ3+AN3</f>
        <v>1125030.3</v>
      </c>
      <c r="AU3" s="61">
        <f>AR3+AO3</f>
        <v>575814.54</v>
      </c>
      <c r="AV3" s="129">
        <f>AU3/AT3-1</f>
        <v>-0.488178638388673</v>
      </c>
      <c r="AW3" s="61">
        <v>110000</v>
      </c>
      <c r="AX3" s="61">
        <v>80100</v>
      </c>
      <c r="AY3" s="129">
        <f>AX3/AW3-1</f>
        <v>-0.271818181818182</v>
      </c>
      <c r="AZ3" s="61">
        <f>AW3+AT3</f>
        <v>1235030.3</v>
      </c>
      <c r="BA3" s="61">
        <f>AX3+AU3</f>
        <v>655914.54</v>
      </c>
      <c r="BB3" s="129">
        <f>BA3/AZ3-1</f>
        <v>-0.468908139338768</v>
      </c>
      <c r="BC3" s="60">
        <v>220362</v>
      </c>
      <c r="BD3" s="48">
        <v>194142</v>
      </c>
      <c r="BE3" s="48">
        <v>187500</v>
      </c>
      <c r="BF3" s="48">
        <v>177140</v>
      </c>
      <c r="BG3" s="48">
        <v>2014174.3</v>
      </c>
      <c r="BH3" s="49">
        <f>BA3/10000/I3</f>
        <v>0.298142972727273</v>
      </c>
      <c r="BI3" s="68">
        <v>63600</v>
      </c>
      <c r="BJ3" s="67"/>
    </row>
    <row r="4" ht="15" spans="1:62">
      <c r="A4" s="42" t="s">
        <v>252</v>
      </c>
      <c r="B4" s="137" t="s">
        <v>256</v>
      </c>
      <c r="C4" s="171" t="s">
        <v>257</v>
      </c>
      <c r="D4" s="170" t="s">
        <v>55</v>
      </c>
      <c r="E4" s="170" t="s">
        <v>55</v>
      </c>
      <c r="F4" s="126" t="s">
        <v>258</v>
      </c>
      <c r="G4" s="53" t="s">
        <v>259</v>
      </c>
      <c r="H4" s="61" t="s">
        <v>260</v>
      </c>
      <c r="I4" s="175">
        <v>200</v>
      </c>
      <c r="J4" s="42">
        <v>203140.4</v>
      </c>
      <c r="K4" s="42">
        <v>211568</v>
      </c>
      <c r="L4" s="129">
        <f t="shared" ref="L4:L27" si="5">K4/J4-1</f>
        <v>0.0414865777560742</v>
      </c>
      <c r="M4" s="139">
        <v>108325</v>
      </c>
      <c r="N4" s="139">
        <v>126251</v>
      </c>
      <c r="O4" s="129">
        <f t="shared" si="0"/>
        <v>0.165483498730672</v>
      </c>
      <c r="P4" s="139">
        <f t="shared" ref="P4:P26" si="6">M4+J4</f>
        <v>311465.4</v>
      </c>
      <c r="Q4" s="139">
        <f t="shared" ref="Q4:Q26" si="7">N4+K4</f>
        <v>337819</v>
      </c>
      <c r="R4" s="129">
        <f t="shared" si="1"/>
        <v>0.0846116454668799</v>
      </c>
      <c r="S4" s="61">
        <v>64094</v>
      </c>
      <c r="T4" s="61">
        <v>164562</v>
      </c>
      <c r="U4" s="129">
        <f t="shared" si="2"/>
        <v>1.56751021936531</v>
      </c>
      <c r="V4" s="60">
        <f t="shared" ref="V4:V26" si="8">S4+P4</f>
        <v>375559.4</v>
      </c>
      <c r="W4" s="60">
        <f t="shared" ref="W4:W26" si="9">T4+Q4</f>
        <v>502381</v>
      </c>
      <c r="X4" s="129">
        <f t="shared" ref="X4:X27" si="10">W4/V4-1</f>
        <v>0.33768719408967</v>
      </c>
      <c r="Y4" s="61">
        <v>66218</v>
      </c>
      <c r="Z4" s="61">
        <v>103867</v>
      </c>
      <c r="AA4" s="129">
        <f t="shared" si="3"/>
        <v>0.568561418345465</v>
      </c>
      <c r="AB4" s="61">
        <f t="shared" ref="AB4:AB27" si="11">Y4+V4</f>
        <v>441777.4</v>
      </c>
      <c r="AC4" s="61">
        <f t="shared" ref="AC4:AC27" si="12">Z4+W4</f>
        <v>606248</v>
      </c>
      <c r="AD4" s="129">
        <f t="shared" ref="AD4:AD28" si="13">AC4/AB4-1</f>
        <v>0.372292923992943</v>
      </c>
      <c r="AE4" s="61">
        <v>62805</v>
      </c>
      <c r="AF4" s="61">
        <f>95846+40500</f>
        <v>136346</v>
      </c>
      <c r="AG4" s="129">
        <f t="shared" ref="AG4:AG30" si="14">AF4/AE4-1</f>
        <v>1.1709418039965</v>
      </c>
      <c r="AH4" s="61">
        <f t="shared" ref="AH4:AH30" si="15">AE4+AB4</f>
        <v>504582.4</v>
      </c>
      <c r="AI4" s="61">
        <f t="shared" ref="AI4:AI30" si="16">AF4+AC4</f>
        <v>742594</v>
      </c>
      <c r="AJ4" s="129">
        <f t="shared" ref="AJ4:AJ30" si="17">AI4/AH4-1</f>
        <v>0.471700162352076</v>
      </c>
      <c r="AK4" s="60">
        <v>109740</v>
      </c>
      <c r="AL4" s="60">
        <v>208633</v>
      </c>
      <c r="AM4" s="129">
        <f t="shared" ref="AM4:AM30" si="18">AL4/AK4-1</f>
        <v>0.901157280845635</v>
      </c>
      <c r="AN4" s="60">
        <f t="shared" ref="AN4:AN30" si="19">AK4+AH4</f>
        <v>614322.4</v>
      </c>
      <c r="AO4" s="60">
        <f t="shared" ref="AO4:AO30" si="20">AL4+AI4</f>
        <v>951227</v>
      </c>
      <c r="AP4" s="129">
        <f t="shared" ref="AP4:AP30" si="21">AO4/AN4-1</f>
        <v>0.548416596887888</v>
      </c>
      <c r="AQ4" s="61">
        <v>81839</v>
      </c>
      <c r="AR4" s="61">
        <v>124398</v>
      </c>
      <c r="AS4" s="129">
        <f t="shared" si="4"/>
        <v>0.520033235987732</v>
      </c>
      <c r="AT4" s="61">
        <f t="shared" ref="AT4:AT30" si="22">AQ4+AN4</f>
        <v>696161.4</v>
      </c>
      <c r="AU4" s="61">
        <f t="shared" ref="AU4:AU30" si="23">AR4+AO4</f>
        <v>1075625</v>
      </c>
      <c r="AV4" s="129">
        <f t="shared" ref="AV4:AV31" si="24">AU4/AT4-1</f>
        <v>0.545079919685291</v>
      </c>
      <c r="AW4" s="61">
        <v>111235</v>
      </c>
      <c r="AX4" s="61">
        <v>61741</v>
      </c>
      <c r="AY4" s="129">
        <f t="shared" ref="AY4:AY31" si="25">AX4/AW4-1</f>
        <v>-0.444949880882816</v>
      </c>
      <c r="AZ4" s="61">
        <f t="shared" ref="AZ4:AZ30" si="26">AW4+AT4</f>
        <v>807396.4</v>
      </c>
      <c r="BA4" s="61">
        <f t="shared" ref="BA4:BA30" si="27">AX4+AU4</f>
        <v>1137366</v>
      </c>
      <c r="BB4" s="129">
        <f t="shared" ref="BB4:BB31" si="28">BA4/AZ4-1</f>
        <v>0.408683516547758</v>
      </c>
      <c r="BC4" s="60">
        <v>85147</v>
      </c>
      <c r="BD4" s="48">
        <v>232045</v>
      </c>
      <c r="BE4" s="48">
        <v>330393</v>
      </c>
      <c r="BF4" s="48">
        <v>298629</v>
      </c>
      <c r="BG4" s="48">
        <v>1753610.4</v>
      </c>
      <c r="BH4" s="49">
        <f t="shared" ref="BH4:BH31" si="29">BA4/10000/I4</f>
        <v>0.568683</v>
      </c>
      <c r="BI4" s="68"/>
      <c r="BJ4" s="67">
        <f>20500+20000</f>
        <v>40500</v>
      </c>
    </row>
    <row r="5" s="40" customFormat="1" spans="1:62">
      <c r="A5" s="42" t="s">
        <v>252</v>
      </c>
      <c r="B5" s="137" t="s">
        <v>252</v>
      </c>
      <c r="C5" s="172" t="s">
        <v>261</v>
      </c>
      <c r="D5" s="173" t="s">
        <v>78</v>
      </c>
      <c r="E5" s="170" t="s">
        <v>78</v>
      </c>
      <c r="F5" s="126" t="s">
        <v>262</v>
      </c>
      <c r="G5" s="126" t="s">
        <v>79</v>
      </c>
      <c r="H5" s="61" t="s">
        <v>263</v>
      </c>
      <c r="I5" s="61"/>
      <c r="J5" s="42">
        <v>97567.31</v>
      </c>
      <c r="K5" s="42">
        <v>170180.19</v>
      </c>
      <c r="L5" s="129">
        <f t="shared" si="5"/>
        <v>0.744233698766523</v>
      </c>
      <c r="M5" s="139"/>
      <c r="N5" s="139">
        <v>33500.8</v>
      </c>
      <c r="O5" s="129" t="e">
        <f t="shared" si="0"/>
        <v>#DIV/0!</v>
      </c>
      <c r="P5" s="139">
        <f t="shared" si="6"/>
        <v>97567.31</v>
      </c>
      <c r="Q5" s="139">
        <f t="shared" si="7"/>
        <v>203680.99</v>
      </c>
      <c r="R5" s="129">
        <f t="shared" si="1"/>
        <v>1.08759460520127</v>
      </c>
      <c r="S5" s="61"/>
      <c r="T5" s="61">
        <v>337846.67</v>
      </c>
      <c r="U5" s="129" t="e">
        <f t="shared" si="2"/>
        <v>#DIV/0!</v>
      </c>
      <c r="V5" s="60">
        <f t="shared" si="8"/>
        <v>97567.31</v>
      </c>
      <c r="W5" s="60">
        <f t="shared" si="9"/>
        <v>541527.66</v>
      </c>
      <c r="X5" s="129">
        <f t="shared" si="10"/>
        <v>4.55029814801699</v>
      </c>
      <c r="Y5" s="61">
        <v>240583.45</v>
      </c>
      <c r="Z5" s="61">
        <f>204513.1+40000</f>
        <v>244513.1</v>
      </c>
      <c r="AA5" s="129">
        <f t="shared" si="3"/>
        <v>0.0163338334370049</v>
      </c>
      <c r="AB5" s="61">
        <f t="shared" si="11"/>
        <v>338150.76</v>
      </c>
      <c r="AC5" s="61">
        <f t="shared" si="12"/>
        <v>786040.76</v>
      </c>
      <c r="AD5" s="129">
        <f t="shared" si="13"/>
        <v>1.32452755688025</v>
      </c>
      <c r="AE5" s="61">
        <v>100835.81</v>
      </c>
      <c r="AF5" s="61">
        <f>177019.03+16000</f>
        <v>193019.03</v>
      </c>
      <c r="AG5" s="129">
        <f t="shared" si="14"/>
        <v>0.914191297714572</v>
      </c>
      <c r="AH5" s="61">
        <f t="shared" si="15"/>
        <v>438986.57</v>
      </c>
      <c r="AI5" s="61">
        <f t="shared" si="16"/>
        <v>979059.79</v>
      </c>
      <c r="AJ5" s="129">
        <f t="shared" si="17"/>
        <v>1.23027276210295</v>
      </c>
      <c r="AK5" s="60">
        <v>64337.91</v>
      </c>
      <c r="AL5" s="60">
        <v>241756.98</v>
      </c>
      <c r="AM5" s="129">
        <f t="shared" si="18"/>
        <v>2.75761320192092</v>
      </c>
      <c r="AN5" s="60">
        <f t="shared" si="19"/>
        <v>503324.48</v>
      </c>
      <c r="AO5" s="60">
        <f t="shared" si="20"/>
        <v>1220816.77</v>
      </c>
      <c r="AP5" s="129">
        <f t="shared" si="21"/>
        <v>1.42550644466965</v>
      </c>
      <c r="AQ5" s="61">
        <v>130913.08</v>
      </c>
      <c r="AR5" s="61">
        <v>124862.42</v>
      </c>
      <c r="AS5" s="129">
        <f t="shared" si="4"/>
        <v>-0.046218911051516</v>
      </c>
      <c r="AT5" s="61">
        <f t="shared" si="22"/>
        <v>634237.56</v>
      </c>
      <c r="AU5" s="61">
        <f t="shared" si="23"/>
        <v>1345679.19</v>
      </c>
      <c r="AV5" s="129">
        <f t="shared" si="24"/>
        <v>1.1217273697887</v>
      </c>
      <c r="AW5" s="61">
        <v>41058.21</v>
      </c>
      <c r="AX5" s="61"/>
      <c r="AY5" s="129">
        <f t="shared" si="25"/>
        <v>-1</v>
      </c>
      <c r="AZ5" s="61">
        <f t="shared" si="26"/>
        <v>675295.77</v>
      </c>
      <c r="BA5" s="61">
        <f t="shared" si="27"/>
        <v>1345679.19</v>
      </c>
      <c r="BB5" s="129">
        <f t="shared" si="28"/>
        <v>0.992725631910888</v>
      </c>
      <c r="BC5" s="60">
        <v>115479.04</v>
      </c>
      <c r="BD5" s="48">
        <v>171817.37</v>
      </c>
      <c r="BE5" s="48">
        <v>249700.3</v>
      </c>
      <c r="BF5" s="48">
        <v>153495.25</v>
      </c>
      <c r="BG5" s="48">
        <v>1365787.73</v>
      </c>
      <c r="BH5" s="49" t="e">
        <f t="shared" si="29"/>
        <v>#DIV/0!</v>
      </c>
      <c r="BI5" s="150">
        <v>46300</v>
      </c>
      <c r="BJ5" s="62">
        <f>40000+16000</f>
        <v>56000</v>
      </c>
    </row>
    <row r="6" spans="1:62">
      <c r="A6" s="42" t="s">
        <v>252</v>
      </c>
      <c r="B6" s="137" t="s">
        <v>252</v>
      </c>
      <c r="C6" s="53" t="s">
        <v>264</v>
      </c>
      <c r="D6" s="170" t="s">
        <v>83</v>
      </c>
      <c r="E6" s="170" t="s">
        <v>83</v>
      </c>
      <c r="F6" s="126" t="s">
        <v>262</v>
      </c>
      <c r="G6" s="53" t="s">
        <v>265</v>
      </c>
      <c r="H6" s="61" t="s">
        <v>266</v>
      </c>
      <c r="I6" s="61"/>
      <c r="J6" s="42">
        <v>17958</v>
      </c>
      <c r="K6" s="42"/>
      <c r="L6" s="129">
        <f t="shared" si="5"/>
        <v>-1</v>
      </c>
      <c r="M6" s="139">
        <v>3966</v>
      </c>
      <c r="N6" s="139"/>
      <c r="O6" s="129">
        <f t="shared" si="0"/>
        <v>-1</v>
      </c>
      <c r="P6" s="139">
        <f t="shared" si="6"/>
        <v>21924</v>
      </c>
      <c r="Q6" s="139">
        <f t="shared" si="7"/>
        <v>0</v>
      </c>
      <c r="R6" s="129">
        <f t="shared" si="1"/>
        <v>-1</v>
      </c>
      <c r="S6" s="61">
        <v>6800</v>
      </c>
      <c r="T6" s="61"/>
      <c r="U6" s="129">
        <f t="shared" si="2"/>
        <v>-1</v>
      </c>
      <c r="V6" s="60">
        <f t="shared" si="8"/>
        <v>28724</v>
      </c>
      <c r="W6" s="60">
        <f t="shared" si="9"/>
        <v>0</v>
      </c>
      <c r="X6" s="129">
        <f t="shared" si="10"/>
        <v>-1</v>
      </c>
      <c r="Y6" s="61"/>
      <c r="Z6" s="61"/>
      <c r="AA6" s="129" t="e">
        <f t="shared" si="3"/>
        <v>#DIV/0!</v>
      </c>
      <c r="AB6" s="61">
        <f t="shared" si="11"/>
        <v>28724</v>
      </c>
      <c r="AC6" s="61">
        <f t="shared" si="12"/>
        <v>0</v>
      </c>
      <c r="AD6" s="129">
        <f t="shared" si="13"/>
        <v>-1</v>
      </c>
      <c r="AE6" s="61"/>
      <c r="AF6" s="61"/>
      <c r="AG6" s="129" t="e">
        <f t="shared" si="14"/>
        <v>#DIV/0!</v>
      </c>
      <c r="AH6" s="61">
        <f t="shared" si="15"/>
        <v>28724</v>
      </c>
      <c r="AI6" s="61">
        <f t="shared" si="16"/>
        <v>0</v>
      </c>
      <c r="AJ6" s="129">
        <f t="shared" si="17"/>
        <v>-1</v>
      </c>
      <c r="AK6" s="60"/>
      <c r="AL6" s="60"/>
      <c r="AM6" s="129" t="e">
        <f t="shared" si="18"/>
        <v>#DIV/0!</v>
      </c>
      <c r="AN6" s="60">
        <f t="shared" si="19"/>
        <v>28724</v>
      </c>
      <c r="AO6" s="60">
        <f t="shared" si="20"/>
        <v>0</v>
      </c>
      <c r="AP6" s="129">
        <f t="shared" si="21"/>
        <v>-1</v>
      </c>
      <c r="AQ6" s="61"/>
      <c r="AR6" s="61"/>
      <c r="AS6" s="129" t="e">
        <f t="shared" si="4"/>
        <v>#DIV/0!</v>
      </c>
      <c r="AT6" s="61">
        <f t="shared" si="22"/>
        <v>28724</v>
      </c>
      <c r="AU6" s="61">
        <f t="shared" si="23"/>
        <v>0</v>
      </c>
      <c r="AV6" s="129">
        <f t="shared" si="24"/>
        <v>-1</v>
      </c>
      <c r="AW6" s="61"/>
      <c r="AX6" s="61"/>
      <c r="AY6" s="129" t="e">
        <f t="shared" si="25"/>
        <v>#DIV/0!</v>
      </c>
      <c r="AZ6" s="61">
        <f t="shared" si="26"/>
        <v>28724</v>
      </c>
      <c r="BA6" s="61">
        <f t="shared" si="27"/>
        <v>0</v>
      </c>
      <c r="BB6" s="129">
        <f t="shared" si="28"/>
        <v>-1</v>
      </c>
      <c r="BC6" s="60"/>
      <c r="BD6" s="48"/>
      <c r="BE6" s="48"/>
      <c r="BF6" s="48"/>
      <c r="BG6" s="48">
        <v>28724</v>
      </c>
      <c r="BH6" s="49" t="e">
        <f t="shared" si="29"/>
        <v>#DIV/0!</v>
      </c>
      <c r="BI6" s="67"/>
      <c r="BJ6" s="67"/>
    </row>
    <row r="7" ht="15" customHeight="1" spans="1:62">
      <c r="A7" s="42" t="s">
        <v>252</v>
      </c>
      <c r="B7" s="137" t="s">
        <v>256</v>
      </c>
      <c r="C7" s="53" t="s">
        <v>267</v>
      </c>
      <c r="D7" s="170" t="s">
        <v>64</v>
      </c>
      <c r="E7" s="170" t="s">
        <v>64</v>
      </c>
      <c r="F7" s="126" t="s">
        <v>258</v>
      </c>
      <c r="G7" s="53" t="s">
        <v>268</v>
      </c>
      <c r="H7" s="61" t="s">
        <v>260</v>
      </c>
      <c r="I7" s="175">
        <v>80</v>
      </c>
      <c r="J7" s="42">
        <v>25400</v>
      </c>
      <c r="K7" s="42">
        <f>3850+26880</f>
        <v>30730</v>
      </c>
      <c r="L7" s="129">
        <f t="shared" si="5"/>
        <v>0.209842519685039</v>
      </c>
      <c r="M7" s="139">
        <v>10400</v>
      </c>
      <c r="N7" s="139"/>
      <c r="O7" s="129">
        <f t="shared" si="0"/>
        <v>-1</v>
      </c>
      <c r="P7" s="139">
        <f t="shared" si="6"/>
        <v>35800</v>
      </c>
      <c r="Q7" s="139">
        <f t="shared" si="7"/>
        <v>30730</v>
      </c>
      <c r="R7" s="129">
        <f t="shared" si="1"/>
        <v>-0.141620111731844</v>
      </c>
      <c r="S7" s="61">
        <v>30900</v>
      </c>
      <c r="T7" s="61">
        <f>11396+20456</f>
        <v>31852</v>
      </c>
      <c r="U7" s="129">
        <f t="shared" si="2"/>
        <v>0.0308090614886731</v>
      </c>
      <c r="V7" s="60">
        <f t="shared" si="8"/>
        <v>66700</v>
      </c>
      <c r="W7" s="60">
        <f t="shared" si="9"/>
        <v>62582</v>
      </c>
      <c r="X7" s="129">
        <f t="shared" si="10"/>
        <v>-0.0617391304347826</v>
      </c>
      <c r="Y7" s="61">
        <v>32900</v>
      </c>
      <c r="Z7" s="61">
        <v>39671</v>
      </c>
      <c r="AA7" s="129">
        <f t="shared" si="3"/>
        <v>0.20580547112462</v>
      </c>
      <c r="AB7" s="61">
        <f t="shared" si="11"/>
        <v>99600</v>
      </c>
      <c r="AC7" s="61">
        <f t="shared" si="12"/>
        <v>102253</v>
      </c>
      <c r="AD7" s="129">
        <f t="shared" si="13"/>
        <v>0.0266365461847389</v>
      </c>
      <c r="AE7" s="61">
        <v>65953</v>
      </c>
      <c r="AF7" s="61">
        <f>3394+45002</f>
        <v>48396</v>
      </c>
      <c r="AG7" s="129">
        <f t="shared" si="14"/>
        <v>-0.26620472154413</v>
      </c>
      <c r="AH7" s="61">
        <f t="shared" si="15"/>
        <v>165553</v>
      </c>
      <c r="AI7" s="61">
        <f t="shared" si="16"/>
        <v>150649</v>
      </c>
      <c r="AJ7" s="129">
        <f t="shared" si="17"/>
        <v>-0.0900255507299778</v>
      </c>
      <c r="AK7" s="60">
        <v>14600</v>
      </c>
      <c r="AL7" s="60">
        <v>79258</v>
      </c>
      <c r="AM7" s="129">
        <f t="shared" si="18"/>
        <v>4.4286301369863</v>
      </c>
      <c r="AN7" s="60">
        <f t="shared" si="19"/>
        <v>180153</v>
      </c>
      <c r="AO7" s="60">
        <f t="shared" si="20"/>
        <v>229907</v>
      </c>
      <c r="AP7" s="129">
        <f t="shared" si="21"/>
        <v>0.276176361204088</v>
      </c>
      <c r="AQ7" s="61">
        <v>20800</v>
      </c>
      <c r="AR7" s="61"/>
      <c r="AS7" s="129">
        <f t="shared" si="4"/>
        <v>-1</v>
      </c>
      <c r="AT7" s="61">
        <f t="shared" si="22"/>
        <v>200953</v>
      </c>
      <c r="AU7" s="61">
        <f t="shared" si="23"/>
        <v>229907</v>
      </c>
      <c r="AV7" s="129">
        <f t="shared" si="24"/>
        <v>0.144083442396978</v>
      </c>
      <c r="AW7" s="61">
        <v>49150</v>
      </c>
      <c r="AX7" s="61">
        <v>11352</v>
      </c>
      <c r="AY7" s="129">
        <f t="shared" si="25"/>
        <v>-0.769033570701933</v>
      </c>
      <c r="AZ7" s="61">
        <f t="shared" si="26"/>
        <v>250103</v>
      </c>
      <c r="BA7" s="61">
        <f t="shared" si="27"/>
        <v>241259</v>
      </c>
      <c r="BB7" s="129">
        <f t="shared" si="28"/>
        <v>-0.0353614310903908</v>
      </c>
      <c r="BC7" s="60">
        <v>24900</v>
      </c>
      <c r="BD7" s="48">
        <v>29262</v>
      </c>
      <c r="BE7" s="48">
        <v>23000</v>
      </c>
      <c r="BF7" s="48">
        <v>27417</v>
      </c>
      <c r="BG7" s="48">
        <v>354682</v>
      </c>
      <c r="BH7" s="49">
        <f t="shared" si="29"/>
        <v>0.30157375</v>
      </c>
      <c r="BI7" s="67">
        <v>37953</v>
      </c>
      <c r="BJ7" s="67"/>
    </row>
    <row r="8" spans="1:62">
      <c r="A8" s="42" t="s">
        <v>252</v>
      </c>
      <c r="B8" s="137" t="s">
        <v>252</v>
      </c>
      <c r="C8" s="53" t="s">
        <v>269</v>
      </c>
      <c r="D8" s="170" t="s">
        <v>60</v>
      </c>
      <c r="E8" s="170" t="s">
        <v>60</v>
      </c>
      <c r="F8" s="126" t="s">
        <v>270</v>
      </c>
      <c r="G8" s="53" t="s">
        <v>270</v>
      </c>
      <c r="H8" s="61" t="s">
        <v>255</v>
      </c>
      <c r="I8" s="61">
        <v>20</v>
      </c>
      <c r="J8" s="42">
        <v>25000</v>
      </c>
      <c r="K8" s="42">
        <v>4298</v>
      </c>
      <c r="L8" s="129">
        <f t="shared" si="5"/>
        <v>-0.82808</v>
      </c>
      <c r="M8" s="139"/>
      <c r="N8" s="139">
        <v>5186</v>
      </c>
      <c r="O8" s="129" t="e">
        <f t="shared" si="0"/>
        <v>#DIV/0!</v>
      </c>
      <c r="P8" s="139">
        <f t="shared" si="6"/>
        <v>25000</v>
      </c>
      <c r="Q8" s="139">
        <f t="shared" si="7"/>
        <v>9484</v>
      </c>
      <c r="R8" s="129">
        <f t="shared" si="1"/>
        <v>-0.62064</v>
      </c>
      <c r="S8" s="61"/>
      <c r="T8" s="61"/>
      <c r="U8" s="129" t="e">
        <f t="shared" si="2"/>
        <v>#DIV/0!</v>
      </c>
      <c r="V8" s="60">
        <f t="shared" si="8"/>
        <v>25000</v>
      </c>
      <c r="W8" s="60">
        <f t="shared" si="9"/>
        <v>9484</v>
      </c>
      <c r="X8" s="129">
        <f t="shared" si="10"/>
        <v>-0.62064</v>
      </c>
      <c r="Y8" s="61">
        <v>800</v>
      </c>
      <c r="Z8" s="61">
        <v>2766</v>
      </c>
      <c r="AA8" s="129">
        <f t="shared" si="3"/>
        <v>2.4575</v>
      </c>
      <c r="AB8" s="61">
        <f t="shared" si="11"/>
        <v>25800</v>
      </c>
      <c r="AC8" s="61">
        <f t="shared" si="12"/>
        <v>12250</v>
      </c>
      <c r="AD8" s="129">
        <f t="shared" si="13"/>
        <v>-0.525193798449612</v>
      </c>
      <c r="AE8" s="61">
        <v>18078</v>
      </c>
      <c r="AF8" s="61"/>
      <c r="AG8" s="129">
        <f t="shared" si="14"/>
        <v>-1</v>
      </c>
      <c r="AH8" s="61">
        <f t="shared" si="15"/>
        <v>43878</v>
      </c>
      <c r="AI8" s="61">
        <f t="shared" si="16"/>
        <v>12250</v>
      </c>
      <c r="AJ8" s="129">
        <f t="shared" si="17"/>
        <v>-0.720816810246593</v>
      </c>
      <c r="AK8" s="60"/>
      <c r="AL8" s="60"/>
      <c r="AM8" s="129" t="e">
        <f t="shared" si="18"/>
        <v>#DIV/0!</v>
      </c>
      <c r="AN8" s="60">
        <f t="shared" si="19"/>
        <v>43878</v>
      </c>
      <c r="AO8" s="60">
        <f t="shared" si="20"/>
        <v>12250</v>
      </c>
      <c r="AP8" s="129">
        <f t="shared" si="21"/>
        <v>-0.720816810246593</v>
      </c>
      <c r="AQ8" s="61"/>
      <c r="AR8" s="61"/>
      <c r="AS8" s="129" t="e">
        <f t="shared" si="4"/>
        <v>#DIV/0!</v>
      </c>
      <c r="AT8" s="61">
        <f t="shared" si="22"/>
        <v>43878</v>
      </c>
      <c r="AU8" s="61">
        <f t="shared" si="23"/>
        <v>12250</v>
      </c>
      <c r="AV8" s="129">
        <f t="shared" si="24"/>
        <v>-0.720816810246593</v>
      </c>
      <c r="AW8" s="61"/>
      <c r="AX8" s="61"/>
      <c r="AY8" s="129" t="e">
        <f t="shared" si="25"/>
        <v>#DIV/0!</v>
      </c>
      <c r="AZ8" s="61">
        <f t="shared" si="26"/>
        <v>43878</v>
      </c>
      <c r="BA8" s="61">
        <f t="shared" si="27"/>
        <v>12250</v>
      </c>
      <c r="BB8" s="129">
        <f t="shared" si="28"/>
        <v>-0.720816810246593</v>
      </c>
      <c r="BC8" s="60"/>
      <c r="BD8" s="48">
        <v>29878</v>
      </c>
      <c r="BE8" s="48"/>
      <c r="BF8" s="48">
        <v>5508</v>
      </c>
      <c r="BG8" s="48">
        <v>79264</v>
      </c>
      <c r="BH8" s="49">
        <f t="shared" si="29"/>
        <v>0.06125</v>
      </c>
      <c r="BI8" s="67"/>
      <c r="BJ8" s="67"/>
    </row>
    <row r="9" spans="1:62">
      <c r="A9" s="42" t="s">
        <v>252</v>
      </c>
      <c r="B9" s="137" t="s">
        <v>252</v>
      </c>
      <c r="C9" s="53" t="s">
        <v>271</v>
      </c>
      <c r="D9" s="170" t="s">
        <v>64</v>
      </c>
      <c r="E9" s="170" t="s">
        <v>64</v>
      </c>
      <c r="F9" s="126" t="s">
        <v>272</v>
      </c>
      <c r="G9" s="53" t="s">
        <v>272</v>
      </c>
      <c r="H9" s="61" t="s">
        <v>263</v>
      </c>
      <c r="I9" s="61"/>
      <c r="J9" s="42">
        <v>149023</v>
      </c>
      <c r="K9" s="42"/>
      <c r="L9" s="129">
        <f t="shared" si="5"/>
        <v>-1</v>
      </c>
      <c r="M9" s="139">
        <v>3015</v>
      </c>
      <c r="N9" s="139"/>
      <c r="O9" s="129">
        <f t="shared" si="0"/>
        <v>-1</v>
      </c>
      <c r="P9" s="139">
        <f t="shared" si="6"/>
        <v>152038</v>
      </c>
      <c r="Q9" s="139">
        <f t="shared" si="7"/>
        <v>0</v>
      </c>
      <c r="R9" s="129">
        <f t="shared" si="1"/>
        <v>-1</v>
      </c>
      <c r="S9" s="61">
        <v>19327</v>
      </c>
      <c r="T9" s="61"/>
      <c r="U9" s="129">
        <f t="shared" si="2"/>
        <v>-1</v>
      </c>
      <c r="V9" s="60">
        <f t="shared" si="8"/>
        <v>171365</v>
      </c>
      <c r="W9" s="60">
        <f t="shared" si="9"/>
        <v>0</v>
      </c>
      <c r="X9" s="129">
        <f t="shared" si="10"/>
        <v>-1</v>
      </c>
      <c r="Y9" s="61">
        <v>13493</v>
      </c>
      <c r="Z9" s="61"/>
      <c r="AA9" s="129">
        <f t="shared" si="3"/>
        <v>-1</v>
      </c>
      <c r="AB9" s="61">
        <f t="shared" si="11"/>
        <v>184858</v>
      </c>
      <c r="AC9" s="61">
        <f t="shared" si="12"/>
        <v>0</v>
      </c>
      <c r="AD9" s="129">
        <f t="shared" si="13"/>
        <v>-1</v>
      </c>
      <c r="AE9" s="61">
        <v>36809</v>
      </c>
      <c r="AF9" s="61"/>
      <c r="AG9" s="129">
        <f t="shared" si="14"/>
        <v>-1</v>
      </c>
      <c r="AH9" s="61">
        <f t="shared" si="15"/>
        <v>221667</v>
      </c>
      <c r="AI9" s="61">
        <f t="shared" si="16"/>
        <v>0</v>
      </c>
      <c r="AJ9" s="129">
        <f t="shared" si="17"/>
        <v>-1</v>
      </c>
      <c r="AK9" s="60">
        <v>34615</v>
      </c>
      <c r="AL9" s="60"/>
      <c r="AM9" s="129">
        <f t="shared" si="18"/>
        <v>-1</v>
      </c>
      <c r="AN9" s="60">
        <f t="shared" si="19"/>
        <v>256282</v>
      </c>
      <c r="AO9" s="60">
        <f t="shared" si="20"/>
        <v>0</v>
      </c>
      <c r="AP9" s="129">
        <f t="shared" si="21"/>
        <v>-1</v>
      </c>
      <c r="AQ9" s="61">
        <v>58454</v>
      </c>
      <c r="AR9" s="61"/>
      <c r="AS9" s="129">
        <f t="shared" si="4"/>
        <v>-1</v>
      </c>
      <c r="AT9" s="61">
        <f t="shared" si="22"/>
        <v>314736</v>
      </c>
      <c r="AU9" s="61">
        <f t="shared" si="23"/>
        <v>0</v>
      </c>
      <c r="AV9" s="129">
        <f t="shared" si="24"/>
        <v>-1</v>
      </c>
      <c r="AW9" s="61">
        <v>36959</v>
      </c>
      <c r="AX9" s="61"/>
      <c r="AY9" s="129">
        <f t="shared" si="25"/>
        <v>-1</v>
      </c>
      <c r="AZ9" s="61">
        <f t="shared" si="26"/>
        <v>351695</v>
      </c>
      <c r="BA9" s="61">
        <f t="shared" si="27"/>
        <v>0</v>
      </c>
      <c r="BB9" s="129">
        <f t="shared" si="28"/>
        <v>-1</v>
      </c>
      <c r="BC9" s="60">
        <v>1147</v>
      </c>
      <c r="BD9" s="48"/>
      <c r="BE9" s="48"/>
      <c r="BF9" s="48"/>
      <c r="BG9" s="48">
        <v>352842</v>
      </c>
      <c r="BH9" s="49" t="e">
        <f t="shared" si="29"/>
        <v>#DIV/0!</v>
      </c>
      <c r="BI9" s="67">
        <v>29947</v>
      </c>
      <c r="BJ9" s="67"/>
    </row>
    <row r="10" spans="1:62">
      <c r="A10" s="42" t="s">
        <v>252</v>
      </c>
      <c r="B10" s="137" t="s">
        <v>252</v>
      </c>
      <c r="C10" s="53" t="s">
        <v>273</v>
      </c>
      <c r="D10" s="170" t="s">
        <v>83</v>
      </c>
      <c r="E10" s="170" t="s">
        <v>83</v>
      </c>
      <c r="F10" s="126" t="s">
        <v>262</v>
      </c>
      <c r="G10" s="53" t="s">
        <v>265</v>
      </c>
      <c r="H10" s="61" t="s">
        <v>266</v>
      </c>
      <c r="I10" s="61">
        <v>200</v>
      </c>
      <c r="J10" s="42">
        <v>84544</v>
      </c>
      <c r="K10" s="42">
        <f>297537-26880</f>
        <v>270657</v>
      </c>
      <c r="L10" s="129">
        <f t="shared" si="5"/>
        <v>2.2013744322483</v>
      </c>
      <c r="M10" s="139">
        <v>15592</v>
      </c>
      <c r="N10" s="139">
        <v>114255</v>
      </c>
      <c r="O10" s="129">
        <f t="shared" si="0"/>
        <v>6.32779630579785</v>
      </c>
      <c r="P10" s="139">
        <f t="shared" si="6"/>
        <v>100136</v>
      </c>
      <c r="Q10" s="139">
        <f t="shared" si="7"/>
        <v>384912</v>
      </c>
      <c r="R10" s="129">
        <f t="shared" si="1"/>
        <v>2.84389230646321</v>
      </c>
      <c r="S10" s="61">
        <v>40421</v>
      </c>
      <c r="T10" s="61">
        <f>257334+15078</f>
        <v>272412</v>
      </c>
      <c r="U10" s="129">
        <f t="shared" si="2"/>
        <v>5.73936815021895</v>
      </c>
      <c r="V10" s="60">
        <f t="shared" si="8"/>
        <v>140557</v>
      </c>
      <c r="W10" s="60">
        <f t="shared" si="9"/>
        <v>657324</v>
      </c>
      <c r="X10" s="129">
        <f t="shared" si="10"/>
        <v>3.67656537917002</v>
      </c>
      <c r="Y10" s="61">
        <v>95170</v>
      </c>
      <c r="Z10" s="61">
        <v>144687</v>
      </c>
      <c r="AA10" s="129">
        <f t="shared" si="3"/>
        <v>0.520300514868131</v>
      </c>
      <c r="AB10" s="61">
        <f t="shared" si="11"/>
        <v>235727</v>
      </c>
      <c r="AC10" s="61">
        <f t="shared" si="12"/>
        <v>802011</v>
      </c>
      <c r="AD10" s="129">
        <f t="shared" si="13"/>
        <v>2.40228739177099</v>
      </c>
      <c r="AE10" s="61">
        <v>66978</v>
      </c>
      <c r="AF10" s="61">
        <v>201219</v>
      </c>
      <c r="AG10" s="129">
        <f t="shared" si="14"/>
        <v>2.00425512854967</v>
      </c>
      <c r="AH10" s="61">
        <f t="shared" si="15"/>
        <v>302705</v>
      </c>
      <c r="AI10" s="61">
        <f t="shared" si="16"/>
        <v>1003230</v>
      </c>
      <c r="AJ10" s="129">
        <f t="shared" si="17"/>
        <v>2.31421681174741</v>
      </c>
      <c r="AK10" s="60">
        <v>187833</v>
      </c>
      <c r="AL10" s="60">
        <v>310376</v>
      </c>
      <c r="AM10" s="129">
        <f t="shared" si="18"/>
        <v>0.652403997167697</v>
      </c>
      <c r="AN10" s="60">
        <f t="shared" si="19"/>
        <v>490538</v>
      </c>
      <c r="AO10" s="60">
        <f t="shared" si="20"/>
        <v>1313606</v>
      </c>
      <c r="AP10" s="129">
        <f t="shared" si="21"/>
        <v>1.67788835931161</v>
      </c>
      <c r="AQ10" s="61">
        <v>88914</v>
      </c>
      <c r="AR10" s="61">
        <v>82249</v>
      </c>
      <c r="AS10" s="129">
        <f t="shared" si="4"/>
        <v>-0.0749600737791574</v>
      </c>
      <c r="AT10" s="61">
        <f t="shared" si="22"/>
        <v>579452</v>
      </c>
      <c r="AU10" s="61">
        <f t="shared" si="23"/>
        <v>1395855</v>
      </c>
      <c r="AV10" s="129">
        <f t="shared" si="24"/>
        <v>1.40892256821963</v>
      </c>
      <c r="AW10" s="61">
        <v>50005.4</v>
      </c>
      <c r="AX10" s="61">
        <v>82118</v>
      </c>
      <c r="AY10" s="129">
        <f t="shared" si="25"/>
        <v>0.642182644274418</v>
      </c>
      <c r="AZ10" s="61">
        <f t="shared" si="26"/>
        <v>629457.4</v>
      </c>
      <c r="BA10" s="61">
        <f t="shared" si="27"/>
        <v>1477973</v>
      </c>
      <c r="BB10" s="129">
        <f t="shared" si="28"/>
        <v>1.34801116008804</v>
      </c>
      <c r="BC10" s="60">
        <v>169503</v>
      </c>
      <c r="BD10" s="48">
        <v>351448</v>
      </c>
      <c r="BE10" s="48">
        <v>164797</v>
      </c>
      <c r="BF10" s="48">
        <v>369216</v>
      </c>
      <c r="BG10" s="48">
        <v>1684421.4</v>
      </c>
      <c r="BH10" s="49">
        <f t="shared" si="29"/>
        <v>0.7389865</v>
      </c>
      <c r="BI10" s="67"/>
      <c r="BJ10" s="67"/>
    </row>
    <row r="11" ht="15" spans="1:62">
      <c r="A11" s="42" t="s">
        <v>252</v>
      </c>
      <c r="B11" s="137" t="s">
        <v>252</v>
      </c>
      <c r="C11" s="53" t="s">
        <v>274</v>
      </c>
      <c r="D11" s="170" t="s">
        <v>60</v>
      </c>
      <c r="E11" s="170" t="s">
        <v>60</v>
      </c>
      <c r="F11" s="126" t="s">
        <v>272</v>
      </c>
      <c r="G11" s="53" t="s">
        <v>272</v>
      </c>
      <c r="H11" s="61" t="s">
        <v>263</v>
      </c>
      <c r="I11" s="175">
        <v>30</v>
      </c>
      <c r="J11" s="42">
        <v>30425</v>
      </c>
      <c r="K11" s="42">
        <v>21359</v>
      </c>
      <c r="L11" s="129">
        <f t="shared" si="5"/>
        <v>-0.29797863599014</v>
      </c>
      <c r="M11" s="139">
        <v>10451</v>
      </c>
      <c r="N11" s="139">
        <f>1528+7277</f>
        <v>8805</v>
      </c>
      <c r="O11" s="129">
        <f t="shared" si="0"/>
        <v>-0.157496890249737</v>
      </c>
      <c r="P11" s="139">
        <f t="shared" si="6"/>
        <v>40876</v>
      </c>
      <c r="Q11" s="139">
        <f t="shared" si="7"/>
        <v>30164</v>
      </c>
      <c r="R11" s="129">
        <f t="shared" si="1"/>
        <v>-0.262060867012428</v>
      </c>
      <c r="S11" s="61"/>
      <c r="T11" s="61">
        <v>3203</v>
      </c>
      <c r="U11" s="129" t="e">
        <f t="shared" si="2"/>
        <v>#DIV/0!</v>
      </c>
      <c r="V11" s="60">
        <f t="shared" si="8"/>
        <v>40876</v>
      </c>
      <c r="W11" s="60">
        <f t="shared" si="9"/>
        <v>33367</v>
      </c>
      <c r="X11" s="129">
        <f t="shared" si="10"/>
        <v>-0.183701927781583</v>
      </c>
      <c r="Y11" s="61">
        <v>7276</v>
      </c>
      <c r="Z11" s="61">
        <v>1479</v>
      </c>
      <c r="AA11" s="129">
        <f t="shared" si="3"/>
        <v>-0.796728971962617</v>
      </c>
      <c r="AB11" s="61">
        <f t="shared" si="11"/>
        <v>48152</v>
      </c>
      <c r="AC11" s="61">
        <f t="shared" si="12"/>
        <v>34846</v>
      </c>
      <c r="AD11" s="129">
        <f t="shared" si="13"/>
        <v>-0.276333277953148</v>
      </c>
      <c r="AE11" s="61">
        <v>21993</v>
      </c>
      <c r="AF11" s="61"/>
      <c r="AG11" s="129">
        <f t="shared" si="14"/>
        <v>-1</v>
      </c>
      <c r="AH11" s="61">
        <f t="shared" si="15"/>
        <v>70145</v>
      </c>
      <c r="AI11" s="61">
        <f t="shared" si="16"/>
        <v>34846</v>
      </c>
      <c r="AJ11" s="129">
        <f t="shared" si="17"/>
        <v>-0.50322902558985</v>
      </c>
      <c r="AK11" s="60"/>
      <c r="AL11" s="60"/>
      <c r="AM11" s="129" t="e">
        <f t="shared" si="18"/>
        <v>#DIV/0!</v>
      </c>
      <c r="AN11" s="60">
        <f t="shared" si="19"/>
        <v>70145</v>
      </c>
      <c r="AO11" s="60">
        <f t="shared" si="20"/>
        <v>34846</v>
      </c>
      <c r="AP11" s="129">
        <f t="shared" si="21"/>
        <v>-0.50322902558985</v>
      </c>
      <c r="AQ11" s="61">
        <v>12632</v>
      </c>
      <c r="AR11" s="61"/>
      <c r="AS11" s="129">
        <f t="shared" si="4"/>
        <v>-1</v>
      </c>
      <c r="AT11" s="61">
        <f t="shared" si="22"/>
        <v>82777</v>
      </c>
      <c r="AU11" s="61">
        <f t="shared" si="23"/>
        <v>34846</v>
      </c>
      <c r="AV11" s="129">
        <f t="shared" si="24"/>
        <v>-0.579037655387366</v>
      </c>
      <c r="AW11" s="61">
        <v>15224</v>
      </c>
      <c r="AX11" s="61"/>
      <c r="AY11" s="129">
        <f t="shared" si="25"/>
        <v>-1</v>
      </c>
      <c r="AZ11" s="61">
        <f t="shared" si="26"/>
        <v>98001</v>
      </c>
      <c r="BA11" s="61">
        <f t="shared" si="27"/>
        <v>34846</v>
      </c>
      <c r="BB11" s="129">
        <f t="shared" si="28"/>
        <v>-0.644432199671432</v>
      </c>
      <c r="BC11" s="60">
        <v>21656</v>
      </c>
      <c r="BD11" s="48">
        <v>33726</v>
      </c>
      <c r="BE11" s="48">
        <v>22763</v>
      </c>
      <c r="BF11" s="48"/>
      <c r="BG11" s="48">
        <v>176146</v>
      </c>
      <c r="BH11" s="49">
        <f t="shared" si="29"/>
        <v>0.116153333333333</v>
      </c>
      <c r="BI11" s="67"/>
      <c r="BJ11" s="67"/>
    </row>
    <row r="12" spans="1:62">
      <c r="A12" s="42" t="s">
        <v>252</v>
      </c>
      <c r="B12" s="137" t="s">
        <v>252</v>
      </c>
      <c r="C12" s="53" t="s">
        <v>275</v>
      </c>
      <c r="D12" s="170" t="s">
        <v>87</v>
      </c>
      <c r="E12" s="170" t="s">
        <v>87</v>
      </c>
      <c r="F12" s="126" t="s">
        <v>262</v>
      </c>
      <c r="G12" s="53" t="s">
        <v>79</v>
      </c>
      <c r="H12" s="61" t="s">
        <v>266</v>
      </c>
      <c r="I12" s="61"/>
      <c r="J12" s="42">
        <v>3850</v>
      </c>
      <c r="K12" s="42">
        <v>4018</v>
      </c>
      <c r="L12" s="129">
        <f t="shared" si="5"/>
        <v>0.0436363636363637</v>
      </c>
      <c r="M12" s="139"/>
      <c r="N12" s="139"/>
      <c r="O12" s="129" t="e">
        <f t="shared" si="0"/>
        <v>#DIV/0!</v>
      </c>
      <c r="P12" s="139">
        <f t="shared" si="6"/>
        <v>3850</v>
      </c>
      <c r="Q12" s="139">
        <f t="shared" si="7"/>
        <v>4018</v>
      </c>
      <c r="R12" s="129">
        <f t="shared" si="1"/>
        <v>0.0436363636363637</v>
      </c>
      <c r="S12" s="61">
        <v>8800</v>
      </c>
      <c r="T12" s="61">
        <v>6295</v>
      </c>
      <c r="U12" s="129">
        <f t="shared" si="2"/>
        <v>-0.284659090909091</v>
      </c>
      <c r="V12" s="60">
        <f t="shared" si="8"/>
        <v>12650</v>
      </c>
      <c r="W12" s="60">
        <f t="shared" si="9"/>
        <v>10313</v>
      </c>
      <c r="X12" s="129">
        <f t="shared" si="10"/>
        <v>-0.184743083003953</v>
      </c>
      <c r="Y12" s="61"/>
      <c r="Z12" s="61">
        <v>12000</v>
      </c>
      <c r="AA12" s="129" t="e">
        <f t="shared" si="3"/>
        <v>#DIV/0!</v>
      </c>
      <c r="AB12" s="61">
        <f t="shared" si="11"/>
        <v>12650</v>
      </c>
      <c r="AC12" s="61">
        <f t="shared" si="12"/>
        <v>22313</v>
      </c>
      <c r="AD12" s="129">
        <f t="shared" si="13"/>
        <v>0.763873517786561</v>
      </c>
      <c r="AE12" s="61">
        <v>1800</v>
      </c>
      <c r="AF12" s="61"/>
      <c r="AG12" s="129">
        <f t="shared" si="14"/>
        <v>-1</v>
      </c>
      <c r="AH12" s="61">
        <f t="shared" si="15"/>
        <v>14450</v>
      </c>
      <c r="AI12" s="61">
        <f t="shared" si="16"/>
        <v>22313</v>
      </c>
      <c r="AJ12" s="129">
        <f t="shared" si="17"/>
        <v>0.544152249134948</v>
      </c>
      <c r="AK12" s="60">
        <v>10093</v>
      </c>
      <c r="AL12" s="60">
        <v>2502</v>
      </c>
      <c r="AM12" s="129">
        <f t="shared" si="18"/>
        <v>-0.752105419597741</v>
      </c>
      <c r="AN12" s="60">
        <f t="shared" si="19"/>
        <v>24543</v>
      </c>
      <c r="AO12" s="60">
        <f t="shared" si="20"/>
        <v>24815</v>
      </c>
      <c r="AP12" s="129">
        <f t="shared" si="21"/>
        <v>0.0110825897404556</v>
      </c>
      <c r="AQ12" s="61">
        <v>20900</v>
      </c>
      <c r="AR12" s="61">
        <v>3253</v>
      </c>
      <c r="AS12" s="129">
        <f t="shared" si="4"/>
        <v>-0.844354066985646</v>
      </c>
      <c r="AT12" s="61">
        <f t="shared" si="22"/>
        <v>45443</v>
      </c>
      <c r="AU12" s="61">
        <f t="shared" si="23"/>
        <v>28068</v>
      </c>
      <c r="AV12" s="129">
        <f t="shared" si="24"/>
        <v>-0.382347116167506</v>
      </c>
      <c r="AW12" s="61">
        <v>7922</v>
      </c>
      <c r="AX12" s="61">
        <v>4280</v>
      </c>
      <c r="AY12" s="129">
        <f t="shared" si="25"/>
        <v>-0.459732390810401</v>
      </c>
      <c r="AZ12" s="61">
        <f t="shared" si="26"/>
        <v>53365</v>
      </c>
      <c r="BA12" s="61">
        <f t="shared" si="27"/>
        <v>32348</v>
      </c>
      <c r="BB12" s="129">
        <f t="shared" si="28"/>
        <v>-0.393834910521878</v>
      </c>
      <c r="BC12" s="60">
        <v>1410</v>
      </c>
      <c r="BD12" s="48">
        <v>10980</v>
      </c>
      <c r="BE12" s="48">
        <v>4350</v>
      </c>
      <c r="BF12" s="48">
        <v>1750</v>
      </c>
      <c r="BG12" s="48">
        <v>71855</v>
      </c>
      <c r="BH12" s="49" t="e">
        <f t="shared" si="29"/>
        <v>#DIV/0!</v>
      </c>
      <c r="BI12" s="67"/>
      <c r="BJ12" s="67"/>
    </row>
    <row r="13" spans="1:62">
      <c r="A13" s="42" t="s">
        <v>252</v>
      </c>
      <c r="B13" s="137" t="s">
        <v>252</v>
      </c>
      <c r="C13" s="53" t="s">
        <v>276</v>
      </c>
      <c r="D13" s="170" t="s">
        <v>60</v>
      </c>
      <c r="E13" s="170" t="s">
        <v>60</v>
      </c>
      <c r="F13" s="126" t="s">
        <v>277</v>
      </c>
      <c r="G13" s="53" t="s">
        <v>277</v>
      </c>
      <c r="H13" s="61" t="s">
        <v>255</v>
      </c>
      <c r="I13" s="61"/>
      <c r="J13" s="42">
        <v>6649</v>
      </c>
      <c r="K13" s="42"/>
      <c r="L13" s="129">
        <f t="shared" si="5"/>
        <v>-1</v>
      </c>
      <c r="M13" s="139"/>
      <c r="N13" s="139"/>
      <c r="O13" s="129" t="e">
        <f t="shared" si="0"/>
        <v>#DIV/0!</v>
      </c>
      <c r="P13" s="139">
        <f t="shared" si="6"/>
        <v>6649</v>
      </c>
      <c r="Q13" s="139">
        <f t="shared" si="7"/>
        <v>0</v>
      </c>
      <c r="R13" s="129">
        <f t="shared" si="1"/>
        <v>-1</v>
      </c>
      <c r="S13" s="61"/>
      <c r="T13" s="61"/>
      <c r="U13" s="129" t="e">
        <f t="shared" si="2"/>
        <v>#DIV/0!</v>
      </c>
      <c r="V13" s="60">
        <f t="shared" si="8"/>
        <v>6649</v>
      </c>
      <c r="W13" s="60">
        <f t="shared" si="9"/>
        <v>0</v>
      </c>
      <c r="X13" s="129">
        <f t="shared" si="10"/>
        <v>-1</v>
      </c>
      <c r="Y13" s="61"/>
      <c r="Z13" s="61"/>
      <c r="AA13" s="129" t="e">
        <f t="shared" si="3"/>
        <v>#DIV/0!</v>
      </c>
      <c r="AB13" s="61">
        <f t="shared" si="11"/>
        <v>6649</v>
      </c>
      <c r="AC13" s="61">
        <f t="shared" si="12"/>
        <v>0</v>
      </c>
      <c r="AD13" s="129">
        <f t="shared" si="13"/>
        <v>-1</v>
      </c>
      <c r="AE13" s="61"/>
      <c r="AF13" s="61"/>
      <c r="AG13" s="129" t="e">
        <f t="shared" si="14"/>
        <v>#DIV/0!</v>
      </c>
      <c r="AH13" s="61">
        <f t="shared" si="15"/>
        <v>6649</v>
      </c>
      <c r="AI13" s="61">
        <f t="shared" si="16"/>
        <v>0</v>
      </c>
      <c r="AJ13" s="129">
        <f t="shared" si="17"/>
        <v>-1</v>
      </c>
      <c r="AK13" s="60"/>
      <c r="AL13" s="60"/>
      <c r="AM13" s="129" t="e">
        <f t="shared" si="18"/>
        <v>#DIV/0!</v>
      </c>
      <c r="AN13" s="60">
        <f t="shared" si="19"/>
        <v>6649</v>
      </c>
      <c r="AO13" s="60">
        <f t="shared" si="20"/>
        <v>0</v>
      </c>
      <c r="AP13" s="129">
        <f t="shared" si="21"/>
        <v>-1</v>
      </c>
      <c r="AQ13" s="61"/>
      <c r="AR13" s="61"/>
      <c r="AS13" s="129" t="e">
        <f t="shared" si="4"/>
        <v>#DIV/0!</v>
      </c>
      <c r="AT13" s="61">
        <f t="shared" si="22"/>
        <v>6649</v>
      </c>
      <c r="AU13" s="61">
        <f t="shared" si="23"/>
        <v>0</v>
      </c>
      <c r="AV13" s="129">
        <f t="shared" si="24"/>
        <v>-1</v>
      </c>
      <c r="AW13" s="61"/>
      <c r="AX13" s="61"/>
      <c r="AY13" s="129" t="e">
        <f t="shared" si="25"/>
        <v>#DIV/0!</v>
      </c>
      <c r="AZ13" s="61">
        <f t="shared" si="26"/>
        <v>6649</v>
      </c>
      <c r="BA13" s="61">
        <f t="shared" si="27"/>
        <v>0</v>
      </c>
      <c r="BB13" s="129">
        <f t="shared" si="28"/>
        <v>-1</v>
      </c>
      <c r="BC13" s="60"/>
      <c r="BD13" s="48"/>
      <c r="BE13" s="48"/>
      <c r="BF13" s="48"/>
      <c r="BG13" s="48">
        <v>6649</v>
      </c>
      <c r="BH13" s="49" t="e">
        <f t="shared" si="29"/>
        <v>#DIV/0!</v>
      </c>
      <c r="BI13" s="67"/>
      <c r="BJ13" s="67"/>
    </row>
    <row r="14" spans="1:62">
      <c r="A14" s="42" t="s">
        <v>252</v>
      </c>
      <c r="B14" s="137" t="s">
        <v>256</v>
      </c>
      <c r="C14" s="53" t="s">
        <v>278</v>
      </c>
      <c r="D14" s="170" t="s">
        <v>60</v>
      </c>
      <c r="E14" s="170" t="s">
        <v>60</v>
      </c>
      <c r="F14" s="126" t="s">
        <v>279</v>
      </c>
      <c r="G14" s="53" t="s">
        <v>279</v>
      </c>
      <c r="H14" s="61" t="s">
        <v>260</v>
      </c>
      <c r="I14" s="61"/>
      <c r="J14" s="42"/>
      <c r="K14" s="42"/>
      <c r="L14" s="129" t="e">
        <f t="shared" si="5"/>
        <v>#DIV/0!</v>
      </c>
      <c r="M14" s="139">
        <v>19218</v>
      </c>
      <c r="N14" s="139"/>
      <c r="O14" s="129">
        <f t="shared" si="0"/>
        <v>-1</v>
      </c>
      <c r="P14" s="139">
        <f t="shared" si="6"/>
        <v>19218</v>
      </c>
      <c r="Q14" s="139">
        <f t="shared" si="7"/>
        <v>0</v>
      </c>
      <c r="R14" s="129">
        <f t="shared" si="1"/>
        <v>-1</v>
      </c>
      <c r="S14" s="61"/>
      <c r="T14" s="61"/>
      <c r="U14" s="129" t="e">
        <f t="shared" si="2"/>
        <v>#DIV/0!</v>
      </c>
      <c r="V14" s="60">
        <f t="shared" si="8"/>
        <v>19218</v>
      </c>
      <c r="W14" s="60">
        <f t="shared" si="9"/>
        <v>0</v>
      </c>
      <c r="X14" s="129">
        <f t="shared" si="10"/>
        <v>-1</v>
      </c>
      <c r="Y14" s="61"/>
      <c r="Z14" s="61"/>
      <c r="AA14" s="129" t="e">
        <f t="shared" si="3"/>
        <v>#DIV/0!</v>
      </c>
      <c r="AB14" s="61">
        <f t="shared" si="11"/>
        <v>19218</v>
      </c>
      <c r="AC14" s="61">
        <f t="shared" si="12"/>
        <v>0</v>
      </c>
      <c r="AD14" s="129">
        <f t="shared" si="13"/>
        <v>-1</v>
      </c>
      <c r="AE14" s="61"/>
      <c r="AF14" s="61"/>
      <c r="AG14" s="129" t="e">
        <f t="shared" si="14"/>
        <v>#DIV/0!</v>
      </c>
      <c r="AH14" s="61">
        <f t="shared" si="15"/>
        <v>19218</v>
      </c>
      <c r="AI14" s="61">
        <f t="shared" si="16"/>
        <v>0</v>
      </c>
      <c r="AJ14" s="129">
        <f t="shared" si="17"/>
        <v>-1</v>
      </c>
      <c r="AK14" s="60"/>
      <c r="AL14" s="60"/>
      <c r="AM14" s="129" t="e">
        <f t="shared" si="18"/>
        <v>#DIV/0!</v>
      </c>
      <c r="AN14" s="60">
        <f t="shared" si="19"/>
        <v>19218</v>
      </c>
      <c r="AO14" s="60">
        <f t="shared" si="20"/>
        <v>0</v>
      </c>
      <c r="AP14" s="129">
        <f t="shared" si="21"/>
        <v>-1</v>
      </c>
      <c r="AQ14" s="61"/>
      <c r="AR14" s="61"/>
      <c r="AS14" s="129" t="e">
        <f t="shared" si="4"/>
        <v>#DIV/0!</v>
      </c>
      <c r="AT14" s="61">
        <f t="shared" si="22"/>
        <v>19218</v>
      </c>
      <c r="AU14" s="61">
        <f t="shared" si="23"/>
        <v>0</v>
      </c>
      <c r="AV14" s="129">
        <f t="shared" si="24"/>
        <v>-1</v>
      </c>
      <c r="AW14" s="61"/>
      <c r="AX14" s="61"/>
      <c r="AY14" s="129" t="e">
        <f t="shared" si="25"/>
        <v>#DIV/0!</v>
      </c>
      <c r="AZ14" s="61">
        <f t="shared" si="26"/>
        <v>19218</v>
      </c>
      <c r="BA14" s="61">
        <f t="shared" si="27"/>
        <v>0</v>
      </c>
      <c r="BB14" s="129">
        <f t="shared" si="28"/>
        <v>-1</v>
      </c>
      <c r="BC14" s="60"/>
      <c r="BD14" s="48"/>
      <c r="BE14" s="48"/>
      <c r="BF14" s="48"/>
      <c r="BG14" s="48">
        <v>19218</v>
      </c>
      <c r="BH14" s="49" t="e">
        <f t="shared" si="29"/>
        <v>#DIV/0!</v>
      </c>
      <c r="BI14" s="67"/>
      <c r="BJ14" s="67"/>
    </row>
    <row r="15" spans="1:62">
      <c r="A15" s="42" t="s">
        <v>252</v>
      </c>
      <c r="B15" s="137" t="s">
        <v>252</v>
      </c>
      <c r="C15" s="53" t="s">
        <v>280</v>
      </c>
      <c r="D15" s="170" t="s">
        <v>64</v>
      </c>
      <c r="E15" s="170" t="s">
        <v>64</v>
      </c>
      <c r="F15" s="126" t="s">
        <v>254</v>
      </c>
      <c r="G15" s="53" t="s">
        <v>254</v>
      </c>
      <c r="H15" s="61" t="s">
        <v>255</v>
      </c>
      <c r="I15" s="61"/>
      <c r="J15" s="42">
        <v>95208</v>
      </c>
      <c r="K15" s="42"/>
      <c r="L15" s="129">
        <f t="shared" si="5"/>
        <v>-1</v>
      </c>
      <c r="M15" s="139">
        <v>23568</v>
      </c>
      <c r="N15" s="139"/>
      <c r="O15" s="129">
        <f t="shared" si="0"/>
        <v>-1</v>
      </c>
      <c r="P15" s="139">
        <f t="shared" si="6"/>
        <v>118776</v>
      </c>
      <c r="Q15" s="139">
        <f t="shared" si="7"/>
        <v>0</v>
      </c>
      <c r="R15" s="129">
        <f t="shared" si="1"/>
        <v>-1</v>
      </c>
      <c r="S15" s="61">
        <v>27546</v>
      </c>
      <c r="T15" s="61"/>
      <c r="U15" s="129">
        <f t="shared" si="2"/>
        <v>-1</v>
      </c>
      <c r="V15" s="60">
        <f t="shared" si="8"/>
        <v>146322</v>
      </c>
      <c r="W15" s="60">
        <f t="shared" si="9"/>
        <v>0</v>
      </c>
      <c r="X15" s="129">
        <f t="shared" si="10"/>
        <v>-1</v>
      </c>
      <c r="Y15" s="61">
        <v>48756</v>
      </c>
      <c r="Z15" s="61"/>
      <c r="AA15" s="129">
        <f t="shared" si="3"/>
        <v>-1</v>
      </c>
      <c r="AB15" s="61">
        <f t="shared" si="11"/>
        <v>195078</v>
      </c>
      <c r="AC15" s="61">
        <f t="shared" si="12"/>
        <v>0</v>
      </c>
      <c r="AD15" s="129">
        <f t="shared" si="13"/>
        <v>-1</v>
      </c>
      <c r="AE15" s="61">
        <v>57457</v>
      </c>
      <c r="AF15" s="61"/>
      <c r="AG15" s="129">
        <f t="shared" si="14"/>
        <v>-1</v>
      </c>
      <c r="AH15" s="61">
        <f t="shared" si="15"/>
        <v>252535</v>
      </c>
      <c r="AI15" s="61">
        <f t="shared" si="16"/>
        <v>0</v>
      </c>
      <c r="AJ15" s="129">
        <f t="shared" si="17"/>
        <v>-1</v>
      </c>
      <c r="AK15" s="60">
        <v>34276</v>
      </c>
      <c r="AL15" s="60"/>
      <c r="AM15" s="129">
        <f t="shared" si="18"/>
        <v>-1</v>
      </c>
      <c r="AN15" s="60">
        <f t="shared" si="19"/>
        <v>286811</v>
      </c>
      <c r="AO15" s="60">
        <f t="shared" si="20"/>
        <v>0</v>
      </c>
      <c r="AP15" s="129">
        <f t="shared" si="21"/>
        <v>-1</v>
      </c>
      <c r="AQ15" s="61">
        <v>66284</v>
      </c>
      <c r="AR15" s="61"/>
      <c r="AS15" s="129">
        <f t="shared" si="4"/>
        <v>-1</v>
      </c>
      <c r="AT15" s="61">
        <f t="shared" si="22"/>
        <v>353095</v>
      </c>
      <c r="AU15" s="61">
        <f t="shared" si="23"/>
        <v>0</v>
      </c>
      <c r="AV15" s="129">
        <f t="shared" si="24"/>
        <v>-1</v>
      </c>
      <c r="AW15" s="61">
        <v>21828</v>
      </c>
      <c r="AX15" s="61"/>
      <c r="AY15" s="129">
        <f t="shared" si="25"/>
        <v>-1</v>
      </c>
      <c r="AZ15" s="61">
        <f t="shared" si="26"/>
        <v>374923</v>
      </c>
      <c r="BA15" s="61">
        <f t="shared" si="27"/>
        <v>0</v>
      </c>
      <c r="BB15" s="129">
        <f t="shared" si="28"/>
        <v>-1</v>
      </c>
      <c r="BC15" s="60"/>
      <c r="BD15" s="48"/>
      <c r="BE15" s="48"/>
      <c r="BF15" s="48"/>
      <c r="BG15" s="48">
        <v>374923</v>
      </c>
      <c r="BH15" s="49" t="e">
        <f t="shared" si="29"/>
        <v>#DIV/0!</v>
      </c>
      <c r="BI15" s="67"/>
      <c r="BJ15" s="67"/>
    </row>
    <row r="16" spans="1:62">
      <c r="A16" s="42" t="s">
        <v>252</v>
      </c>
      <c r="B16" s="137" t="s">
        <v>252</v>
      </c>
      <c r="C16" s="53" t="s">
        <v>281</v>
      </c>
      <c r="D16" s="170" t="s">
        <v>60</v>
      </c>
      <c r="E16" s="170" t="s">
        <v>60</v>
      </c>
      <c r="F16" s="126" t="s">
        <v>270</v>
      </c>
      <c r="G16" s="53" t="s">
        <v>270</v>
      </c>
      <c r="H16" s="61" t="s">
        <v>255</v>
      </c>
      <c r="I16" s="61"/>
      <c r="J16" s="42">
        <v>1690</v>
      </c>
      <c r="K16" s="42"/>
      <c r="L16" s="129">
        <f t="shared" si="5"/>
        <v>-1</v>
      </c>
      <c r="M16" s="139"/>
      <c r="N16" s="139"/>
      <c r="O16" s="129" t="e">
        <f t="shared" si="0"/>
        <v>#DIV/0!</v>
      </c>
      <c r="P16" s="139">
        <f t="shared" si="6"/>
        <v>1690</v>
      </c>
      <c r="Q16" s="139">
        <f t="shared" si="7"/>
        <v>0</v>
      </c>
      <c r="R16" s="129">
        <f t="shared" si="1"/>
        <v>-1</v>
      </c>
      <c r="S16" s="61"/>
      <c r="T16" s="61"/>
      <c r="U16" s="129" t="e">
        <f t="shared" si="2"/>
        <v>#DIV/0!</v>
      </c>
      <c r="V16" s="60">
        <f t="shared" si="8"/>
        <v>1690</v>
      </c>
      <c r="W16" s="60">
        <f t="shared" si="9"/>
        <v>0</v>
      </c>
      <c r="X16" s="129">
        <f t="shared" si="10"/>
        <v>-1</v>
      </c>
      <c r="Y16" s="61">
        <v>3375</v>
      </c>
      <c r="Z16" s="61"/>
      <c r="AA16" s="129">
        <f t="shared" si="3"/>
        <v>-1</v>
      </c>
      <c r="AB16" s="61">
        <f t="shared" si="11"/>
        <v>5065</v>
      </c>
      <c r="AC16" s="61">
        <f t="shared" si="12"/>
        <v>0</v>
      </c>
      <c r="AD16" s="129">
        <f t="shared" si="13"/>
        <v>-1</v>
      </c>
      <c r="AE16" s="61"/>
      <c r="AF16" s="61"/>
      <c r="AG16" s="129" t="e">
        <f t="shared" si="14"/>
        <v>#DIV/0!</v>
      </c>
      <c r="AH16" s="61">
        <f t="shared" si="15"/>
        <v>5065</v>
      </c>
      <c r="AI16" s="61">
        <f t="shared" si="16"/>
        <v>0</v>
      </c>
      <c r="AJ16" s="129">
        <f t="shared" si="17"/>
        <v>-1</v>
      </c>
      <c r="AK16" s="60"/>
      <c r="AL16" s="60"/>
      <c r="AM16" s="129" t="e">
        <f t="shared" si="18"/>
        <v>#DIV/0!</v>
      </c>
      <c r="AN16" s="60">
        <f t="shared" si="19"/>
        <v>5065</v>
      </c>
      <c r="AO16" s="60">
        <f t="shared" si="20"/>
        <v>0</v>
      </c>
      <c r="AP16" s="129">
        <f t="shared" si="21"/>
        <v>-1</v>
      </c>
      <c r="AQ16" s="61"/>
      <c r="AR16" s="61"/>
      <c r="AS16" s="129" t="e">
        <f t="shared" si="4"/>
        <v>#DIV/0!</v>
      </c>
      <c r="AT16" s="61">
        <f t="shared" si="22"/>
        <v>5065</v>
      </c>
      <c r="AU16" s="61">
        <f t="shared" si="23"/>
        <v>0</v>
      </c>
      <c r="AV16" s="129">
        <f t="shared" si="24"/>
        <v>-1</v>
      </c>
      <c r="AW16" s="61"/>
      <c r="AX16" s="61"/>
      <c r="AY16" s="129" t="e">
        <f t="shared" si="25"/>
        <v>#DIV/0!</v>
      </c>
      <c r="AZ16" s="61">
        <f t="shared" si="26"/>
        <v>5065</v>
      </c>
      <c r="BA16" s="61">
        <f t="shared" si="27"/>
        <v>0</v>
      </c>
      <c r="BB16" s="129">
        <f t="shared" si="28"/>
        <v>-1</v>
      </c>
      <c r="BC16" s="60">
        <v>3375</v>
      </c>
      <c r="BD16" s="48"/>
      <c r="BE16" s="48"/>
      <c r="BF16" s="48"/>
      <c r="BG16" s="48">
        <v>8440</v>
      </c>
      <c r="BH16" s="49" t="e">
        <f t="shared" si="29"/>
        <v>#DIV/0!</v>
      </c>
      <c r="BI16" s="67"/>
      <c r="BJ16" s="67"/>
    </row>
    <row r="17" spans="1:62">
      <c r="A17" s="42" t="s">
        <v>252</v>
      </c>
      <c r="B17" s="137" t="s">
        <v>252</v>
      </c>
      <c r="C17" s="53" t="s">
        <v>282</v>
      </c>
      <c r="D17" s="170" t="s">
        <v>60</v>
      </c>
      <c r="E17" s="170" t="s">
        <v>60</v>
      </c>
      <c r="F17" s="126" t="s">
        <v>262</v>
      </c>
      <c r="G17" s="53" t="s">
        <v>283</v>
      </c>
      <c r="H17" s="61" t="s">
        <v>263</v>
      </c>
      <c r="I17" s="61">
        <v>30</v>
      </c>
      <c r="J17" s="42">
        <v>5412</v>
      </c>
      <c r="K17" s="42">
        <v>-8765</v>
      </c>
      <c r="L17" s="129">
        <f t="shared" si="5"/>
        <v>-2.61954915003695</v>
      </c>
      <c r="M17" s="139">
        <v>729</v>
      </c>
      <c r="N17" s="139">
        <v>2310</v>
      </c>
      <c r="O17" s="129">
        <f t="shared" si="0"/>
        <v>2.16872427983539</v>
      </c>
      <c r="P17" s="139">
        <f t="shared" si="6"/>
        <v>6141</v>
      </c>
      <c r="Q17" s="139">
        <f t="shared" si="7"/>
        <v>-6455</v>
      </c>
      <c r="R17" s="129">
        <f t="shared" si="1"/>
        <v>-2.05113173750204</v>
      </c>
      <c r="S17" s="61">
        <v>20000</v>
      </c>
      <c r="T17" s="61">
        <v>5229</v>
      </c>
      <c r="U17" s="129">
        <f t="shared" si="2"/>
        <v>-0.73855</v>
      </c>
      <c r="V17" s="60">
        <f t="shared" si="8"/>
        <v>26141</v>
      </c>
      <c r="W17" s="60">
        <f t="shared" si="9"/>
        <v>-1226</v>
      </c>
      <c r="X17" s="129">
        <f t="shared" si="10"/>
        <v>-1.04689950652232</v>
      </c>
      <c r="Y17" s="61"/>
      <c r="Z17" s="61"/>
      <c r="AA17" s="129" t="e">
        <f t="shared" si="3"/>
        <v>#DIV/0!</v>
      </c>
      <c r="AB17" s="61">
        <f t="shared" si="11"/>
        <v>26141</v>
      </c>
      <c r="AC17" s="61">
        <f t="shared" si="12"/>
        <v>-1226</v>
      </c>
      <c r="AD17" s="129">
        <f t="shared" si="13"/>
        <v>-1.04689950652232</v>
      </c>
      <c r="AE17" s="61"/>
      <c r="AF17" s="61"/>
      <c r="AG17" s="129" t="e">
        <f t="shared" si="14"/>
        <v>#DIV/0!</v>
      </c>
      <c r="AH17" s="61">
        <f t="shared" si="15"/>
        <v>26141</v>
      </c>
      <c r="AI17" s="61">
        <f t="shared" si="16"/>
        <v>-1226</v>
      </c>
      <c r="AJ17" s="129">
        <f t="shared" si="17"/>
        <v>-1.04689950652232</v>
      </c>
      <c r="AK17" s="60">
        <v>47792</v>
      </c>
      <c r="AL17" s="60">
        <v>3242</v>
      </c>
      <c r="AM17" s="129">
        <f t="shared" si="18"/>
        <v>-0.932164378975561</v>
      </c>
      <c r="AN17" s="60">
        <f t="shared" si="19"/>
        <v>73933</v>
      </c>
      <c r="AO17" s="60">
        <f t="shared" si="20"/>
        <v>2016</v>
      </c>
      <c r="AP17" s="129">
        <f t="shared" si="21"/>
        <v>-0.972732068223932</v>
      </c>
      <c r="AQ17" s="61">
        <v>37572</v>
      </c>
      <c r="AR17" s="61">
        <v>1535</v>
      </c>
      <c r="AS17" s="129">
        <f t="shared" si="4"/>
        <v>-0.959145108059193</v>
      </c>
      <c r="AT17" s="61">
        <f t="shared" si="22"/>
        <v>111505</v>
      </c>
      <c r="AU17" s="61">
        <f t="shared" si="23"/>
        <v>3551</v>
      </c>
      <c r="AV17" s="129">
        <f t="shared" si="24"/>
        <v>-0.968153894444195</v>
      </c>
      <c r="AW17" s="61"/>
      <c r="AX17" s="61"/>
      <c r="AY17" s="129" t="e">
        <f t="shared" si="25"/>
        <v>#DIV/0!</v>
      </c>
      <c r="AZ17" s="61">
        <f t="shared" si="26"/>
        <v>111505</v>
      </c>
      <c r="BA17" s="61">
        <f t="shared" si="27"/>
        <v>3551</v>
      </c>
      <c r="BB17" s="129">
        <f t="shared" si="28"/>
        <v>-0.968153894444195</v>
      </c>
      <c r="BC17" s="60">
        <v>13087</v>
      </c>
      <c r="BD17" s="48">
        <v>19477</v>
      </c>
      <c r="BE17" s="48">
        <v>37873</v>
      </c>
      <c r="BF17" s="48">
        <v>35797</v>
      </c>
      <c r="BG17" s="48">
        <v>217739</v>
      </c>
      <c r="BH17" s="49">
        <f t="shared" si="29"/>
        <v>0.0118366666666667</v>
      </c>
      <c r="BI17" s="67"/>
      <c r="BJ17" s="67"/>
    </row>
    <row r="18" spans="1:62">
      <c r="A18" s="42" t="s">
        <v>252</v>
      </c>
      <c r="B18" s="137" t="s">
        <v>256</v>
      </c>
      <c r="C18" s="53" t="s">
        <v>284</v>
      </c>
      <c r="D18" s="170" t="s">
        <v>60</v>
      </c>
      <c r="E18" s="170" t="s">
        <v>60</v>
      </c>
      <c r="F18" s="126" t="s">
        <v>285</v>
      </c>
      <c r="G18" s="53" t="s">
        <v>285</v>
      </c>
      <c r="H18" s="61" t="s">
        <v>260</v>
      </c>
      <c r="I18" s="61">
        <v>5</v>
      </c>
      <c r="J18" s="42"/>
      <c r="K18" s="42">
        <v>2310</v>
      </c>
      <c r="L18" s="129" t="e">
        <f t="shared" si="5"/>
        <v>#DIV/0!</v>
      </c>
      <c r="M18" s="139"/>
      <c r="N18" s="139">
        <v>3302</v>
      </c>
      <c r="O18" s="129" t="e">
        <f t="shared" si="0"/>
        <v>#DIV/0!</v>
      </c>
      <c r="P18" s="139">
        <f t="shared" si="6"/>
        <v>0</v>
      </c>
      <c r="Q18" s="139">
        <f t="shared" si="7"/>
        <v>5612</v>
      </c>
      <c r="R18" s="129" t="e">
        <f t="shared" si="1"/>
        <v>#DIV/0!</v>
      </c>
      <c r="S18" s="61"/>
      <c r="T18" s="61"/>
      <c r="U18" s="129" t="e">
        <f t="shared" si="2"/>
        <v>#DIV/0!</v>
      </c>
      <c r="V18" s="60">
        <f t="shared" si="8"/>
        <v>0</v>
      </c>
      <c r="W18" s="60">
        <f t="shared" si="9"/>
        <v>5612</v>
      </c>
      <c r="X18" s="129" t="e">
        <f t="shared" si="10"/>
        <v>#DIV/0!</v>
      </c>
      <c r="Y18" s="61">
        <v>2998</v>
      </c>
      <c r="Z18" s="61"/>
      <c r="AA18" s="129">
        <f t="shared" si="3"/>
        <v>-1</v>
      </c>
      <c r="AB18" s="61">
        <f t="shared" si="11"/>
        <v>2998</v>
      </c>
      <c r="AC18" s="61">
        <f t="shared" si="12"/>
        <v>5612</v>
      </c>
      <c r="AD18" s="129">
        <f t="shared" si="13"/>
        <v>0.871914609739826</v>
      </c>
      <c r="AE18" s="61"/>
      <c r="AF18" s="61"/>
      <c r="AG18" s="129" t="e">
        <f t="shared" si="14"/>
        <v>#DIV/0!</v>
      </c>
      <c r="AH18" s="61">
        <f t="shared" si="15"/>
        <v>2998</v>
      </c>
      <c r="AI18" s="61">
        <f t="shared" si="16"/>
        <v>5612</v>
      </c>
      <c r="AJ18" s="129">
        <f t="shared" si="17"/>
        <v>0.871914609739826</v>
      </c>
      <c r="AK18" s="60"/>
      <c r="AL18" s="60"/>
      <c r="AM18" s="129" t="e">
        <f t="shared" si="18"/>
        <v>#DIV/0!</v>
      </c>
      <c r="AN18" s="60">
        <f t="shared" si="19"/>
        <v>2998</v>
      </c>
      <c r="AO18" s="60">
        <f t="shared" si="20"/>
        <v>5612</v>
      </c>
      <c r="AP18" s="129">
        <f t="shared" si="21"/>
        <v>0.871914609739826</v>
      </c>
      <c r="AQ18" s="61"/>
      <c r="AR18" s="61">
        <v>4354</v>
      </c>
      <c r="AS18" s="129" t="e">
        <f t="shared" si="4"/>
        <v>#DIV/0!</v>
      </c>
      <c r="AT18" s="61">
        <f t="shared" si="22"/>
        <v>2998</v>
      </c>
      <c r="AU18" s="61">
        <f t="shared" si="23"/>
        <v>9966</v>
      </c>
      <c r="AV18" s="129">
        <f t="shared" si="24"/>
        <v>2.32421614409606</v>
      </c>
      <c r="AW18" s="61"/>
      <c r="AX18" s="61"/>
      <c r="AY18" s="129" t="e">
        <f t="shared" si="25"/>
        <v>#DIV/0!</v>
      </c>
      <c r="AZ18" s="61">
        <f t="shared" si="26"/>
        <v>2998</v>
      </c>
      <c r="BA18" s="61">
        <f t="shared" si="27"/>
        <v>9966</v>
      </c>
      <c r="BB18" s="129">
        <f t="shared" si="28"/>
        <v>2.32421614409606</v>
      </c>
      <c r="BC18" s="60"/>
      <c r="BD18" s="48">
        <v>2334</v>
      </c>
      <c r="BE18" s="48">
        <v>2890</v>
      </c>
      <c r="BF18" s="48">
        <v>3100</v>
      </c>
      <c r="BG18" s="48">
        <v>11322</v>
      </c>
      <c r="BH18" s="49">
        <f t="shared" si="29"/>
        <v>0.19932</v>
      </c>
      <c r="BI18" s="67"/>
      <c r="BJ18" s="67"/>
    </row>
    <row r="19" spans="1:62">
      <c r="A19" s="42" t="s">
        <v>252</v>
      </c>
      <c r="B19" s="137" t="s">
        <v>256</v>
      </c>
      <c r="C19" s="53" t="s">
        <v>286</v>
      </c>
      <c r="D19" s="170" t="s">
        <v>60</v>
      </c>
      <c r="E19" s="170" t="s">
        <v>60</v>
      </c>
      <c r="F19" s="126" t="s">
        <v>287</v>
      </c>
      <c r="G19" s="53" t="s">
        <v>287</v>
      </c>
      <c r="H19" s="61" t="s">
        <v>260</v>
      </c>
      <c r="I19" s="61">
        <v>30</v>
      </c>
      <c r="J19" s="42"/>
      <c r="K19" s="42"/>
      <c r="L19" s="129" t="e">
        <f t="shared" si="5"/>
        <v>#DIV/0!</v>
      </c>
      <c r="M19" s="139"/>
      <c r="N19" s="139"/>
      <c r="O19" s="129" t="e">
        <f t="shared" si="0"/>
        <v>#DIV/0!</v>
      </c>
      <c r="P19" s="139">
        <f t="shared" si="6"/>
        <v>0</v>
      </c>
      <c r="Q19" s="139">
        <f t="shared" si="7"/>
        <v>0</v>
      </c>
      <c r="R19" s="129" t="e">
        <f t="shared" si="1"/>
        <v>#DIV/0!</v>
      </c>
      <c r="S19" s="61"/>
      <c r="T19" s="61"/>
      <c r="U19" s="129" t="e">
        <f t="shared" si="2"/>
        <v>#DIV/0!</v>
      </c>
      <c r="V19" s="60">
        <f t="shared" si="8"/>
        <v>0</v>
      </c>
      <c r="W19" s="60">
        <f t="shared" si="9"/>
        <v>0</v>
      </c>
      <c r="X19" s="129" t="e">
        <f t="shared" si="10"/>
        <v>#DIV/0!</v>
      </c>
      <c r="Y19" s="61">
        <v>20000</v>
      </c>
      <c r="Z19" s="61"/>
      <c r="AA19" s="129">
        <f t="shared" si="3"/>
        <v>-1</v>
      </c>
      <c r="AB19" s="61">
        <f t="shared" si="11"/>
        <v>20000</v>
      </c>
      <c r="AC19" s="61">
        <f t="shared" si="12"/>
        <v>0</v>
      </c>
      <c r="AD19" s="129">
        <f t="shared" si="13"/>
        <v>-1</v>
      </c>
      <c r="AE19" s="61"/>
      <c r="AF19" s="61"/>
      <c r="AG19" s="129" t="e">
        <f t="shared" si="14"/>
        <v>#DIV/0!</v>
      </c>
      <c r="AH19" s="61">
        <f t="shared" si="15"/>
        <v>20000</v>
      </c>
      <c r="AI19" s="61">
        <f t="shared" si="16"/>
        <v>0</v>
      </c>
      <c r="AJ19" s="129">
        <f t="shared" si="17"/>
        <v>-1</v>
      </c>
      <c r="AK19" s="60"/>
      <c r="AL19" s="60"/>
      <c r="AM19" s="129" t="e">
        <f t="shared" si="18"/>
        <v>#DIV/0!</v>
      </c>
      <c r="AN19" s="60">
        <f t="shared" si="19"/>
        <v>20000</v>
      </c>
      <c r="AO19" s="60">
        <f t="shared" si="20"/>
        <v>0</v>
      </c>
      <c r="AP19" s="129">
        <f t="shared" si="21"/>
        <v>-1</v>
      </c>
      <c r="AQ19" s="61">
        <v>10000</v>
      </c>
      <c r="AR19" s="61"/>
      <c r="AS19" s="129">
        <f t="shared" si="4"/>
        <v>-1</v>
      </c>
      <c r="AT19" s="61">
        <f t="shared" si="22"/>
        <v>30000</v>
      </c>
      <c r="AU19" s="61">
        <f t="shared" si="23"/>
        <v>0</v>
      </c>
      <c r="AV19" s="129">
        <f t="shared" si="24"/>
        <v>-1</v>
      </c>
      <c r="AW19" s="61"/>
      <c r="AX19" s="61"/>
      <c r="AY19" s="129" t="e">
        <f t="shared" si="25"/>
        <v>#DIV/0!</v>
      </c>
      <c r="AZ19" s="61">
        <f t="shared" si="26"/>
        <v>30000</v>
      </c>
      <c r="BA19" s="61">
        <f t="shared" si="27"/>
        <v>0</v>
      </c>
      <c r="BB19" s="129">
        <f t="shared" si="28"/>
        <v>-1</v>
      </c>
      <c r="BC19" s="60"/>
      <c r="BD19" s="48"/>
      <c r="BE19" s="48"/>
      <c r="BF19" s="48"/>
      <c r="BG19" s="48">
        <v>30000</v>
      </c>
      <c r="BH19" s="49">
        <f t="shared" si="29"/>
        <v>0</v>
      </c>
      <c r="BI19" s="67"/>
      <c r="BJ19" s="67"/>
    </row>
    <row r="20" spans="1:62">
      <c r="A20" s="42" t="s">
        <v>252</v>
      </c>
      <c r="B20" s="137" t="s">
        <v>252</v>
      </c>
      <c r="C20" s="53" t="s">
        <v>288</v>
      </c>
      <c r="D20" s="170" t="s">
        <v>60</v>
      </c>
      <c r="E20" s="170" t="s">
        <v>60</v>
      </c>
      <c r="F20" s="126" t="s">
        <v>262</v>
      </c>
      <c r="G20" s="53" t="s">
        <v>265</v>
      </c>
      <c r="H20" s="61" t="s">
        <v>263</v>
      </c>
      <c r="I20" s="61">
        <v>10</v>
      </c>
      <c r="J20" s="42"/>
      <c r="K20" s="42">
        <v>840</v>
      </c>
      <c r="L20" s="129" t="e">
        <f t="shared" si="5"/>
        <v>#DIV/0!</v>
      </c>
      <c r="M20" s="139"/>
      <c r="N20" s="139">
        <v>10504</v>
      </c>
      <c r="O20" s="129" t="e">
        <f t="shared" si="0"/>
        <v>#DIV/0!</v>
      </c>
      <c r="P20" s="139">
        <f t="shared" si="6"/>
        <v>0</v>
      </c>
      <c r="Q20" s="139">
        <f t="shared" si="7"/>
        <v>11344</v>
      </c>
      <c r="R20" s="129" t="e">
        <f t="shared" si="1"/>
        <v>#DIV/0!</v>
      </c>
      <c r="S20" s="61"/>
      <c r="T20" s="61">
        <v>3070</v>
      </c>
      <c r="U20" s="129" t="e">
        <f t="shared" si="2"/>
        <v>#DIV/0!</v>
      </c>
      <c r="V20" s="60">
        <f t="shared" si="8"/>
        <v>0</v>
      </c>
      <c r="W20" s="60">
        <f t="shared" si="9"/>
        <v>14414</v>
      </c>
      <c r="X20" s="129" t="e">
        <f t="shared" si="10"/>
        <v>#DIV/0!</v>
      </c>
      <c r="Y20" s="61">
        <v>1810</v>
      </c>
      <c r="Z20" s="61"/>
      <c r="AA20" s="129">
        <f t="shared" si="3"/>
        <v>-1</v>
      </c>
      <c r="AB20" s="61">
        <f t="shared" si="11"/>
        <v>1810</v>
      </c>
      <c r="AC20" s="61">
        <f t="shared" si="12"/>
        <v>14414</v>
      </c>
      <c r="AD20" s="129">
        <f t="shared" si="13"/>
        <v>6.96353591160221</v>
      </c>
      <c r="AE20" s="61">
        <v>4787</v>
      </c>
      <c r="AF20" s="61"/>
      <c r="AG20" s="129">
        <f t="shared" si="14"/>
        <v>-1</v>
      </c>
      <c r="AH20" s="61">
        <f t="shared" si="15"/>
        <v>6597</v>
      </c>
      <c r="AI20" s="61">
        <f t="shared" si="16"/>
        <v>14414</v>
      </c>
      <c r="AJ20" s="129">
        <f t="shared" si="17"/>
        <v>1.18493254509626</v>
      </c>
      <c r="AK20" s="60">
        <v>8454</v>
      </c>
      <c r="AL20" s="60"/>
      <c r="AM20" s="129">
        <f t="shared" si="18"/>
        <v>-1</v>
      </c>
      <c r="AN20" s="60">
        <f t="shared" si="19"/>
        <v>15051</v>
      </c>
      <c r="AO20" s="60">
        <f t="shared" si="20"/>
        <v>14414</v>
      </c>
      <c r="AP20" s="129">
        <f t="shared" si="21"/>
        <v>-0.0423227692512126</v>
      </c>
      <c r="AQ20" s="61"/>
      <c r="AR20" s="61"/>
      <c r="AS20" s="129" t="e">
        <f t="shared" si="4"/>
        <v>#DIV/0!</v>
      </c>
      <c r="AT20" s="61">
        <f t="shared" si="22"/>
        <v>15051</v>
      </c>
      <c r="AU20" s="61">
        <f t="shared" si="23"/>
        <v>14414</v>
      </c>
      <c r="AV20" s="129">
        <f t="shared" si="24"/>
        <v>-0.0423227692512126</v>
      </c>
      <c r="AW20" s="61">
        <v>2987</v>
      </c>
      <c r="AX20" s="61"/>
      <c r="AY20" s="129">
        <f t="shared" si="25"/>
        <v>-1</v>
      </c>
      <c r="AZ20" s="61">
        <f t="shared" si="26"/>
        <v>18038</v>
      </c>
      <c r="BA20" s="61">
        <f t="shared" si="27"/>
        <v>14414</v>
      </c>
      <c r="BB20" s="129">
        <f t="shared" si="28"/>
        <v>-0.200909191706398</v>
      </c>
      <c r="BC20" s="60"/>
      <c r="BD20" s="48">
        <v>6500</v>
      </c>
      <c r="BE20" s="48">
        <v>18255</v>
      </c>
      <c r="BF20" s="48">
        <v>22290</v>
      </c>
      <c r="BG20" s="48">
        <v>65083</v>
      </c>
      <c r="BH20" s="49">
        <f t="shared" si="29"/>
        <v>0.14414</v>
      </c>
      <c r="BI20" s="67"/>
      <c r="BJ20" s="67"/>
    </row>
    <row r="21" spans="1:62">
      <c r="A21" s="42" t="s">
        <v>252</v>
      </c>
      <c r="B21" s="137" t="s">
        <v>252</v>
      </c>
      <c r="C21" s="53" t="s">
        <v>289</v>
      </c>
      <c r="D21" s="170" t="s">
        <v>60</v>
      </c>
      <c r="E21" s="170" t="s">
        <v>60</v>
      </c>
      <c r="F21" s="126" t="s">
        <v>272</v>
      </c>
      <c r="G21" s="53" t="s">
        <v>272</v>
      </c>
      <c r="H21" s="61" t="s">
        <v>263</v>
      </c>
      <c r="I21" s="61"/>
      <c r="J21" s="42"/>
      <c r="K21" s="42"/>
      <c r="L21" s="129" t="e">
        <f t="shared" si="5"/>
        <v>#DIV/0!</v>
      </c>
      <c r="M21" s="139"/>
      <c r="N21" s="139"/>
      <c r="O21" s="129" t="e">
        <f t="shared" si="0"/>
        <v>#DIV/0!</v>
      </c>
      <c r="P21" s="139">
        <f t="shared" si="6"/>
        <v>0</v>
      </c>
      <c r="Q21" s="139">
        <f t="shared" si="7"/>
        <v>0</v>
      </c>
      <c r="R21" s="129" t="e">
        <f t="shared" si="1"/>
        <v>#DIV/0!</v>
      </c>
      <c r="S21" s="61"/>
      <c r="T21" s="61"/>
      <c r="U21" s="129" t="e">
        <f t="shared" si="2"/>
        <v>#DIV/0!</v>
      </c>
      <c r="V21" s="60">
        <f t="shared" si="8"/>
        <v>0</v>
      </c>
      <c r="W21" s="60">
        <f t="shared" si="9"/>
        <v>0</v>
      </c>
      <c r="X21" s="129" t="e">
        <f t="shared" si="10"/>
        <v>#DIV/0!</v>
      </c>
      <c r="Y21" s="61"/>
      <c r="Z21" s="61"/>
      <c r="AA21" s="129" t="e">
        <f t="shared" si="3"/>
        <v>#DIV/0!</v>
      </c>
      <c r="AB21" s="61">
        <f t="shared" si="11"/>
        <v>0</v>
      </c>
      <c r="AC21" s="61">
        <f t="shared" si="12"/>
        <v>0</v>
      </c>
      <c r="AD21" s="129" t="e">
        <f t="shared" si="13"/>
        <v>#DIV/0!</v>
      </c>
      <c r="AE21" s="61">
        <v>30000</v>
      </c>
      <c r="AF21" s="61"/>
      <c r="AG21" s="129">
        <f t="shared" si="14"/>
        <v>-1</v>
      </c>
      <c r="AH21" s="61">
        <f t="shared" si="15"/>
        <v>30000</v>
      </c>
      <c r="AI21" s="61">
        <f t="shared" si="16"/>
        <v>0</v>
      </c>
      <c r="AJ21" s="129">
        <f t="shared" si="17"/>
        <v>-1</v>
      </c>
      <c r="AK21" s="60"/>
      <c r="AL21" s="60"/>
      <c r="AM21" s="129" t="e">
        <f t="shared" si="18"/>
        <v>#DIV/0!</v>
      </c>
      <c r="AN21" s="60">
        <f t="shared" si="19"/>
        <v>30000</v>
      </c>
      <c r="AO21" s="60">
        <f t="shared" si="20"/>
        <v>0</v>
      </c>
      <c r="AP21" s="129">
        <f t="shared" si="21"/>
        <v>-1</v>
      </c>
      <c r="AQ21" s="61"/>
      <c r="AR21" s="61"/>
      <c r="AS21" s="129" t="e">
        <f t="shared" si="4"/>
        <v>#DIV/0!</v>
      </c>
      <c r="AT21" s="61">
        <f t="shared" si="22"/>
        <v>30000</v>
      </c>
      <c r="AU21" s="61">
        <f t="shared" si="23"/>
        <v>0</v>
      </c>
      <c r="AV21" s="129">
        <f t="shared" si="24"/>
        <v>-1</v>
      </c>
      <c r="AW21" s="61"/>
      <c r="AX21" s="61"/>
      <c r="AY21" s="129" t="e">
        <f t="shared" si="25"/>
        <v>#DIV/0!</v>
      </c>
      <c r="AZ21" s="61">
        <f t="shared" si="26"/>
        <v>30000</v>
      </c>
      <c r="BA21" s="61">
        <f t="shared" si="27"/>
        <v>0</v>
      </c>
      <c r="BB21" s="129">
        <f t="shared" si="28"/>
        <v>-1</v>
      </c>
      <c r="BC21" s="60"/>
      <c r="BD21" s="48"/>
      <c r="BE21" s="48"/>
      <c r="BF21" s="48">
        <v>3658</v>
      </c>
      <c r="BG21" s="48">
        <v>33658</v>
      </c>
      <c r="BH21" s="49" t="e">
        <f t="shared" si="29"/>
        <v>#DIV/0!</v>
      </c>
      <c r="BI21" s="67"/>
      <c r="BJ21" s="67"/>
    </row>
    <row r="22" spans="1:62">
      <c r="A22" s="42" t="s">
        <v>252</v>
      </c>
      <c r="B22" s="137" t="s">
        <v>252</v>
      </c>
      <c r="C22" s="53" t="s">
        <v>114</v>
      </c>
      <c r="D22" s="170" t="s">
        <v>113</v>
      </c>
      <c r="E22" s="170" t="s">
        <v>113</v>
      </c>
      <c r="F22" s="126" t="s">
        <v>262</v>
      </c>
      <c r="G22" s="53"/>
      <c r="H22" s="61" t="s">
        <v>263</v>
      </c>
      <c r="I22" s="61"/>
      <c r="J22" s="42"/>
      <c r="K22" s="42"/>
      <c r="L22" s="129" t="e">
        <f t="shared" si="5"/>
        <v>#DIV/0!</v>
      </c>
      <c r="M22" s="139"/>
      <c r="N22" s="139"/>
      <c r="O22" s="129" t="e">
        <f t="shared" si="0"/>
        <v>#DIV/0!</v>
      </c>
      <c r="P22" s="139">
        <f t="shared" si="6"/>
        <v>0</v>
      </c>
      <c r="Q22" s="139">
        <f t="shared" si="7"/>
        <v>0</v>
      </c>
      <c r="R22" s="129" t="e">
        <f t="shared" si="1"/>
        <v>#DIV/0!</v>
      </c>
      <c r="S22" s="61"/>
      <c r="T22" s="61">
        <v>1732</v>
      </c>
      <c r="U22" s="129" t="e">
        <f t="shared" si="2"/>
        <v>#DIV/0!</v>
      </c>
      <c r="V22" s="60">
        <f t="shared" si="8"/>
        <v>0</v>
      </c>
      <c r="W22" s="60">
        <f t="shared" si="9"/>
        <v>1732</v>
      </c>
      <c r="X22" s="129" t="e">
        <f t="shared" si="10"/>
        <v>#DIV/0!</v>
      </c>
      <c r="Y22" s="61"/>
      <c r="Z22" s="61">
        <v>2701</v>
      </c>
      <c r="AA22" s="129" t="e">
        <f t="shared" si="3"/>
        <v>#DIV/0!</v>
      </c>
      <c r="AB22" s="61">
        <f t="shared" si="11"/>
        <v>0</v>
      </c>
      <c r="AC22" s="61">
        <f t="shared" si="12"/>
        <v>4433</v>
      </c>
      <c r="AD22" s="129" t="e">
        <f t="shared" si="13"/>
        <v>#DIV/0!</v>
      </c>
      <c r="AE22" s="61"/>
      <c r="AF22" s="61"/>
      <c r="AG22" s="129" t="e">
        <f t="shared" si="14"/>
        <v>#DIV/0!</v>
      </c>
      <c r="AH22" s="61">
        <f t="shared" si="15"/>
        <v>0</v>
      </c>
      <c r="AI22" s="61">
        <f t="shared" si="16"/>
        <v>4433</v>
      </c>
      <c r="AJ22" s="129" t="e">
        <f t="shared" si="17"/>
        <v>#DIV/0!</v>
      </c>
      <c r="AK22" s="60"/>
      <c r="AL22" s="60"/>
      <c r="AM22" s="129" t="e">
        <f t="shared" si="18"/>
        <v>#DIV/0!</v>
      </c>
      <c r="AN22" s="60">
        <f t="shared" si="19"/>
        <v>0</v>
      </c>
      <c r="AO22" s="60">
        <f t="shared" si="20"/>
        <v>4433</v>
      </c>
      <c r="AP22" s="129" t="e">
        <f t="shared" si="21"/>
        <v>#DIV/0!</v>
      </c>
      <c r="AQ22" s="61"/>
      <c r="AR22" s="61"/>
      <c r="AS22" s="129" t="e">
        <f t="shared" si="4"/>
        <v>#DIV/0!</v>
      </c>
      <c r="AT22" s="61">
        <f t="shared" si="22"/>
        <v>0</v>
      </c>
      <c r="AU22" s="61">
        <f t="shared" si="23"/>
        <v>4433</v>
      </c>
      <c r="AV22" s="129" t="e">
        <f t="shared" si="24"/>
        <v>#DIV/0!</v>
      </c>
      <c r="AW22" s="61">
        <v>5806.24</v>
      </c>
      <c r="AX22" s="61">
        <v>433</v>
      </c>
      <c r="AY22" s="129">
        <f t="shared" si="25"/>
        <v>-0.925425059935518</v>
      </c>
      <c r="AZ22" s="61">
        <f t="shared" si="26"/>
        <v>5806.24</v>
      </c>
      <c r="BA22" s="61">
        <f t="shared" si="27"/>
        <v>4866</v>
      </c>
      <c r="BB22" s="129">
        <f t="shared" si="28"/>
        <v>-0.161936123894293</v>
      </c>
      <c r="BC22" s="60">
        <v>5640</v>
      </c>
      <c r="BD22" s="48">
        <v>2295</v>
      </c>
      <c r="BE22" s="48">
        <v>5066</v>
      </c>
      <c r="BF22" s="48"/>
      <c r="BG22" s="48">
        <v>18807.24</v>
      </c>
      <c r="BH22" s="49" t="e">
        <f t="shared" si="29"/>
        <v>#DIV/0!</v>
      </c>
      <c r="BI22" s="67"/>
      <c r="BJ22" s="67"/>
    </row>
    <row r="23" spans="1:62">
      <c r="A23" s="42" t="s">
        <v>252</v>
      </c>
      <c r="B23" s="137" t="s">
        <v>252</v>
      </c>
      <c r="C23" s="53" t="s">
        <v>118</v>
      </c>
      <c r="D23" s="170" t="s">
        <v>60</v>
      </c>
      <c r="E23" s="170" t="s">
        <v>60</v>
      </c>
      <c r="F23" s="126" t="s">
        <v>262</v>
      </c>
      <c r="G23" s="53"/>
      <c r="H23" s="61" t="s">
        <v>263</v>
      </c>
      <c r="I23" s="61"/>
      <c r="J23" s="42"/>
      <c r="K23" s="42"/>
      <c r="L23" s="129" t="e">
        <f t="shared" si="5"/>
        <v>#DIV/0!</v>
      </c>
      <c r="M23" s="139"/>
      <c r="N23" s="139">
        <v>12400.68</v>
      </c>
      <c r="O23" s="129" t="e">
        <f t="shared" si="0"/>
        <v>#DIV/0!</v>
      </c>
      <c r="P23" s="139">
        <f t="shared" si="6"/>
        <v>0</v>
      </c>
      <c r="Q23" s="139">
        <f t="shared" si="7"/>
        <v>12400.68</v>
      </c>
      <c r="R23" s="129" t="e">
        <f t="shared" si="1"/>
        <v>#DIV/0!</v>
      </c>
      <c r="S23" s="61"/>
      <c r="T23" s="61">
        <v>3939.44</v>
      </c>
      <c r="U23" s="129" t="e">
        <f t="shared" si="2"/>
        <v>#DIV/0!</v>
      </c>
      <c r="V23" s="60">
        <f t="shared" si="8"/>
        <v>0</v>
      </c>
      <c r="W23" s="60">
        <f t="shared" si="9"/>
        <v>16340.12</v>
      </c>
      <c r="X23" s="129" t="e">
        <f t="shared" si="10"/>
        <v>#DIV/0!</v>
      </c>
      <c r="Y23" s="61"/>
      <c r="Z23" s="61"/>
      <c r="AA23" s="129" t="e">
        <f t="shared" si="3"/>
        <v>#DIV/0!</v>
      </c>
      <c r="AB23" s="61">
        <f t="shared" si="11"/>
        <v>0</v>
      </c>
      <c r="AC23" s="61">
        <f t="shared" si="12"/>
        <v>16340.12</v>
      </c>
      <c r="AD23" s="129" t="e">
        <f t="shared" si="13"/>
        <v>#DIV/0!</v>
      </c>
      <c r="AE23" s="61"/>
      <c r="AF23" s="61"/>
      <c r="AG23" s="129" t="e">
        <f t="shared" si="14"/>
        <v>#DIV/0!</v>
      </c>
      <c r="AH23" s="61">
        <f t="shared" si="15"/>
        <v>0</v>
      </c>
      <c r="AI23" s="61">
        <f t="shared" si="16"/>
        <v>16340.12</v>
      </c>
      <c r="AJ23" s="129" t="e">
        <f t="shared" si="17"/>
        <v>#DIV/0!</v>
      </c>
      <c r="AK23" s="60"/>
      <c r="AL23" s="60"/>
      <c r="AM23" s="129" t="e">
        <f t="shared" si="18"/>
        <v>#DIV/0!</v>
      </c>
      <c r="AN23" s="60">
        <f t="shared" si="19"/>
        <v>0</v>
      </c>
      <c r="AO23" s="60">
        <f t="shared" si="20"/>
        <v>16340.12</v>
      </c>
      <c r="AP23" s="129" t="e">
        <f t="shared" si="21"/>
        <v>#DIV/0!</v>
      </c>
      <c r="AQ23" s="61"/>
      <c r="AR23" s="61"/>
      <c r="AS23" s="129" t="e">
        <f t="shared" si="4"/>
        <v>#DIV/0!</v>
      </c>
      <c r="AT23" s="61">
        <f t="shared" si="22"/>
        <v>0</v>
      </c>
      <c r="AU23" s="61">
        <f t="shared" si="23"/>
        <v>16340.12</v>
      </c>
      <c r="AV23" s="129" t="e">
        <f t="shared" si="24"/>
        <v>#DIV/0!</v>
      </c>
      <c r="AW23" s="61">
        <v>662.33</v>
      </c>
      <c r="AX23" s="61"/>
      <c r="AY23" s="129">
        <f t="shared" si="25"/>
        <v>-1</v>
      </c>
      <c r="AZ23" s="61">
        <f t="shared" si="26"/>
        <v>662.33</v>
      </c>
      <c r="BA23" s="61">
        <f t="shared" si="27"/>
        <v>16340.12</v>
      </c>
      <c r="BB23" s="129">
        <f t="shared" si="28"/>
        <v>23.6706626606072</v>
      </c>
      <c r="BC23" s="60">
        <v>10457.72</v>
      </c>
      <c r="BD23" s="48">
        <v>1246.6</v>
      </c>
      <c r="BE23" s="48"/>
      <c r="BF23" s="48"/>
      <c r="BG23" s="48">
        <v>12366.65</v>
      </c>
      <c r="BH23" s="49" t="e">
        <f t="shared" si="29"/>
        <v>#DIV/0!</v>
      </c>
      <c r="BI23" s="67"/>
      <c r="BJ23" s="67"/>
    </row>
    <row r="24" spans="1:62">
      <c r="A24" s="42" t="s">
        <v>252</v>
      </c>
      <c r="B24" s="137" t="s">
        <v>256</v>
      </c>
      <c r="C24" s="53" t="s">
        <v>290</v>
      </c>
      <c r="D24" s="170" t="s">
        <v>60</v>
      </c>
      <c r="E24" s="170" t="s">
        <v>60</v>
      </c>
      <c r="F24" s="126" t="s">
        <v>258</v>
      </c>
      <c r="G24" s="53" t="s">
        <v>268</v>
      </c>
      <c r="H24" s="61" t="s">
        <v>260</v>
      </c>
      <c r="I24" s="61"/>
      <c r="J24" s="42"/>
      <c r="K24" s="42">
        <v>5688</v>
      </c>
      <c r="L24" s="129" t="e">
        <f t="shared" si="5"/>
        <v>#DIV/0!</v>
      </c>
      <c r="M24" s="139"/>
      <c r="N24" s="139"/>
      <c r="O24" s="129" t="e">
        <f t="shared" si="0"/>
        <v>#DIV/0!</v>
      </c>
      <c r="P24" s="139">
        <f t="shared" si="6"/>
        <v>0</v>
      </c>
      <c r="Q24" s="139">
        <f t="shared" si="7"/>
        <v>5688</v>
      </c>
      <c r="R24" s="129" t="e">
        <f t="shared" si="1"/>
        <v>#DIV/0!</v>
      </c>
      <c r="S24" s="61"/>
      <c r="T24" s="61">
        <v>2300</v>
      </c>
      <c r="U24" s="129" t="e">
        <f t="shared" si="2"/>
        <v>#DIV/0!</v>
      </c>
      <c r="V24" s="60">
        <f t="shared" si="8"/>
        <v>0</v>
      </c>
      <c r="W24" s="60">
        <f t="shared" si="9"/>
        <v>7988</v>
      </c>
      <c r="X24" s="129" t="e">
        <f t="shared" si="10"/>
        <v>#DIV/0!</v>
      </c>
      <c r="Y24" s="61"/>
      <c r="Z24" s="61"/>
      <c r="AA24" s="129" t="e">
        <f t="shared" si="3"/>
        <v>#DIV/0!</v>
      </c>
      <c r="AB24" s="61">
        <f t="shared" si="11"/>
        <v>0</v>
      </c>
      <c r="AC24" s="61">
        <f t="shared" si="12"/>
        <v>7988</v>
      </c>
      <c r="AD24" s="129" t="e">
        <f t="shared" si="13"/>
        <v>#DIV/0!</v>
      </c>
      <c r="AE24" s="61"/>
      <c r="AF24" s="61"/>
      <c r="AG24" s="129" t="e">
        <f t="shared" si="14"/>
        <v>#DIV/0!</v>
      </c>
      <c r="AH24" s="61">
        <f t="shared" si="15"/>
        <v>0</v>
      </c>
      <c r="AI24" s="61">
        <f t="shared" si="16"/>
        <v>7988</v>
      </c>
      <c r="AJ24" s="129" t="e">
        <f t="shared" si="17"/>
        <v>#DIV/0!</v>
      </c>
      <c r="AK24" s="60"/>
      <c r="AL24" s="60"/>
      <c r="AM24" s="129" t="e">
        <f t="shared" si="18"/>
        <v>#DIV/0!</v>
      </c>
      <c r="AN24" s="60">
        <f t="shared" si="19"/>
        <v>0</v>
      </c>
      <c r="AO24" s="60">
        <f t="shared" si="20"/>
        <v>7988</v>
      </c>
      <c r="AP24" s="129" t="e">
        <f t="shared" si="21"/>
        <v>#DIV/0!</v>
      </c>
      <c r="AQ24" s="61"/>
      <c r="AR24" s="61"/>
      <c r="AS24" s="129" t="e">
        <f t="shared" si="4"/>
        <v>#DIV/0!</v>
      </c>
      <c r="AT24" s="61">
        <f t="shared" si="22"/>
        <v>0</v>
      </c>
      <c r="AU24" s="61">
        <f t="shared" si="23"/>
        <v>7988</v>
      </c>
      <c r="AV24" s="129" t="e">
        <f t="shared" si="24"/>
        <v>#DIV/0!</v>
      </c>
      <c r="AW24" s="61"/>
      <c r="AX24" s="61"/>
      <c r="AY24" s="129" t="e">
        <f t="shared" si="25"/>
        <v>#DIV/0!</v>
      </c>
      <c r="AZ24" s="61">
        <f t="shared" si="26"/>
        <v>0</v>
      </c>
      <c r="BA24" s="61">
        <f t="shared" si="27"/>
        <v>7988</v>
      </c>
      <c r="BB24" s="129" t="e">
        <f t="shared" si="28"/>
        <v>#DIV/0!</v>
      </c>
      <c r="BC24" s="60"/>
      <c r="BD24" s="48"/>
      <c r="BE24" s="48">
        <v>4405</v>
      </c>
      <c r="BF24" s="48"/>
      <c r="BG24" s="48">
        <v>4405</v>
      </c>
      <c r="BH24" s="49" t="e">
        <f t="shared" si="29"/>
        <v>#DIV/0!</v>
      </c>
      <c r="BI24" s="67"/>
      <c r="BJ24" s="67"/>
    </row>
    <row r="25" spans="1:62">
      <c r="A25" s="42" t="s">
        <v>252</v>
      </c>
      <c r="B25" s="137" t="s">
        <v>252</v>
      </c>
      <c r="C25" s="53" t="s">
        <v>291</v>
      </c>
      <c r="D25" s="170" t="s">
        <v>60</v>
      </c>
      <c r="E25" s="170" t="s">
        <v>60</v>
      </c>
      <c r="F25" s="126" t="s">
        <v>262</v>
      </c>
      <c r="G25" s="53" t="s">
        <v>283</v>
      </c>
      <c r="H25" s="61" t="s">
        <v>263</v>
      </c>
      <c r="I25" s="61"/>
      <c r="J25" s="42"/>
      <c r="K25" s="42"/>
      <c r="L25" s="129" t="e">
        <f t="shared" si="5"/>
        <v>#DIV/0!</v>
      </c>
      <c r="M25" s="139"/>
      <c r="N25" s="139"/>
      <c r="O25" s="129" t="e">
        <f t="shared" si="0"/>
        <v>#DIV/0!</v>
      </c>
      <c r="P25" s="139">
        <f t="shared" si="6"/>
        <v>0</v>
      </c>
      <c r="Q25" s="139">
        <f t="shared" si="7"/>
        <v>0</v>
      </c>
      <c r="R25" s="129" t="e">
        <f t="shared" si="1"/>
        <v>#DIV/0!</v>
      </c>
      <c r="S25" s="61"/>
      <c r="T25" s="61"/>
      <c r="U25" s="129" t="e">
        <f t="shared" si="2"/>
        <v>#DIV/0!</v>
      </c>
      <c r="V25" s="60">
        <f t="shared" si="8"/>
        <v>0</v>
      </c>
      <c r="W25" s="60">
        <f t="shared" si="9"/>
        <v>0</v>
      </c>
      <c r="X25" s="129" t="e">
        <f t="shared" si="10"/>
        <v>#DIV/0!</v>
      </c>
      <c r="Y25" s="61"/>
      <c r="Z25" s="61"/>
      <c r="AA25" s="129" t="e">
        <f t="shared" si="3"/>
        <v>#DIV/0!</v>
      </c>
      <c r="AB25" s="61">
        <f t="shared" si="11"/>
        <v>0</v>
      </c>
      <c r="AC25" s="61">
        <f t="shared" si="12"/>
        <v>0</v>
      </c>
      <c r="AD25" s="129" t="e">
        <f t="shared" si="13"/>
        <v>#DIV/0!</v>
      </c>
      <c r="AE25" s="61"/>
      <c r="AF25" s="61"/>
      <c r="AG25" s="129" t="e">
        <f t="shared" si="14"/>
        <v>#DIV/0!</v>
      </c>
      <c r="AH25" s="61">
        <f t="shared" si="15"/>
        <v>0</v>
      </c>
      <c r="AI25" s="61">
        <f t="shared" si="16"/>
        <v>0</v>
      </c>
      <c r="AJ25" s="129" t="e">
        <f t="shared" si="17"/>
        <v>#DIV/0!</v>
      </c>
      <c r="AK25" s="60"/>
      <c r="AL25" s="60"/>
      <c r="AM25" s="129" t="e">
        <f t="shared" si="18"/>
        <v>#DIV/0!</v>
      </c>
      <c r="AN25" s="60">
        <f t="shared" si="19"/>
        <v>0</v>
      </c>
      <c r="AO25" s="60">
        <f t="shared" si="20"/>
        <v>0</v>
      </c>
      <c r="AP25" s="129" t="e">
        <f t="shared" si="21"/>
        <v>#DIV/0!</v>
      </c>
      <c r="AQ25" s="61"/>
      <c r="AR25" s="61"/>
      <c r="AS25" s="129" t="e">
        <f t="shared" si="4"/>
        <v>#DIV/0!</v>
      </c>
      <c r="AT25" s="61">
        <f t="shared" si="22"/>
        <v>0</v>
      </c>
      <c r="AU25" s="61">
        <f t="shared" si="23"/>
        <v>0</v>
      </c>
      <c r="AV25" s="129" t="e">
        <f t="shared" si="24"/>
        <v>#DIV/0!</v>
      </c>
      <c r="AW25" s="61"/>
      <c r="AX25" s="61"/>
      <c r="AY25" s="129" t="e">
        <f t="shared" si="25"/>
        <v>#DIV/0!</v>
      </c>
      <c r="AZ25" s="61">
        <f t="shared" si="26"/>
        <v>0</v>
      </c>
      <c r="BA25" s="61">
        <f t="shared" si="27"/>
        <v>0</v>
      </c>
      <c r="BB25" s="129" t="e">
        <f t="shared" si="28"/>
        <v>#DIV/0!</v>
      </c>
      <c r="BC25" s="60"/>
      <c r="BD25" s="48">
        <v>10000</v>
      </c>
      <c r="BE25" s="48"/>
      <c r="BF25" s="48"/>
      <c r="BG25" s="48">
        <v>10000</v>
      </c>
      <c r="BH25" s="49" t="e">
        <f t="shared" si="29"/>
        <v>#DIV/0!</v>
      </c>
      <c r="BI25" s="67"/>
      <c r="BJ25" s="67"/>
    </row>
    <row r="26" spans="1:62">
      <c r="A26" s="42" t="s">
        <v>252</v>
      </c>
      <c r="B26" s="137" t="s">
        <v>252</v>
      </c>
      <c r="C26" s="65" t="s">
        <v>292</v>
      </c>
      <c r="D26" s="170" t="s">
        <v>60</v>
      </c>
      <c r="E26" s="170" t="s">
        <v>60</v>
      </c>
      <c r="F26" s="126" t="s">
        <v>262</v>
      </c>
      <c r="G26" s="53" t="s">
        <v>283</v>
      </c>
      <c r="H26" s="61" t="s">
        <v>263</v>
      </c>
      <c r="I26" s="61"/>
      <c r="J26" s="42"/>
      <c r="K26" s="42"/>
      <c r="L26" s="129"/>
      <c r="M26" s="139"/>
      <c r="N26" s="139"/>
      <c r="O26" s="129"/>
      <c r="P26" s="139"/>
      <c r="Q26" s="139"/>
      <c r="R26" s="129"/>
      <c r="S26" s="61"/>
      <c r="T26" s="61"/>
      <c r="U26" s="129"/>
      <c r="V26" s="60"/>
      <c r="W26" s="60"/>
      <c r="X26" s="129"/>
      <c r="Y26" s="61"/>
      <c r="Z26" s="61"/>
      <c r="AA26" s="129"/>
      <c r="AB26" s="61"/>
      <c r="AC26" s="61"/>
      <c r="AD26" s="129"/>
      <c r="AE26" s="61"/>
      <c r="AF26" s="61">
        <v>10781</v>
      </c>
      <c r="AG26" s="129" t="e">
        <f t="shared" si="14"/>
        <v>#DIV/0!</v>
      </c>
      <c r="AH26" s="61">
        <f t="shared" si="15"/>
        <v>0</v>
      </c>
      <c r="AI26" s="61">
        <f t="shared" si="16"/>
        <v>10781</v>
      </c>
      <c r="AJ26" s="129" t="e">
        <f t="shared" si="17"/>
        <v>#DIV/0!</v>
      </c>
      <c r="AK26" s="60"/>
      <c r="AL26" s="60">
        <v>11769</v>
      </c>
      <c r="AM26" s="129" t="e">
        <f t="shared" si="18"/>
        <v>#DIV/0!</v>
      </c>
      <c r="AN26" s="60">
        <f t="shared" si="19"/>
        <v>0</v>
      </c>
      <c r="AO26" s="60">
        <f t="shared" si="20"/>
        <v>22550</v>
      </c>
      <c r="AP26" s="129" t="e">
        <f t="shared" si="21"/>
        <v>#DIV/0!</v>
      </c>
      <c r="AQ26" s="61"/>
      <c r="AR26" s="61">
        <v>22469</v>
      </c>
      <c r="AS26" s="129" t="e">
        <f t="shared" si="4"/>
        <v>#DIV/0!</v>
      </c>
      <c r="AT26" s="61">
        <f t="shared" si="22"/>
        <v>0</v>
      </c>
      <c r="AU26" s="61">
        <f t="shared" si="23"/>
        <v>45019</v>
      </c>
      <c r="AV26" s="129" t="e">
        <f t="shared" si="24"/>
        <v>#DIV/0!</v>
      </c>
      <c r="AW26" s="61"/>
      <c r="AX26" s="61">
        <v>2200</v>
      </c>
      <c r="AY26" s="129" t="e">
        <f t="shared" si="25"/>
        <v>#DIV/0!</v>
      </c>
      <c r="AZ26" s="61">
        <f t="shared" si="26"/>
        <v>0</v>
      </c>
      <c r="BA26" s="61">
        <f t="shared" si="27"/>
        <v>47219</v>
      </c>
      <c r="BB26" s="129" t="e">
        <f t="shared" si="28"/>
        <v>#DIV/0!</v>
      </c>
      <c r="BC26" s="60"/>
      <c r="BD26" s="48"/>
      <c r="BE26" s="48"/>
      <c r="BF26" s="48"/>
      <c r="BG26" s="48"/>
      <c r="BH26" s="49" t="e">
        <f t="shared" si="29"/>
        <v>#DIV/0!</v>
      </c>
      <c r="BI26" s="67"/>
      <c r="BJ26" s="67"/>
    </row>
    <row r="27" spans="1:62">
      <c r="A27" s="42" t="s">
        <v>252</v>
      </c>
      <c r="B27" s="137" t="s">
        <v>252</v>
      </c>
      <c r="C27" s="65" t="s">
        <v>293</v>
      </c>
      <c r="D27" s="170" t="s">
        <v>60</v>
      </c>
      <c r="E27" s="170" t="s">
        <v>60</v>
      </c>
      <c r="F27" s="126" t="s">
        <v>254</v>
      </c>
      <c r="G27" s="53"/>
      <c r="H27" s="61" t="s">
        <v>255</v>
      </c>
      <c r="I27" s="61">
        <v>10</v>
      </c>
      <c r="J27" s="42"/>
      <c r="K27" s="42"/>
      <c r="L27" s="129"/>
      <c r="M27" s="139"/>
      <c r="N27" s="139"/>
      <c r="O27" s="129"/>
      <c r="P27" s="139"/>
      <c r="Q27" s="139"/>
      <c r="R27" s="129"/>
      <c r="S27" s="61"/>
      <c r="T27" s="61"/>
      <c r="U27" s="129"/>
      <c r="V27" s="60"/>
      <c r="W27" s="60"/>
      <c r="X27" s="129"/>
      <c r="Y27" s="61"/>
      <c r="Z27" s="61"/>
      <c r="AA27" s="129"/>
      <c r="AB27" s="61"/>
      <c r="AC27" s="61"/>
      <c r="AD27" s="129"/>
      <c r="AE27" s="61"/>
      <c r="AF27" s="61">
        <v>20000</v>
      </c>
      <c r="AG27" s="129" t="e">
        <f t="shared" si="14"/>
        <v>#DIV/0!</v>
      </c>
      <c r="AH27" s="61">
        <f t="shared" si="15"/>
        <v>0</v>
      </c>
      <c r="AI27" s="61">
        <f t="shared" si="16"/>
        <v>20000</v>
      </c>
      <c r="AJ27" s="129" t="e">
        <f t="shared" si="17"/>
        <v>#DIV/0!</v>
      </c>
      <c r="AK27" s="60"/>
      <c r="AL27" s="60"/>
      <c r="AM27" s="129" t="e">
        <f t="shared" si="18"/>
        <v>#DIV/0!</v>
      </c>
      <c r="AN27" s="60">
        <f t="shared" si="19"/>
        <v>0</v>
      </c>
      <c r="AO27" s="60">
        <f t="shared" si="20"/>
        <v>20000</v>
      </c>
      <c r="AP27" s="129" t="e">
        <f t="shared" si="21"/>
        <v>#DIV/0!</v>
      </c>
      <c r="AQ27" s="61"/>
      <c r="AR27" s="61"/>
      <c r="AS27" s="129" t="e">
        <f t="shared" si="4"/>
        <v>#DIV/0!</v>
      </c>
      <c r="AT27" s="61">
        <f t="shared" si="22"/>
        <v>0</v>
      </c>
      <c r="AU27" s="61">
        <f t="shared" si="23"/>
        <v>20000</v>
      </c>
      <c r="AV27" s="129" t="e">
        <f t="shared" si="24"/>
        <v>#DIV/0!</v>
      </c>
      <c r="AW27" s="61"/>
      <c r="AX27" s="61"/>
      <c r="AY27" s="129" t="e">
        <f t="shared" si="25"/>
        <v>#DIV/0!</v>
      </c>
      <c r="AZ27" s="61">
        <f t="shared" si="26"/>
        <v>0</v>
      </c>
      <c r="BA27" s="61">
        <f t="shared" si="27"/>
        <v>20000</v>
      </c>
      <c r="BB27" s="129" t="e">
        <f t="shared" si="28"/>
        <v>#DIV/0!</v>
      </c>
      <c r="BC27" s="60"/>
      <c r="BD27" s="48"/>
      <c r="BE27" s="48"/>
      <c r="BF27" s="48"/>
      <c r="BG27" s="48"/>
      <c r="BH27" s="49">
        <f t="shared" si="29"/>
        <v>0.2</v>
      </c>
      <c r="BI27" s="67"/>
      <c r="BJ27" s="67"/>
    </row>
    <row r="28" ht="15" spans="1:62">
      <c r="A28" s="42" t="s">
        <v>252</v>
      </c>
      <c r="B28" s="137" t="s">
        <v>252</v>
      </c>
      <c r="C28" s="53" t="s">
        <v>294</v>
      </c>
      <c r="D28" s="170" t="s">
        <v>60</v>
      </c>
      <c r="E28" s="170" t="s">
        <v>60</v>
      </c>
      <c r="F28" s="126" t="s">
        <v>262</v>
      </c>
      <c r="G28" s="53"/>
      <c r="H28" s="61" t="s">
        <v>263</v>
      </c>
      <c r="I28" s="175">
        <v>10</v>
      </c>
      <c r="J28" s="42"/>
      <c r="K28" s="42">
        <v>4928</v>
      </c>
      <c r="L28" s="129" t="e">
        <f>K28/J28-1</f>
        <v>#DIV/0!</v>
      </c>
      <c r="M28" s="139"/>
      <c r="N28" s="139"/>
      <c r="O28" s="129" t="e">
        <f>N28/M28-1</f>
        <v>#DIV/0!</v>
      </c>
      <c r="P28" s="139">
        <f>M28+J28</f>
        <v>0</v>
      </c>
      <c r="Q28" s="139">
        <f>N28+K28</f>
        <v>4928</v>
      </c>
      <c r="R28" s="129" t="e">
        <f>Q28/P28-1</f>
        <v>#DIV/0!</v>
      </c>
      <c r="S28" s="61"/>
      <c r="T28" s="61">
        <v>22339</v>
      </c>
      <c r="U28" s="129" t="e">
        <f>T28/S28-1</f>
        <v>#DIV/0!</v>
      </c>
      <c r="V28" s="60">
        <f>S28+P28</f>
        <v>0</v>
      </c>
      <c r="W28" s="60">
        <f>T28+Q28</f>
        <v>27267</v>
      </c>
      <c r="X28" s="129" t="e">
        <f>W28/V28-1</f>
        <v>#DIV/0!</v>
      </c>
      <c r="Y28" s="61"/>
      <c r="Z28" s="61"/>
      <c r="AA28" s="129" t="e">
        <f>Z28/Y28-1</f>
        <v>#DIV/0!</v>
      </c>
      <c r="AB28" s="61">
        <f>Y28+V28</f>
        <v>0</v>
      </c>
      <c r="AC28" s="61">
        <f>Z28+W28</f>
        <v>27267</v>
      </c>
      <c r="AD28" s="129" t="e">
        <f>AC28/AB28-1</f>
        <v>#DIV/0!</v>
      </c>
      <c r="AE28" s="61"/>
      <c r="AF28" s="61"/>
      <c r="AG28" s="129" t="e">
        <f t="shared" si="14"/>
        <v>#DIV/0!</v>
      </c>
      <c r="AH28" s="61">
        <f t="shared" si="15"/>
        <v>0</v>
      </c>
      <c r="AI28" s="61">
        <f t="shared" si="16"/>
        <v>27267</v>
      </c>
      <c r="AJ28" s="129" t="e">
        <f t="shared" si="17"/>
        <v>#DIV/0!</v>
      </c>
      <c r="AK28" s="60"/>
      <c r="AL28" s="60"/>
      <c r="AM28" s="129" t="e">
        <f t="shared" si="18"/>
        <v>#DIV/0!</v>
      </c>
      <c r="AN28" s="60">
        <f t="shared" si="19"/>
        <v>0</v>
      </c>
      <c r="AO28" s="60">
        <f t="shared" si="20"/>
        <v>27267</v>
      </c>
      <c r="AP28" s="129" t="e">
        <f t="shared" si="21"/>
        <v>#DIV/0!</v>
      </c>
      <c r="AQ28" s="61"/>
      <c r="AR28" s="61"/>
      <c r="AS28" s="129" t="e">
        <f t="shared" si="4"/>
        <v>#DIV/0!</v>
      </c>
      <c r="AT28" s="61">
        <f t="shared" si="22"/>
        <v>0</v>
      </c>
      <c r="AU28" s="61">
        <f t="shared" si="23"/>
        <v>27267</v>
      </c>
      <c r="AV28" s="129" t="e">
        <f t="shared" si="24"/>
        <v>#DIV/0!</v>
      </c>
      <c r="AW28" s="61"/>
      <c r="AX28" s="61"/>
      <c r="AY28" s="129" t="e">
        <f t="shared" si="25"/>
        <v>#DIV/0!</v>
      </c>
      <c r="AZ28" s="61">
        <f t="shared" si="26"/>
        <v>0</v>
      </c>
      <c r="BA28" s="61">
        <f t="shared" si="27"/>
        <v>27267</v>
      </c>
      <c r="BB28" s="129" t="e">
        <f t="shared" si="28"/>
        <v>#DIV/0!</v>
      </c>
      <c r="BC28" s="60"/>
      <c r="BD28" s="48"/>
      <c r="BE28" s="48">
        <v>20000</v>
      </c>
      <c r="BF28" s="48">
        <v>14207</v>
      </c>
      <c r="BG28" s="48">
        <v>34207</v>
      </c>
      <c r="BH28" s="49">
        <f t="shared" si="29"/>
        <v>0.27267</v>
      </c>
      <c r="BI28" s="67"/>
      <c r="BJ28" s="67"/>
    </row>
    <row r="29" spans="1:62">
      <c r="A29" s="42" t="s">
        <v>252</v>
      </c>
      <c r="B29" s="137" t="s">
        <v>252</v>
      </c>
      <c r="C29" s="53" t="s">
        <v>295</v>
      </c>
      <c r="D29" s="170" t="s">
        <v>60</v>
      </c>
      <c r="E29" s="170" t="s">
        <v>60</v>
      </c>
      <c r="F29" s="126" t="s">
        <v>262</v>
      </c>
      <c r="G29" s="53"/>
      <c r="H29" s="61" t="s">
        <v>263</v>
      </c>
      <c r="I29" s="176">
        <v>54</v>
      </c>
      <c r="J29" s="42"/>
      <c r="K29" s="42"/>
      <c r="L29" s="129"/>
      <c r="M29" s="139"/>
      <c r="N29" s="139"/>
      <c r="O29" s="129"/>
      <c r="P29" s="139"/>
      <c r="Q29" s="139"/>
      <c r="R29" s="129"/>
      <c r="S29" s="61"/>
      <c r="T29" s="61"/>
      <c r="U29" s="129"/>
      <c r="V29" s="60"/>
      <c r="W29" s="60"/>
      <c r="X29" s="129"/>
      <c r="Y29" s="61"/>
      <c r="Z29" s="61">
        <v>150000</v>
      </c>
      <c r="AA29" s="129" t="e">
        <f>Z29/Y29-1</f>
        <v>#DIV/0!</v>
      </c>
      <c r="AB29" s="61">
        <f>Y29+V29</f>
        <v>0</v>
      </c>
      <c r="AC29" s="61">
        <f>Z29+W29</f>
        <v>150000</v>
      </c>
      <c r="AD29" s="129" t="e">
        <f>AC29/AB29-1</f>
        <v>#DIV/0!</v>
      </c>
      <c r="AE29" s="61"/>
      <c r="AF29" s="61"/>
      <c r="AG29" s="129" t="e">
        <f t="shared" si="14"/>
        <v>#DIV/0!</v>
      </c>
      <c r="AH29" s="61">
        <f t="shared" si="15"/>
        <v>0</v>
      </c>
      <c r="AI29" s="61">
        <f t="shared" si="16"/>
        <v>150000</v>
      </c>
      <c r="AJ29" s="129" t="e">
        <f t="shared" si="17"/>
        <v>#DIV/0!</v>
      </c>
      <c r="AK29" s="60"/>
      <c r="AL29" s="60"/>
      <c r="AM29" s="129" t="e">
        <f t="shared" si="18"/>
        <v>#DIV/0!</v>
      </c>
      <c r="AN29" s="60">
        <f t="shared" si="19"/>
        <v>0</v>
      </c>
      <c r="AO29" s="60">
        <f t="shared" si="20"/>
        <v>150000</v>
      </c>
      <c r="AP29" s="129" t="e">
        <f t="shared" si="21"/>
        <v>#DIV/0!</v>
      </c>
      <c r="AQ29" s="61"/>
      <c r="AR29" s="61"/>
      <c r="AS29" s="129" t="e">
        <f t="shared" si="4"/>
        <v>#DIV/0!</v>
      </c>
      <c r="AT29" s="61">
        <f t="shared" si="22"/>
        <v>0</v>
      </c>
      <c r="AU29" s="61">
        <f t="shared" si="23"/>
        <v>150000</v>
      </c>
      <c r="AV29" s="129" t="e">
        <f t="shared" si="24"/>
        <v>#DIV/0!</v>
      </c>
      <c r="AW29" s="61"/>
      <c r="AX29" s="61"/>
      <c r="AY29" s="129" t="e">
        <f t="shared" si="25"/>
        <v>#DIV/0!</v>
      </c>
      <c r="AZ29" s="61">
        <f t="shared" si="26"/>
        <v>0</v>
      </c>
      <c r="BA29" s="61">
        <f t="shared" si="27"/>
        <v>150000</v>
      </c>
      <c r="BB29" s="129" t="e">
        <f t="shared" si="28"/>
        <v>#DIV/0!</v>
      </c>
      <c r="BC29" s="60"/>
      <c r="BD29" s="48"/>
      <c r="BE29" s="48"/>
      <c r="BF29" s="48"/>
      <c r="BG29" s="48"/>
      <c r="BH29" s="49">
        <f t="shared" si="29"/>
        <v>0.277777777777778</v>
      </c>
      <c r="BI29" s="67"/>
      <c r="BJ29" s="67"/>
    </row>
    <row r="30" spans="1:62">
      <c r="A30" s="42" t="s">
        <v>252</v>
      </c>
      <c r="B30" s="137" t="s">
        <v>252</v>
      </c>
      <c r="C30" s="53" t="s">
        <v>296</v>
      </c>
      <c r="D30" s="170" t="s">
        <v>60</v>
      </c>
      <c r="E30" s="170" t="s">
        <v>60</v>
      </c>
      <c r="F30" s="126" t="s">
        <v>262</v>
      </c>
      <c r="G30" s="53"/>
      <c r="H30" s="61" t="s">
        <v>263</v>
      </c>
      <c r="I30" s="176"/>
      <c r="J30" s="42"/>
      <c r="K30" s="42"/>
      <c r="L30" s="129"/>
      <c r="M30" s="139"/>
      <c r="N30" s="139"/>
      <c r="O30" s="129"/>
      <c r="P30" s="139"/>
      <c r="Q30" s="139"/>
      <c r="R30" s="129"/>
      <c r="S30" s="61"/>
      <c r="T30" s="61"/>
      <c r="U30" s="129"/>
      <c r="V30" s="60"/>
      <c r="W30" s="60"/>
      <c r="X30" s="129"/>
      <c r="Y30" s="61"/>
      <c r="Z30" s="61"/>
      <c r="AA30" s="129"/>
      <c r="AB30" s="61"/>
      <c r="AC30" s="61"/>
      <c r="AD30" s="129"/>
      <c r="AE30" s="61"/>
      <c r="AF30" s="61"/>
      <c r="AG30" s="129"/>
      <c r="AH30" s="61"/>
      <c r="AI30" s="61"/>
      <c r="AJ30" s="129"/>
      <c r="AK30" s="60"/>
      <c r="AL30" s="60"/>
      <c r="AM30" s="129"/>
      <c r="AN30" s="60"/>
      <c r="AO30" s="60"/>
      <c r="AP30" s="129"/>
      <c r="AQ30" s="61"/>
      <c r="AR30" s="61">
        <v>1918</v>
      </c>
      <c r="AS30" s="129" t="e">
        <f t="shared" si="4"/>
        <v>#DIV/0!</v>
      </c>
      <c r="AT30" s="61">
        <f t="shared" si="22"/>
        <v>0</v>
      </c>
      <c r="AU30" s="61">
        <f t="shared" si="23"/>
        <v>1918</v>
      </c>
      <c r="AV30" s="129" t="e">
        <f t="shared" si="24"/>
        <v>#DIV/0!</v>
      </c>
      <c r="AW30" s="61"/>
      <c r="AX30" s="61">
        <v>868</v>
      </c>
      <c r="AY30" s="129" t="e">
        <f t="shared" si="25"/>
        <v>#DIV/0!</v>
      </c>
      <c r="AZ30" s="61">
        <f t="shared" si="26"/>
        <v>0</v>
      </c>
      <c r="BA30" s="61">
        <f t="shared" si="27"/>
        <v>2786</v>
      </c>
      <c r="BB30" s="129" t="e">
        <f t="shared" si="28"/>
        <v>#DIV/0!</v>
      </c>
      <c r="BC30" s="60"/>
      <c r="BD30" s="48"/>
      <c r="BE30" s="48"/>
      <c r="BF30" s="48"/>
      <c r="BG30" s="48"/>
      <c r="BH30" s="49" t="e">
        <f t="shared" si="29"/>
        <v>#DIV/0!</v>
      </c>
      <c r="BI30" s="67"/>
      <c r="BJ30" s="67"/>
    </row>
    <row r="31" spans="1:62">
      <c r="A31" s="42"/>
      <c r="B31" s="137"/>
      <c r="C31" s="53" t="s">
        <v>29</v>
      </c>
      <c r="D31" s="53"/>
      <c r="E31" s="53"/>
      <c r="F31" s="126"/>
      <c r="G31" s="53"/>
      <c r="H31" s="61"/>
      <c r="I31" s="130">
        <f>SUBTOTAL(9,I3:I30)</f>
        <v>899</v>
      </c>
      <c r="J31" s="130">
        <f>SUBTOTAL(9,J3:J29)</f>
        <v>1110866.71</v>
      </c>
      <c r="K31" s="130">
        <f>SUBTOTAL(9,K3:K29)</f>
        <v>802311.19</v>
      </c>
      <c r="L31" s="129">
        <f>K31/J31-1</f>
        <v>-0.277761064601531</v>
      </c>
      <c r="M31" s="130">
        <f>SUBTOTAL(9,M3:M29)</f>
        <v>225264</v>
      </c>
      <c r="N31" s="130">
        <f>SUBTOTAL(9,N3:N29)</f>
        <v>353390.48</v>
      </c>
      <c r="O31" s="129">
        <f>N31/M31-1</f>
        <v>0.568783649406918</v>
      </c>
      <c r="P31" s="130">
        <f>SUBTOTAL(9,P3:P29)</f>
        <v>1336130.71</v>
      </c>
      <c r="Q31" s="130">
        <f>SUBTOTAL(9,Q3:Q29)</f>
        <v>1155701.67</v>
      </c>
      <c r="R31" s="129">
        <f>Q31/P31-1</f>
        <v>-0.135038464911865</v>
      </c>
      <c r="S31" s="130">
        <f>SUBTOTAL(9,S3:S29)</f>
        <v>365888</v>
      </c>
      <c r="T31" s="130">
        <f>SUBTOTAL(9,T3:T29)</f>
        <v>969353.65</v>
      </c>
      <c r="U31" s="129">
        <f>T31/S31-1</f>
        <v>1.64931796068742</v>
      </c>
      <c r="V31" s="130">
        <f>SUBTOTAL(9,V3:V29)</f>
        <v>1702018.71</v>
      </c>
      <c r="W31" s="130">
        <f>SUBTOTAL(9,W3:W29)</f>
        <v>2125055.32</v>
      </c>
      <c r="X31" s="129">
        <f>W31/V31-1</f>
        <v>0.248549917527052</v>
      </c>
      <c r="Y31" s="130">
        <f>SUBTOTAL(9,Y3:Y29)</f>
        <v>648379.45</v>
      </c>
      <c r="Z31" s="130">
        <f t="shared" ref="Z31:AF31" si="30">SUBTOTAL(9,Z3:Z29)</f>
        <v>857787.1</v>
      </c>
      <c r="AA31" s="129">
        <f>Z31/Y31-1</f>
        <v>0.322970831355004</v>
      </c>
      <c r="AB31" s="130">
        <f t="shared" si="30"/>
        <v>2350398.16</v>
      </c>
      <c r="AC31" s="130">
        <f t="shared" si="30"/>
        <v>2982842.42</v>
      </c>
      <c r="AD31" s="129">
        <f>AC31/AB31-1</f>
        <v>0.269079626917339</v>
      </c>
      <c r="AE31" s="130">
        <f t="shared" si="30"/>
        <v>639095.81</v>
      </c>
      <c r="AF31" s="130">
        <f t="shared" si="30"/>
        <v>661714.03</v>
      </c>
      <c r="AG31" s="129">
        <f>AF31/AE31-1</f>
        <v>0.0353909690004071</v>
      </c>
      <c r="AH31" s="130">
        <f t="shared" ref="AH31:AL31" si="31">SUBTOTAL(9,AH3:AH29)</f>
        <v>2989493.97</v>
      </c>
      <c r="AI31" s="130">
        <f t="shared" si="31"/>
        <v>3644556.45</v>
      </c>
      <c r="AJ31" s="129">
        <f>AI31/AH31-1</f>
        <v>0.219121525774478</v>
      </c>
      <c r="AK31" s="130">
        <f t="shared" si="31"/>
        <v>677171.21</v>
      </c>
      <c r="AL31" s="130">
        <f t="shared" si="31"/>
        <v>970845.98</v>
      </c>
      <c r="AM31" s="129">
        <f>AL31/AK31-1</f>
        <v>0.43367875902462</v>
      </c>
      <c r="AN31" s="135">
        <f>SUBTOTAL(9,AN3:AN29)</f>
        <v>3666665.18</v>
      </c>
      <c r="AO31" s="135">
        <f>SUBTOTAL(9,AO3:AO29)</f>
        <v>4615402.43</v>
      </c>
      <c r="AP31" s="129">
        <f>AO31/AN31-1</f>
        <v>0.258746627637269</v>
      </c>
      <c r="AQ31" s="130">
        <f t="shared" ref="AQ31:AU31" si="32">SUBTOTAL(9,AQ3:AQ30)</f>
        <v>658308.08</v>
      </c>
      <c r="AR31" s="136">
        <f t="shared" si="32"/>
        <v>383538.42</v>
      </c>
      <c r="AS31" s="129">
        <f t="shared" si="4"/>
        <v>-0.417387646221812</v>
      </c>
      <c r="AT31" s="136">
        <f t="shared" si="32"/>
        <v>4324973.26</v>
      </c>
      <c r="AU31" s="136">
        <f t="shared" si="32"/>
        <v>4998940.85</v>
      </c>
      <c r="AV31" s="129">
        <f t="shared" si="24"/>
        <v>0.155831620101161</v>
      </c>
      <c r="AW31" s="136">
        <f t="shared" ref="AW31:BA31" si="33">SUBTOTAL(9,AW3:AW30)</f>
        <v>452837.18</v>
      </c>
      <c r="AX31" s="136">
        <f t="shared" si="33"/>
        <v>243092</v>
      </c>
      <c r="AY31" s="129">
        <f t="shared" si="25"/>
        <v>-0.463180121384909</v>
      </c>
      <c r="AZ31" s="136">
        <f t="shared" si="33"/>
        <v>4777810.44</v>
      </c>
      <c r="BA31" s="136">
        <f t="shared" si="33"/>
        <v>5242032.85</v>
      </c>
      <c r="BB31" s="129">
        <f t="shared" si="28"/>
        <v>0.0971621657723198</v>
      </c>
      <c r="BC31" s="179">
        <v>672163.76</v>
      </c>
      <c r="BD31" s="179">
        <v>1095150.97</v>
      </c>
      <c r="BE31" s="179">
        <v>1070992.3</v>
      </c>
      <c r="BF31" s="179">
        <v>1112207.25</v>
      </c>
      <c r="BG31" s="179">
        <v>8728324.72</v>
      </c>
      <c r="BH31" s="49">
        <f t="shared" si="29"/>
        <v>0.583095978865406</v>
      </c>
      <c r="BI31" s="67"/>
      <c r="BJ31" s="67"/>
    </row>
    <row r="32" ht="15" spans="2:60">
      <c r="B32" s="45"/>
      <c r="C32" s="45"/>
      <c r="D32" s="45"/>
      <c r="E32" s="45"/>
      <c r="F32" s="63"/>
      <c r="G32" s="45"/>
      <c r="H32" s="45"/>
      <c r="I32" s="45"/>
      <c r="J32" s="52"/>
      <c r="K32" s="52"/>
      <c r="L32" s="52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177"/>
      <c r="AL32" s="177"/>
      <c r="AM32" s="177"/>
      <c r="AN32" s="177"/>
      <c r="AO32" s="177"/>
      <c r="AP32" s="177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177"/>
      <c r="BD32" s="45"/>
      <c r="BE32" s="45"/>
      <c r="BF32" s="45"/>
      <c r="BG32" s="45"/>
      <c r="BH32" s="45"/>
    </row>
  </sheetData>
  <mergeCells count="40">
    <mergeCell ref="J1:K1"/>
    <mergeCell ref="M1:N1"/>
    <mergeCell ref="P1:Q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T1:AU1"/>
    <mergeCell ref="AW1:AX1"/>
    <mergeCell ref="AZ1:BA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L1:L2"/>
    <mergeCell ref="O1:O2"/>
    <mergeCell ref="R1:R2"/>
    <mergeCell ref="U1:U2"/>
    <mergeCell ref="X1:X2"/>
    <mergeCell ref="AA1:AA2"/>
    <mergeCell ref="AD1:AD2"/>
    <mergeCell ref="AG1:AG2"/>
    <mergeCell ref="AJ1:AJ2"/>
    <mergeCell ref="AM1:AM2"/>
    <mergeCell ref="AP1:AP2"/>
    <mergeCell ref="AS1:AS2"/>
    <mergeCell ref="AV1:AV2"/>
    <mergeCell ref="AY1:AY2"/>
    <mergeCell ref="BB1:BB2"/>
    <mergeCell ref="BH1:BH2"/>
  </mergeCell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FFC000"/>
  </sheetPr>
  <dimension ref="A1:BW63"/>
  <sheetViews>
    <sheetView topLeftCell="B1" workbookViewId="0">
      <pane xSplit="9" ySplit="2" topLeftCell="AW48" activePane="bottomRight" state="frozen"/>
      <selection/>
      <selection pane="topRight"/>
      <selection pane="bottomLeft"/>
      <selection pane="bottomRight" activeCell="D79" sqref="D79"/>
    </sheetView>
  </sheetViews>
  <sheetFormatPr defaultColWidth="9" defaultRowHeight="14"/>
  <cols>
    <col min="1" max="3" width="3.62727272727273" style="140" customWidth="1"/>
    <col min="4" max="4" width="27.1272727272727" style="109" customWidth="1"/>
    <col min="5" max="7" width="8.37272727272727" style="140" customWidth="1"/>
    <col min="8" max="10" width="8.25454545454545" style="140" customWidth="1"/>
    <col min="11" max="19" width="9" style="111" customWidth="1"/>
    <col min="20" max="25" width="9.87272727272727" style="140" customWidth="1"/>
    <col min="26" max="28" width="9" style="111" customWidth="1"/>
    <col min="29" max="30" width="11.1272727272727" style="111" customWidth="1"/>
    <col min="31" max="31" width="9" style="111" customWidth="1"/>
    <col min="32" max="37" width="10.1272727272727" style="111" customWidth="1"/>
    <col min="38" max="55" width="11.1272727272727" style="111" customWidth="1"/>
    <col min="56" max="56" width="9.12727272727273" style="111" hidden="1" customWidth="1"/>
    <col min="57" max="57" width="11.1272727272727" style="111" hidden="1" customWidth="1"/>
    <col min="58" max="58" width="10.1272727272727" style="111" hidden="1" customWidth="1"/>
    <col min="59" max="60" width="11.1272727272727" style="111" hidden="1" customWidth="1"/>
    <col min="61" max="61" width="11.1272727272727" style="111"/>
    <col min="62" max="62" width="9" style="111" customWidth="1"/>
    <col min="63" max="16339" width="9" style="140"/>
  </cols>
  <sheetData>
    <row r="1" ht="12.75" customHeight="1" spans="1:62">
      <c r="A1" s="116" t="s">
        <v>44</v>
      </c>
      <c r="B1" s="116"/>
      <c r="C1" s="116"/>
      <c r="D1" s="115" t="s">
        <v>45</v>
      </c>
      <c r="E1" s="116" t="s">
        <v>46</v>
      </c>
      <c r="F1" s="116" t="s">
        <v>47</v>
      </c>
      <c r="G1" s="116" t="s">
        <v>48</v>
      </c>
      <c r="H1" s="116" t="s">
        <v>49</v>
      </c>
      <c r="I1" s="153" t="s">
        <v>50</v>
      </c>
      <c r="J1" s="154" t="s">
        <v>36</v>
      </c>
      <c r="K1" s="87" t="s">
        <v>3</v>
      </c>
      <c r="L1" s="88"/>
      <c r="M1" s="89" t="s">
        <v>4</v>
      </c>
      <c r="N1" s="55" t="s">
        <v>5</v>
      </c>
      <c r="O1" s="55"/>
      <c r="P1" s="56" t="s">
        <v>4</v>
      </c>
      <c r="Q1" s="55" t="s">
        <v>37</v>
      </c>
      <c r="R1" s="55"/>
      <c r="S1" s="56" t="s">
        <v>4</v>
      </c>
      <c r="T1" s="55" t="s">
        <v>6</v>
      </c>
      <c r="U1" s="55"/>
      <c r="V1" s="56" t="s">
        <v>4</v>
      </c>
      <c r="W1" s="55" t="s">
        <v>7</v>
      </c>
      <c r="X1" s="55"/>
      <c r="Y1" s="56" t="s">
        <v>4</v>
      </c>
      <c r="Z1" s="55" t="s">
        <v>8</v>
      </c>
      <c r="AA1" s="55"/>
      <c r="AB1" s="56" t="s">
        <v>4</v>
      </c>
      <c r="AC1" s="55" t="s">
        <v>9</v>
      </c>
      <c r="AD1" s="55"/>
      <c r="AE1" s="56" t="s">
        <v>4</v>
      </c>
      <c r="AF1" s="55" t="s">
        <v>10</v>
      </c>
      <c r="AG1" s="55"/>
      <c r="AH1" s="56" t="s">
        <v>4</v>
      </c>
      <c r="AI1" s="55" t="s">
        <v>11</v>
      </c>
      <c r="AJ1" s="55"/>
      <c r="AK1" s="56" t="s">
        <v>4</v>
      </c>
      <c r="AL1" s="55" t="s">
        <v>12</v>
      </c>
      <c r="AM1" s="55"/>
      <c r="AN1" s="56" t="s">
        <v>4</v>
      </c>
      <c r="AO1" s="55" t="s">
        <v>13</v>
      </c>
      <c r="AP1" s="55"/>
      <c r="AQ1" s="56" t="s">
        <v>4</v>
      </c>
      <c r="AR1" s="55" t="s">
        <v>14</v>
      </c>
      <c r="AS1" s="55"/>
      <c r="AT1" s="56" t="s">
        <v>4</v>
      </c>
      <c r="AU1" s="55" t="s">
        <v>15</v>
      </c>
      <c r="AV1" s="55"/>
      <c r="AW1" s="99" t="s">
        <v>4</v>
      </c>
      <c r="AX1" s="55" t="s">
        <v>16</v>
      </c>
      <c r="AY1" s="55"/>
      <c r="AZ1" s="56" t="s">
        <v>4</v>
      </c>
      <c r="BA1" s="55" t="s">
        <v>17</v>
      </c>
      <c r="BB1" s="55"/>
      <c r="BC1" s="99" t="s">
        <v>4</v>
      </c>
      <c r="BD1" s="116" t="s">
        <v>38</v>
      </c>
      <c r="BE1" s="116" t="s">
        <v>39</v>
      </c>
      <c r="BF1" s="116" t="s">
        <v>40</v>
      </c>
      <c r="BG1" s="116" t="s">
        <v>41</v>
      </c>
      <c r="BH1" s="116" t="s">
        <v>132</v>
      </c>
      <c r="BI1" s="133" t="s">
        <v>18</v>
      </c>
      <c r="BJ1" s="133"/>
    </row>
    <row r="2" ht="13" customHeight="1" spans="1:62">
      <c r="A2" s="116"/>
      <c r="B2" s="116"/>
      <c r="C2" s="116"/>
      <c r="D2" s="115"/>
      <c r="E2" s="116"/>
      <c r="F2" s="116"/>
      <c r="G2" s="116"/>
      <c r="H2" s="116"/>
      <c r="I2" s="153"/>
      <c r="J2" s="155"/>
      <c r="K2" s="88" t="s">
        <v>19</v>
      </c>
      <c r="L2" s="93" t="s">
        <v>20</v>
      </c>
      <c r="M2" s="94"/>
      <c r="N2" s="57" t="s">
        <v>19</v>
      </c>
      <c r="O2" s="57" t="s">
        <v>20</v>
      </c>
      <c r="P2" s="56"/>
      <c r="Q2" s="57" t="s">
        <v>19</v>
      </c>
      <c r="R2" s="57" t="s">
        <v>20</v>
      </c>
      <c r="S2" s="56"/>
      <c r="T2" s="57" t="s">
        <v>19</v>
      </c>
      <c r="U2" s="57" t="s">
        <v>20</v>
      </c>
      <c r="V2" s="56"/>
      <c r="W2" s="57" t="s">
        <v>19</v>
      </c>
      <c r="X2" s="57" t="s">
        <v>20</v>
      </c>
      <c r="Y2" s="56"/>
      <c r="Z2" s="57" t="s">
        <v>19</v>
      </c>
      <c r="AA2" s="57" t="s">
        <v>20</v>
      </c>
      <c r="AB2" s="56"/>
      <c r="AC2" s="57" t="s">
        <v>19</v>
      </c>
      <c r="AD2" s="57" t="s">
        <v>20</v>
      </c>
      <c r="AE2" s="56"/>
      <c r="AF2" s="57" t="s">
        <v>19</v>
      </c>
      <c r="AG2" s="57" t="s">
        <v>20</v>
      </c>
      <c r="AH2" s="56"/>
      <c r="AI2" s="57" t="s">
        <v>19</v>
      </c>
      <c r="AJ2" s="57" t="s">
        <v>20</v>
      </c>
      <c r="AK2" s="56"/>
      <c r="AL2" s="57" t="s">
        <v>19</v>
      </c>
      <c r="AM2" s="57" t="s">
        <v>20</v>
      </c>
      <c r="AN2" s="56"/>
      <c r="AO2" s="57" t="s">
        <v>19</v>
      </c>
      <c r="AP2" s="57" t="s">
        <v>20</v>
      </c>
      <c r="AQ2" s="56"/>
      <c r="AR2" s="57" t="s">
        <v>19</v>
      </c>
      <c r="AS2" s="57" t="s">
        <v>20</v>
      </c>
      <c r="AT2" s="56"/>
      <c r="AU2" s="57" t="s">
        <v>19</v>
      </c>
      <c r="AV2" s="57" t="s">
        <v>20</v>
      </c>
      <c r="AW2" s="99"/>
      <c r="AX2" s="57" t="s">
        <v>19</v>
      </c>
      <c r="AY2" s="57" t="s">
        <v>20</v>
      </c>
      <c r="AZ2" s="56"/>
      <c r="BA2" s="57" t="s">
        <v>19</v>
      </c>
      <c r="BB2" s="57" t="s">
        <v>20</v>
      </c>
      <c r="BC2" s="99"/>
      <c r="BD2" s="93" t="s">
        <v>19</v>
      </c>
      <c r="BE2" s="93" t="s">
        <v>19</v>
      </c>
      <c r="BF2" s="93" t="s">
        <v>19</v>
      </c>
      <c r="BG2" s="93" t="s">
        <v>19</v>
      </c>
      <c r="BH2" s="93" t="s">
        <v>19</v>
      </c>
      <c r="BI2" s="133"/>
      <c r="BJ2" s="133" t="s">
        <v>51</v>
      </c>
    </row>
    <row r="3" ht="12.75" customHeight="1" spans="1:62">
      <c r="A3" s="141">
        <v>1</v>
      </c>
      <c r="B3" s="141" t="s">
        <v>31</v>
      </c>
      <c r="C3" s="141" t="s">
        <v>31</v>
      </c>
      <c r="D3" s="272" t="s">
        <v>297</v>
      </c>
      <c r="E3" s="126" t="s">
        <v>55</v>
      </c>
      <c r="F3" s="126" t="s">
        <v>55</v>
      </c>
      <c r="G3" s="276" t="s">
        <v>298</v>
      </c>
      <c r="H3" s="276" t="s">
        <v>298</v>
      </c>
      <c r="I3" s="126" t="s">
        <v>299</v>
      </c>
      <c r="J3" s="126">
        <v>350</v>
      </c>
      <c r="K3" s="156"/>
      <c r="L3" s="156">
        <v>420000</v>
      </c>
      <c r="M3" s="129" t="e">
        <f>L3/K3-1</f>
        <v>#DIV/0!</v>
      </c>
      <c r="N3" s="156"/>
      <c r="O3" s="156"/>
      <c r="P3" s="129" t="e">
        <f>O3/N3-1</f>
        <v>#DIV/0!</v>
      </c>
      <c r="Q3" s="156">
        <f>N3+K3</f>
        <v>0</v>
      </c>
      <c r="R3" s="156">
        <f>O3+L3</f>
        <v>420000</v>
      </c>
      <c r="S3" s="129" t="e">
        <f>R3/Q3-1</f>
        <v>#DIV/0!</v>
      </c>
      <c r="T3" s="60">
        <v>170000</v>
      </c>
      <c r="U3" s="60">
        <v>950000</v>
      </c>
      <c r="V3" s="129">
        <f>U3/T3-1</f>
        <v>4.58823529411765</v>
      </c>
      <c r="W3" s="60">
        <f>T3+Q3</f>
        <v>170000</v>
      </c>
      <c r="X3" s="60">
        <f>U3+R3</f>
        <v>1370000</v>
      </c>
      <c r="Y3" s="129">
        <f>X3/W3-1</f>
        <v>7.05882352941176</v>
      </c>
      <c r="Z3" s="60">
        <v>90000</v>
      </c>
      <c r="AA3" s="60">
        <v>260000</v>
      </c>
      <c r="AB3" s="129">
        <f t="shared" ref="AB3:AB54" si="0">AA3/Z3-1</f>
        <v>1.88888888888889</v>
      </c>
      <c r="AC3" s="60">
        <f>W3+Z3</f>
        <v>260000</v>
      </c>
      <c r="AD3" s="60">
        <f>X3+AA3</f>
        <v>1630000</v>
      </c>
      <c r="AE3" s="129">
        <f t="shared" ref="AE3:AE34" si="1">AD3/AC3-1</f>
        <v>5.26923076923077</v>
      </c>
      <c r="AF3" s="133">
        <v>300000</v>
      </c>
      <c r="AG3" s="133">
        <v>170000</v>
      </c>
      <c r="AH3" s="129">
        <f>AG3/AF3-1</f>
        <v>-0.433333333333333</v>
      </c>
      <c r="AI3" s="133">
        <f>AF3+AC3</f>
        <v>560000</v>
      </c>
      <c r="AJ3" s="133">
        <f>AG3+AD3</f>
        <v>1800000</v>
      </c>
      <c r="AK3" s="129">
        <f>AJ3/AI3-1</f>
        <v>2.21428571428571</v>
      </c>
      <c r="AL3" s="133">
        <v>170000</v>
      </c>
      <c r="AM3" s="133">
        <v>570000</v>
      </c>
      <c r="AN3" s="129">
        <f>AM3/AL3-1</f>
        <v>2.35294117647059</v>
      </c>
      <c r="AO3" s="133">
        <f>AL3+AI3</f>
        <v>730000</v>
      </c>
      <c r="AP3" s="133">
        <f>AM3+AJ3</f>
        <v>2370000</v>
      </c>
      <c r="AQ3" s="129">
        <f>AP3/AO3-1</f>
        <v>2.24657534246575</v>
      </c>
      <c r="AR3" s="133">
        <v>350000</v>
      </c>
      <c r="AS3" s="133">
        <v>500000</v>
      </c>
      <c r="AT3" s="129">
        <f>AS3/AR3-1</f>
        <v>0.428571428571429</v>
      </c>
      <c r="AU3" s="133">
        <f>AR3+AO3</f>
        <v>1080000</v>
      </c>
      <c r="AV3" s="133">
        <f>AS3+AP3</f>
        <v>2870000</v>
      </c>
      <c r="AW3" s="129">
        <f>AV3/AU3-1</f>
        <v>1.65740740740741</v>
      </c>
      <c r="AX3" s="60">
        <v>390000</v>
      </c>
      <c r="AY3" s="60">
        <v>200000</v>
      </c>
      <c r="AZ3" s="129">
        <f>AY3/AX3-1</f>
        <v>-0.487179487179487</v>
      </c>
      <c r="BA3" s="60">
        <f>AU3+AX3</f>
        <v>1470000</v>
      </c>
      <c r="BB3" s="60">
        <f>AV3+AY3</f>
        <v>3070000</v>
      </c>
      <c r="BC3" s="129">
        <f>BB3/BA3-1</f>
        <v>1.08843537414966</v>
      </c>
      <c r="BD3" s="60">
        <v>350000</v>
      </c>
      <c r="BE3" s="133">
        <v>300000</v>
      </c>
      <c r="BF3" s="133">
        <v>650000</v>
      </c>
      <c r="BG3" s="133">
        <v>230000</v>
      </c>
      <c r="BH3" s="133">
        <v>3000000</v>
      </c>
      <c r="BI3" s="159">
        <f>BB3/10000/J3</f>
        <v>0.877142857142857</v>
      </c>
      <c r="BJ3" s="133"/>
    </row>
    <row r="4" ht="12.75" customHeight="1" spans="1:62">
      <c r="A4" s="141">
        <v>2</v>
      </c>
      <c r="B4" s="141" t="s">
        <v>31</v>
      </c>
      <c r="C4" s="141" t="s">
        <v>31</v>
      </c>
      <c r="D4" s="142" t="s">
        <v>300</v>
      </c>
      <c r="E4" s="126" t="s">
        <v>60</v>
      </c>
      <c r="F4" s="126" t="s">
        <v>60</v>
      </c>
      <c r="G4" s="276" t="s">
        <v>298</v>
      </c>
      <c r="H4" s="276" t="s">
        <v>298</v>
      </c>
      <c r="I4" s="126" t="s">
        <v>299</v>
      </c>
      <c r="J4" s="126">
        <v>40</v>
      </c>
      <c r="K4" s="156"/>
      <c r="L4" s="156"/>
      <c r="M4" s="129" t="e">
        <f t="shared" ref="M4:M51" si="2">L4/K4-1</f>
        <v>#DIV/0!</v>
      </c>
      <c r="N4" s="156"/>
      <c r="O4" s="156"/>
      <c r="P4" s="129" t="e">
        <f t="shared" ref="P4:P51" si="3">O4/N4-1</f>
        <v>#DIV/0!</v>
      </c>
      <c r="Q4" s="156">
        <f t="shared" ref="Q4:Q51" si="4">N4+K4</f>
        <v>0</v>
      </c>
      <c r="R4" s="156">
        <f t="shared" ref="R4:R51" si="5">O4+L4</f>
        <v>0</v>
      </c>
      <c r="S4" s="129" t="e">
        <f t="shared" ref="S4:S51" si="6">R4/Q4-1</f>
        <v>#DIV/0!</v>
      </c>
      <c r="T4" s="60"/>
      <c r="U4" s="60">
        <v>17000</v>
      </c>
      <c r="V4" s="129" t="e">
        <f t="shared" ref="V4:V35" si="7">U4/T4-1</f>
        <v>#DIV/0!</v>
      </c>
      <c r="W4" s="60">
        <f t="shared" ref="W4:W35" si="8">T4+Q4</f>
        <v>0</v>
      </c>
      <c r="X4" s="60">
        <f t="shared" ref="X4:X35" si="9">U4+R4</f>
        <v>17000</v>
      </c>
      <c r="Y4" s="129" t="e">
        <f t="shared" ref="Y4:Y35" si="10">X4/W4-1</f>
        <v>#DIV/0!</v>
      </c>
      <c r="Z4" s="60">
        <v>30000</v>
      </c>
      <c r="AA4" s="60"/>
      <c r="AB4" s="129">
        <f t="shared" si="0"/>
        <v>-1</v>
      </c>
      <c r="AC4" s="60">
        <f t="shared" ref="AC4:AC35" si="11">W4+Z4</f>
        <v>30000</v>
      </c>
      <c r="AD4" s="60">
        <f t="shared" ref="AD4:AD35" si="12">X4+AA4</f>
        <v>17000</v>
      </c>
      <c r="AE4" s="129">
        <f t="shared" si="1"/>
        <v>-0.433333333333333</v>
      </c>
      <c r="AF4" s="133"/>
      <c r="AG4" s="133"/>
      <c r="AH4" s="129" t="e">
        <f t="shared" ref="AH4:AH35" si="13">AG4/AF4-1</f>
        <v>#DIV/0!</v>
      </c>
      <c r="AI4" s="133">
        <f t="shared" ref="AI4:AI35" si="14">AF4+AC4</f>
        <v>30000</v>
      </c>
      <c r="AJ4" s="133">
        <f t="shared" ref="AJ4:AJ35" si="15">AG4+AD4</f>
        <v>17000</v>
      </c>
      <c r="AK4" s="129">
        <f t="shared" ref="AK4:AK35" si="16">AJ4/AI4-1</f>
        <v>-0.433333333333333</v>
      </c>
      <c r="AL4" s="133">
        <v>30000</v>
      </c>
      <c r="AM4" s="133"/>
      <c r="AN4" s="129">
        <f t="shared" ref="AN4:AN35" si="17">AM4/AL4-1</f>
        <v>-1</v>
      </c>
      <c r="AO4" s="133">
        <f t="shared" ref="AO4:AO35" si="18">AL4+AI4</f>
        <v>60000</v>
      </c>
      <c r="AP4" s="133">
        <f t="shared" ref="AP4:AP35" si="19">AM4+AJ4</f>
        <v>17000</v>
      </c>
      <c r="AQ4" s="129">
        <f t="shared" ref="AQ4:AQ35" si="20">AP4/AO4-1</f>
        <v>-0.716666666666667</v>
      </c>
      <c r="AR4" s="133"/>
      <c r="AS4" s="133"/>
      <c r="AT4" s="129" t="e">
        <f t="shared" ref="AT4:AT35" si="21">AS4/AR4-1</f>
        <v>#DIV/0!</v>
      </c>
      <c r="AU4" s="133">
        <f t="shared" ref="AU4:AU35" si="22">AR4+AO4</f>
        <v>60000</v>
      </c>
      <c r="AV4" s="133">
        <f t="shared" ref="AV4:AV35" si="23">AS4+AP4</f>
        <v>17000</v>
      </c>
      <c r="AW4" s="129">
        <f t="shared" ref="AW4:AW35" si="24">AV4/AU4-1</f>
        <v>-0.716666666666667</v>
      </c>
      <c r="AX4" s="60"/>
      <c r="AY4" s="60"/>
      <c r="AZ4" s="129" t="e">
        <f t="shared" ref="AZ4:AZ35" si="25">AY4/AX4-1</f>
        <v>#DIV/0!</v>
      </c>
      <c r="BA4" s="60">
        <f t="shared" ref="BA4:BA35" si="26">AU4+AX4</f>
        <v>60000</v>
      </c>
      <c r="BB4" s="60">
        <f t="shared" ref="BB4:BB35" si="27">AV4+AY4</f>
        <v>17000</v>
      </c>
      <c r="BC4" s="129">
        <f t="shared" ref="BC4:BC35" si="28">BB4/BA4-1</f>
        <v>-0.716666666666667</v>
      </c>
      <c r="BD4" s="60"/>
      <c r="BE4" s="133">
        <v>50000</v>
      </c>
      <c r="BF4" s="133"/>
      <c r="BG4" s="133"/>
      <c r="BH4" s="133">
        <v>110000</v>
      </c>
      <c r="BI4" s="159">
        <f t="shared" ref="BI4:BI35" si="29">BB4/10000/J4</f>
        <v>0.0425</v>
      </c>
      <c r="BJ4" s="133"/>
    </row>
    <row r="5" ht="12.75" customHeight="1" spans="1:62">
      <c r="A5" s="141">
        <v>5</v>
      </c>
      <c r="B5" s="141" t="s">
        <v>31</v>
      </c>
      <c r="C5" s="141" t="s">
        <v>31</v>
      </c>
      <c r="D5" s="272" t="s">
        <v>301</v>
      </c>
      <c r="E5" s="126" t="s">
        <v>60</v>
      </c>
      <c r="F5" s="126" t="s">
        <v>55</v>
      </c>
      <c r="G5" s="126" t="s">
        <v>302</v>
      </c>
      <c r="H5" s="126" t="s">
        <v>302</v>
      </c>
      <c r="I5" s="126" t="s">
        <v>303</v>
      </c>
      <c r="J5" s="126">
        <v>50</v>
      </c>
      <c r="K5" s="156">
        <v>50000</v>
      </c>
      <c r="L5" s="156">
        <v>110000</v>
      </c>
      <c r="M5" s="129">
        <f t="shared" si="2"/>
        <v>1.2</v>
      </c>
      <c r="N5" s="156"/>
      <c r="O5" s="156"/>
      <c r="P5" s="129" t="e">
        <f t="shared" si="3"/>
        <v>#DIV/0!</v>
      </c>
      <c r="Q5" s="156">
        <f t="shared" si="4"/>
        <v>50000</v>
      </c>
      <c r="R5" s="156">
        <f t="shared" si="5"/>
        <v>110000</v>
      </c>
      <c r="S5" s="129">
        <f t="shared" si="6"/>
        <v>1.2</v>
      </c>
      <c r="T5" s="60">
        <v>60000</v>
      </c>
      <c r="U5" s="60">
        <v>110000</v>
      </c>
      <c r="V5" s="129">
        <f t="shared" si="7"/>
        <v>0.833333333333333</v>
      </c>
      <c r="W5" s="60">
        <f t="shared" si="8"/>
        <v>110000</v>
      </c>
      <c r="X5" s="60">
        <f t="shared" si="9"/>
        <v>220000</v>
      </c>
      <c r="Y5" s="129">
        <f t="shared" si="10"/>
        <v>1</v>
      </c>
      <c r="Z5" s="60">
        <v>30000</v>
      </c>
      <c r="AA5" s="60">
        <v>80000</v>
      </c>
      <c r="AB5" s="129">
        <f t="shared" si="0"/>
        <v>1.66666666666667</v>
      </c>
      <c r="AC5" s="60">
        <f t="shared" si="11"/>
        <v>140000</v>
      </c>
      <c r="AD5" s="60">
        <f t="shared" si="12"/>
        <v>300000</v>
      </c>
      <c r="AE5" s="129">
        <f t="shared" si="1"/>
        <v>1.14285714285714</v>
      </c>
      <c r="AF5" s="133">
        <v>80000</v>
      </c>
      <c r="AG5" s="133">
        <v>110000</v>
      </c>
      <c r="AH5" s="129">
        <f t="shared" si="13"/>
        <v>0.375</v>
      </c>
      <c r="AI5" s="133">
        <f t="shared" si="14"/>
        <v>220000</v>
      </c>
      <c r="AJ5" s="133">
        <f t="shared" si="15"/>
        <v>410000</v>
      </c>
      <c r="AK5" s="129">
        <f t="shared" si="16"/>
        <v>0.863636363636364</v>
      </c>
      <c r="AL5" s="133">
        <v>118042</v>
      </c>
      <c r="AM5" s="133">
        <v>80000</v>
      </c>
      <c r="AN5" s="129">
        <f t="shared" si="17"/>
        <v>-0.322275122414056</v>
      </c>
      <c r="AO5" s="133">
        <f t="shared" si="18"/>
        <v>338042</v>
      </c>
      <c r="AP5" s="133">
        <f t="shared" si="19"/>
        <v>490000</v>
      </c>
      <c r="AQ5" s="129">
        <f t="shared" si="20"/>
        <v>0.449524023642033</v>
      </c>
      <c r="AR5" s="133"/>
      <c r="AS5" s="133">
        <v>80000</v>
      </c>
      <c r="AT5" s="129" t="e">
        <f t="shared" si="21"/>
        <v>#DIV/0!</v>
      </c>
      <c r="AU5" s="133">
        <f t="shared" si="22"/>
        <v>338042</v>
      </c>
      <c r="AV5" s="133">
        <f t="shared" si="23"/>
        <v>570000</v>
      </c>
      <c r="AW5" s="129">
        <f t="shared" si="24"/>
        <v>0.686181007093793</v>
      </c>
      <c r="AX5" s="60"/>
      <c r="AY5" s="60">
        <v>50000</v>
      </c>
      <c r="AZ5" s="129" t="e">
        <f t="shared" si="25"/>
        <v>#DIV/0!</v>
      </c>
      <c r="BA5" s="60">
        <f t="shared" si="26"/>
        <v>338042</v>
      </c>
      <c r="BB5" s="60">
        <f t="shared" si="27"/>
        <v>620000</v>
      </c>
      <c r="BC5" s="129">
        <f t="shared" si="28"/>
        <v>0.834091621751143</v>
      </c>
      <c r="BD5" s="60">
        <v>110000</v>
      </c>
      <c r="BE5" s="133">
        <v>110000</v>
      </c>
      <c r="BF5" s="133">
        <v>190000</v>
      </c>
      <c r="BG5" s="133">
        <v>50000</v>
      </c>
      <c r="BH5" s="133">
        <v>798042</v>
      </c>
      <c r="BI5" s="159">
        <f t="shared" si="29"/>
        <v>1.24</v>
      </c>
      <c r="BJ5" s="133"/>
    </row>
    <row r="6" ht="12.75" customHeight="1" spans="1:62">
      <c r="A6" s="141">
        <v>6</v>
      </c>
      <c r="B6" s="141" t="s">
        <v>31</v>
      </c>
      <c r="C6" s="141" t="s">
        <v>31</v>
      </c>
      <c r="D6" s="272" t="s">
        <v>304</v>
      </c>
      <c r="E6" s="126" t="s">
        <v>60</v>
      </c>
      <c r="F6" s="126" t="s">
        <v>60</v>
      </c>
      <c r="G6" s="276" t="s">
        <v>298</v>
      </c>
      <c r="H6" s="276" t="s">
        <v>298</v>
      </c>
      <c r="I6" s="126" t="s">
        <v>299</v>
      </c>
      <c r="J6" s="126">
        <v>40</v>
      </c>
      <c r="K6" s="156">
        <v>10203</v>
      </c>
      <c r="L6" s="156"/>
      <c r="M6" s="129">
        <f t="shared" si="2"/>
        <v>-1</v>
      </c>
      <c r="N6" s="156">
        <v>14925</v>
      </c>
      <c r="O6" s="156"/>
      <c r="P6" s="129">
        <f t="shared" si="3"/>
        <v>-1</v>
      </c>
      <c r="Q6" s="156">
        <f t="shared" si="4"/>
        <v>25128</v>
      </c>
      <c r="R6" s="156">
        <f t="shared" si="5"/>
        <v>0</v>
      </c>
      <c r="S6" s="129">
        <f t="shared" si="6"/>
        <v>-1</v>
      </c>
      <c r="T6" s="60">
        <v>17163</v>
      </c>
      <c r="U6" s="60">
        <v>3953</v>
      </c>
      <c r="V6" s="129">
        <f t="shared" si="7"/>
        <v>-0.769678960554682</v>
      </c>
      <c r="W6" s="60">
        <f t="shared" si="8"/>
        <v>42291</v>
      </c>
      <c r="X6" s="60">
        <f t="shared" si="9"/>
        <v>3953</v>
      </c>
      <c r="Y6" s="129">
        <f t="shared" si="10"/>
        <v>-0.906528575819914</v>
      </c>
      <c r="Z6" s="60">
        <v>29060</v>
      </c>
      <c r="AA6" s="60">
        <v>4074</v>
      </c>
      <c r="AB6" s="129">
        <f t="shared" si="0"/>
        <v>-0.859807295251204</v>
      </c>
      <c r="AC6" s="60">
        <f t="shared" si="11"/>
        <v>71351</v>
      </c>
      <c r="AD6" s="60">
        <f t="shared" si="12"/>
        <v>8027</v>
      </c>
      <c r="AE6" s="129">
        <f t="shared" si="1"/>
        <v>-0.887499824809743</v>
      </c>
      <c r="AF6" s="133">
        <v>35379</v>
      </c>
      <c r="AG6" s="133"/>
      <c r="AH6" s="129">
        <f t="shared" si="13"/>
        <v>-1</v>
      </c>
      <c r="AI6" s="133">
        <f t="shared" si="14"/>
        <v>106730</v>
      </c>
      <c r="AJ6" s="133">
        <f t="shared" si="15"/>
        <v>8027</v>
      </c>
      <c r="AK6" s="129">
        <f t="shared" si="16"/>
        <v>-0.924791530029045</v>
      </c>
      <c r="AL6" s="133">
        <v>13721</v>
      </c>
      <c r="AM6" s="133">
        <v>12739</v>
      </c>
      <c r="AN6" s="129">
        <f t="shared" si="17"/>
        <v>-0.0715691276146053</v>
      </c>
      <c r="AO6" s="133">
        <f t="shared" si="18"/>
        <v>120451</v>
      </c>
      <c r="AP6" s="133">
        <f t="shared" si="19"/>
        <v>20766</v>
      </c>
      <c r="AQ6" s="129">
        <f t="shared" si="20"/>
        <v>-0.827597944392325</v>
      </c>
      <c r="AR6" s="133">
        <v>15953</v>
      </c>
      <c r="AS6" s="133">
        <v>5143</v>
      </c>
      <c r="AT6" s="129">
        <f t="shared" si="21"/>
        <v>-0.677615495518084</v>
      </c>
      <c r="AU6" s="133">
        <f t="shared" si="22"/>
        <v>136404</v>
      </c>
      <c r="AV6" s="133">
        <f t="shared" si="23"/>
        <v>25909</v>
      </c>
      <c r="AW6" s="129">
        <f t="shared" si="24"/>
        <v>-0.810056889827278</v>
      </c>
      <c r="AX6" s="60">
        <v>17927</v>
      </c>
      <c r="AY6" s="60">
        <v>42982</v>
      </c>
      <c r="AZ6" s="129">
        <f t="shared" si="25"/>
        <v>1.39761253974452</v>
      </c>
      <c r="BA6" s="60">
        <f t="shared" si="26"/>
        <v>154331</v>
      </c>
      <c r="BB6" s="60">
        <f t="shared" si="27"/>
        <v>68891</v>
      </c>
      <c r="BC6" s="129">
        <f t="shared" si="28"/>
        <v>-0.55361528144054</v>
      </c>
      <c r="BD6" s="60">
        <v>29976</v>
      </c>
      <c r="BE6" s="133">
        <v>48396</v>
      </c>
      <c r="BF6" s="133">
        <v>45019</v>
      </c>
      <c r="BG6" s="133">
        <v>102148</v>
      </c>
      <c r="BH6" s="133">
        <v>379870</v>
      </c>
      <c r="BI6" s="159">
        <f t="shared" si="29"/>
        <v>0.1722275</v>
      </c>
      <c r="BJ6" s="133"/>
    </row>
    <row r="7" ht="13" customHeight="1" spans="1:62">
      <c r="A7" s="141">
        <v>8</v>
      </c>
      <c r="B7" s="141" t="s">
        <v>31</v>
      </c>
      <c r="C7" s="141" t="s">
        <v>31</v>
      </c>
      <c r="D7" s="279" t="s">
        <v>305</v>
      </c>
      <c r="E7" s="126" t="s">
        <v>60</v>
      </c>
      <c r="F7" s="126" t="s">
        <v>60</v>
      </c>
      <c r="G7" s="276" t="s">
        <v>302</v>
      </c>
      <c r="H7" s="276" t="s">
        <v>302</v>
      </c>
      <c r="I7" s="126" t="s">
        <v>303</v>
      </c>
      <c r="J7" s="126">
        <v>15</v>
      </c>
      <c r="K7" s="156"/>
      <c r="L7" s="156"/>
      <c r="M7" s="129" t="e">
        <f t="shared" si="2"/>
        <v>#DIV/0!</v>
      </c>
      <c r="N7" s="156"/>
      <c r="O7" s="156">
        <v>50000</v>
      </c>
      <c r="P7" s="129" t="e">
        <f t="shared" si="3"/>
        <v>#DIV/0!</v>
      </c>
      <c r="Q7" s="156">
        <f t="shared" si="4"/>
        <v>0</v>
      </c>
      <c r="R7" s="156">
        <f t="shared" si="5"/>
        <v>50000</v>
      </c>
      <c r="S7" s="129" t="e">
        <f t="shared" si="6"/>
        <v>#DIV/0!</v>
      </c>
      <c r="T7" s="60"/>
      <c r="U7" s="60"/>
      <c r="V7" s="129" t="e">
        <f t="shared" si="7"/>
        <v>#DIV/0!</v>
      </c>
      <c r="W7" s="60">
        <f t="shared" si="8"/>
        <v>0</v>
      </c>
      <c r="X7" s="60">
        <f t="shared" si="9"/>
        <v>50000</v>
      </c>
      <c r="Y7" s="129" t="e">
        <f t="shared" si="10"/>
        <v>#DIV/0!</v>
      </c>
      <c r="Z7" s="60"/>
      <c r="AA7" s="60"/>
      <c r="AB7" s="129" t="e">
        <f t="shared" si="0"/>
        <v>#DIV/0!</v>
      </c>
      <c r="AC7" s="60">
        <f t="shared" si="11"/>
        <v>0</v>
      </c>
      <c r="AD7" s="60">
        <f t="shared" si="12"/>
        <v>50000</v>
      </c>
      <c r="AE7" s="129" t="e">
        <f t="shared" si="1"/>
        <v>#DIV/0!</v>
      </c>
      <c r="AF7" s="133">
        <v>50000</v>
      </c>
      <c r="AG7" s="133"/>
      <c r="AH7" s="129">
        <f t="shared" si="13"/>
        <v>-1</v>
      </c>
      <c r="AI7" s="133">
        <f t="shared" si="14"/>
        <v>50000</v>
      </c>
      <c r="AJ7" s="133">
        <f t="shared" si="15"/>
        <v>50000</v>
      </c>
      <c r="AK7" s="129">
        <f t="shared" si="16"/>
        <v>0</v>
      </c>
      <c r="AL7" s="133"/>
      <c r="AM7" s="133">
        <v>50000</v>
      </c>
      <c r="AN7" s="129" t="e">
        <f t="shared" si="17"/>
        <v>#DIV/0!</v>
      </c>
      <c r="AO7" s="133">
        <f t="shared" si="18"/>
        <v>50000</v>
      </c>
      <c r="AP7" s="133">
        <f t="shared" si="19"/>
        <v>100000</v>
      </c>
      <c r="AQ7" s="129">
        <f t="shared" si="20"/>
        <v>1</v>
      </c>
      <c r="AR7" s="133"/>
      <c r="AS7" s="133"/>
      <c r="AT7" s="129" t="e">
        <f t="shared" si="21"/>
        <v>#DIV/0!</v>
      </c>
      <c r="AU7" s="133">
        <f t="shared" si="22"/>
        <v>50000</v>
      </c>
      <c r="AV7" s="133">
        <f t="shared" si="23"/>
        <v>100000</v>
      </c>
      <c r="AW7" s="129">
        <f t="shared" si="24"/>
        <v>1</v>
      </c>
      <c r="AX7" s="60"/>
      <c r="AY7" s="60"/>
      <c r="AZ7" s="129" t="e">
        <f t="shared" si="25"/>
        <v>#DIV/0!</v>
      </c>
      <c r="BA7" s="60">
        <f t="shared" si="26"/>
        <v>50000</v>
      </c>
      <c r="BB7" s="60">
        <f t="shared" si="27"/>
        <v>100000</v>
      </c>
      <c r="BC7" s="129">
        <f t="shared" si="28"/>
        <v>1</v>
      </c>
      <c r="BD7" s="60">
        <v>50000</v>
      </c>
      <c r="BE7" s="133"/>
      <c r="BF7" s="133">
        <v>50000</v>
      </c>
      <c r="BG7" s="133"/>
      <c r="BH7" s="133">
        <v>150000</v>
      </c>
      <c r="BI7" s="159">
        <f t="shared" si="29"/>
        <v>0.666666666666667</v>
      </c>
      <c r="BJ7" s="133"/>
    </row>
    <row r="8" ht="12.75" customHeight="1" spans="1:62">
      <c r="A8" s="141">
        <v>10</v>
      </c>
      <c r="B8" s="141" t="s">
        <v>31</v>
      </c>
      <c r="C8" s="141" t="s">
        <v>31</v>
      </c>
      <c r="D8" s="272" t="s">
        <v>306</v>
      </c>
      <c r="E8" s="126" t="s">
        <v>60</v>
      </c>
      <c r="F8" s="126" t="s">
        <v>60</v>
      </c>
      <c r="G8" s="276" t="s">
        <v>307</v>
      </c>
      <c r="H8" s="276" t="s">
        <v>307</v>
      </c>
      <c r="I8" s="126" t="s">
        <v>303</v>
      </c>
      <c r="J8" s="126">
        <v>25</v>
      </c>
      <c r="K8" s="156">
        <v>20000</v>
      </c>
      <c r="L8" s="156">
        <v>40000</v>
      </c>
      <c r="M8" s="129">
        <f t="shared" si="2"/>
        <v>1</v>
      </c>
      <c r="N8" s="156">
        <v>20000</v>
      </c>
      <c r="O8" s="156">
        <v>30000</v>
      </c>
      <c r="P8" s="129">
        <f t="shared" si="3"/>
        <v>0.5</v>
      </c>
      <c r="Q8" s="156">
        <f t="shared" si="4"/>
        <v>40000</v>
      </c>
      <c r="R8" s="156">
        <f t="shared" si="5"/>
        <v>70000</v>
      </c>
      <c r="S8" s="129">
        <f t="shared" si="6"/>
        <v>0.75</v>
      </c>
      <c r="T8" s="60"/>
      <c r="U8" s="60"/>
      <c r="V8" s="129" t="e">
        <f t="shared" si="7"/>
        <v>#DIV/0!</v>
      </c>
      <c r="W8" s="60">
        <f t="shared" si="8"/>
        <v>40000</v>
      </c>
      <c r="X8" s="60">
        <f t="shared" si="9"/>
        <v>70000</v>
      </c>
      <c r="Y8" s="129">
        <f t="shared" si="10"/>
        <v>0.75</v>
      </c>
      <c r="Z8" s="60">
        <v>20000</v>
      </c>
      <c r="AA8" s="60"/>
      <c r="AB8" s="129">
        <f t="shared" si="0"/>
        <v>-1</v>
      </c>
      <c r="AC8" s="60">
        <f t="shared" si="11"/>
        <v>60000</v>
      </c>
      <c r="AD8" s="60">
        <f t="shared" si="12"/>
        <v>70000</v>
      </c>
      <c r="AE8" s="129">
        <f t="shared" si="1"/>
        <v>0.166666666666667</v>
      </c>
      <c r="AF8" s="133"/>
      <c r="AG8" s="133"/>
      <c r="AH8" s="129" t="e">
        <f t="shared" si="13"/>
        <v>#DIV/0!</v>
      </c>
      <c r="AI8" s="133">
        <f t="shared" si="14"/>
        <v>60000</v>
      </c>
      <c r="AJ8" s="133">
        <f t="shared" si="15"/>
        <v>70000</v>
      </c>
      <c r="AK8" s="129">
        <f t="shared" si="16"/>
        <v>0.166666666666667</v>
      </c>
      <c r="AL8" s="133"/>
      <c r="AM8" s="133"/>
      <c r="AN8" s="129" t="e">
        <f t="shared" si="17"/>
        <v>#DIV/0!</v>
      </c>
      <c r="AO8" s="133">
        <f t="shared" si="18"/>
        <v>60000</v>
      </c>
      <c r="AP8" s="133">
        <f t="shared" si="19"/>
        <v>70000</v>
      </c>
      <c r="AQ8" s="129">
        <f t="shared" si="20"/>
        <v>0.166666666666667</v>
      </c>
      <c r="AR8" s="133"/>
      <c r="AS8" s="133"/>
      <c r="AT8" s="129" t="e">
        <f t="shared" si="21"/>
        <v>#DIV/0!</v>
      </c>
      <c r="AU8" s="133">
        <f t="shared" si="22"/>
        <v>60000</v>
      </c>
      <c r="AV8" s="133">
        <f t="shared" si="23"/>
        <v>70000</v>
      </c>
      <c r="AW8" s="129">
        <f t="shared" si="24"/>
        <v>0.166666666666667</v>
      </c>
      <c r="AX8" s="60"/>
      <c r="AY8" s="60"/>
      <c r="AZ8" s="129" t="e">
        <f t="shared" si="25"/>
        <v>#DIV/0!</v>
      </c>
      <c r="BA8" s="60">
        <f t="shared" si="26"/>
        <v>60000</v>
      </c>
      <c r="BB8" s="60">
        <f t="shared" si="27"/>
        <v>70000</v>
      </c>
      <c r="BC8" s="129">
        <f t="shared" si="28"/>
        <v>0.166666666666667</v>
      </c>
      <c r="BD8" s="60">
        <v>20000</v>
      </c>
      <c r="BE8" s="133"/>
      <c r="BF8" s="133">
        <v>30000</v>
      </c>
      <c r="BG8" s="133"/>
      <c r="BH8" s="133">
        <v>110000</v>
      </c>
      <c r="BI8" s="159">
        <f t="shared" si="29"/>
        <v>0.28</v>
      </c>
      <c r="BJ8" s="133"/>
    </row>
    <row r="9" s="140" customFormat="1" ht="12.75" customHeight="1" spans="1:75">
      <c r="A9" s="141">
        <v>12</v>
      </c>
      <c r="B9" s="141" t="s">
        <v>31</v>
      </c>
      <c r="C9" s="141" t="s">
        <v>31</v>
      </c>
      <c r="D9" s="123" t="s">
        <v>308</v>
      </c>
      <c r="E9" s="126" t="s">
        <v>60</v>
      </c>
      <c r="F9" s="126" t="s">
        <v>60</v>
      </c>
      <c r="G9" s="276" t="s">
        <v>302</v>
      </c>
      <c r="H9" s="276" t="s">
        <v>302</v>
      </c>
      <c r="I9" s="126" t="s">
        <v>303</v>
      </c>
      <c r="J9" s="126"/>
      <c r="K9" s="156">
        <v>10027</v>
      </c>
      <c r="L9" s="156"/>
      <c r="M9" s="129">
        <f t="shared" si="2"/>
        <v>-1</v>
      </c>
      <c r="N9" s="156"/>
      <c r="O9" s="156"/>
      <c r="P9" s="129" t="e">
        <f t="shared" si="3"/>
        <v>#DIV/0!</v>
      </c>
      <c r="Q9" s="156">
        <f t="shared" si="4"/>
        <v>10027</v>
      </c>
      <c r="R9" s="156">
        <f t="shared" si="5"/>
        <v>0</v>
      </c>
      <c r="S9" s="129">
        <f t="shared" si="6"/>
        <v>-1</v>
      </c>
      <c r="T9" s="60">
        <v>5704</v>
      </c>
      <c r="U9" s="60"/>
      <c r="V9" s="129">
        <f t="shared" si="7"/>
        <v>-1</v>
      </c>
      <c r="W9" s="60">
        <f t="shared" si="8"/>
        <v>15731</v>
      </c>
      <c r="X9" s="60">
        <f t="shared" si="9"/>
        <v>0</v>
      </c>
      <c r="Y9" s="129">
        <f t="shared" si="10"/>
        <v>-1</v>
      </c>
      <c r="Z9" s="60"/>
      <c r="AA9" s="60"/>
      <c r="AB9" s="129" t="e">
        <f t="shared" si="0"/>
        <v>#DIV/0!</v>
      </c>
      <c r="AC9" s="60">
        <f t="shared" si="11"/>
        <v>15731</v>
      </c>
      <c r="AD9" s="60">
        <f t="shared" si="12"/>
        <v>0</v>
      </c>
      <c r="AE9" s="129">
        <f t="shared" si="1"/>
        <v>-1</v>
      </c>
      <c r="AF9" s="133"/>
      <c r="AG9" s="133"/>
      <c r="AH9" s="129" t="e">
        <f t="shared" si="13"/>
        <v>#DIV/0!</v>
      </c>
      <c r="AI9" s="133">
        <f t="shared" si="14"/>
        <v>15731</v>
      </c>
      <c r="AJ9" s="133">
        <f t="shared" si="15"/>
        <v>0</v>
      </c>
      <c r="AK9" s="129">
        <f t="shared" si="16"/>
        <v>-1</v>
      </c>
      <c r="AL9" s="133"/>
      <c r="AM9" s="133"/>
      <c r="AN9" s="129" t="e">
        <f t="shared" si="17"/>
        <v>#DIV/0!</v>
      </c>
      <c r="AO9" s="133">
        <f t="shared" si="18"/>
        <v>15731</v>
      </c>
      <c r="AP9" s="133">
        <f t="shared" si="19"/>
        <v>0</v>
      </c>
      <c r="AQ9" s="129">
        <f t="shared" si="20"/>
        <v>-1</v>
      </c>
      <c r="AR9" s="133"/>
      <c r="AS9" s="133"/>
      <c r="AT9" s="129" t="e">
        <f t="shared" si="21"/>
        <v>#DIV/0!</v>
      </c>
      <c r="AU9" s="133">
        <f t="shared" si="22"/>
        <v>15731</v>
      </c>
      <c r="AV9" s="133">
        <f t="shared" si="23"/>
        <v>0</v>
      </c>
      <c r="AW9" s="129">
        <f t="shared" si="24"/>
        <v>-1</v>
      </c>
      <c r="AX9" s="60"/>
      <c r="AY9" s="60"/>
      <c r="AZ9" s="129" t="e">
        <f t="shared" si="25"/>
        <v>#DIV/0!</v>
      </c>
      <c r="BA9" s="60">
        <f t="shared" si="26"/>
        <v>15731</v>
      </c>
      <c r="BB9" s="60">
        <f t="shared" si="27"/>
        <v>0</v>
      </c>
      <c r="BC9" s="129">
        <f t="shared" si="28"/>
        <v>-1</v>
      </c>
      <c r="BD9" s="60"/>
      <c r="BE9" s="133"/>
      <c r="BF9" s="133"/>
      <c r="BG9" s="133"/>
      <c r="BH9" s="133">
        <v>15731</v>
      </c>
      <c r="BI9" s="159" t="e">
        <f t="shared" si="29"/>
        <v>#DIV/0!</v>
      </c>
      <c r="BJ9" s="133"/>
      <c r="BW9" s="140">
        <v>37564</v>
      </c>
    </row>
    <row r="10" s="140" customFormat="1" ht="12.75" customHeight="1" spans="1:62">
      <c r="A10" s="141">
        <v>15</v>
      </c>
      <c r="B10" s="141" t="s">
        <v>31</v>
      </c>
      <c r="C10" s="141" t="s">
        <v>31</v>
      </c>
      <c r="D10" s="144" t="s">
        <v>309</v>
      </c>
      <c r="E10" s="126" t="s">
        <v>78</v>
      </c>
      <c r="F10" s="126" t="s">
        <v>78</v>
      </c>
      <c r="G10" s="126" t="s">
        <v>310</v>
      </c>
      <c r="H10" s="276" t="s">
        <v>79</v>
      </c>
      <c r="I10" s="126" t="s">
        <v>311</v>
      </c>
      <c r="J10" s="126">
        <v>255</v>
      </c>
      <c r="K10" s="156"/>
      <c r="L10" s="156">
        <v>109783.7</v>
      </c>
      <c r="M10" s="129" t="e">
        <f t="shared" si="2"/>
        <v>#DIV/0!</v>
      </c>
      <c r="N10" s="156">
        <v>391306.3</v>
      </c>
      <c r="O10" s="65">
        <v>153270.94</v>
      </c>
      <c r="P10" s="129">
        <f t="shared" si="3"/>
        <v>-0.608309551877902</v>
      </c>
      <c r="Q10" s="156">
        <f t="shared" si="4"/>
        <v>391306.3</v>
      </c>
      <c r="R10" s="156">
        <f t="shared" si="5"/>
        <v>263054.64</v>
      </c>
      <c r="S10" s="129">
        <f t="shared" si="6"/>
        <v>-0.327752607100882</v>
      </c>
      <c r="T10" s="60">
        <v>351010.01</v>
      </c>
      <c r="U10" s="60">
        <v>236175.35</v>
      </c>
      <c r="V10" s="129">
        <f t="shared" si="7"/>
        <v>-0.327154943529958</v>
      </c>
      <c r="W10" s="60">
        <f t="shared" si="8"/>
        <v>742316.31</v>
      </c>
      <c r="X10" s="60">
        <f t="shared" si="9"/>
        <v>499229.99</v>
      </c>
      <c r="Y10" s="129">
        <f t="shared" si="10"/>
        <v>-0.327469997257638</v>
      </c>
      <c r="Z10" s="60">
        <v>88963.62</v>
      </c>
      <c r="AA10" s="60">
        <v>180910.35</v>
      </c>
      <c r="AB10" s="129">
        <f t="shared" si="0"/>
        <v>1.0335317964804</v>
      </c>
      <c r="AC10" s="60">
        <f t="shared" si="11"/>
        <v>831279.93</v>
      </c>
      <c r="AD10" s="60">
        <f t="shared" si="12"/>
        <v>680140.34</v>
      </c>
      <c r="AE10" s="129">
        <f t="shared" si="1"/>
        <v>-0.181815516705666</v>
      </c>
      <c r="AF10" s="133">
        <v>190850.41</v>
      </c>
      <c r="AG10" s="133">
        <v>470039.53</v>
      </c>
      <c r="AH10" s="129">
        <f t="shared" si="13"/>
        <v>1.4628688510546</v>
      </c>
      <c r="AI10" s="133">
        <f t="shared" si="14"/>
        <v>1022130.34</v>
      </c>
      <c r="AJ10" s="133">
        <f t="shared" si="15"/>
        <v>1150179.87</v>
      </c>
      <c r="AK10" s="129">
        <f t="shared" si="16"/>
        <v>0.125277105070573</v>
      </c>
      <c r="AL10" s="133">
        <v>98273.44</v>
      </c>
      <c r="AM10" s="133">
        <v>402723.13</v>
      </c>
      <c r="AN10" s="129">
        <f t="shared" si="17"/>
        <v>3.09798547807017</v>
      </c>
      <c r="AO10" s="133">
        <f t="shared" si="18"/>
        <v>1120403.78</v>
      </c>
      <c r="AP10" s="133">
        <f t="shared" si="19"/>
        <v>1552903</v>
      </c>
      <c r="AQ10" s="129">
        <f t="shared" si="20"/>
        <v>0.386020850447327</v>
      </c>
      <c r="AR10" s="133">
        <v>192151.31</v>
      </c>
      <c r="AS10" s="133">
        <v>187966.16</v>
      </c>
      <c r="AT10" s="129">
        <f t="shared" si="21"/>
        <v>-0.0217804916344312</v>
      </c>
      <c r="AU10" s="133">
        <f t="shared" si="22"/>
        <v>1312555.09</v>
      </c>
      <c r="AV10" s="133">
        <f t="shared" si="23"/>
        <v>1740869.16</v>
      </c>
      <c r="AW10" s="129">
        <f t="shared" si="24"/>
        <v>0.326320832750723</v>
      </c>
      <c r="AX10" s="60">
        <v>5498</v>
      </c>
      <c r="AY10" s="60"/>
      <c r="AZ10" s="129">
        <f t="shared" si="25"/>
        <v>-1</v>
      </c>
      <c r="BA10" s="60">
        <f t="shared" si="26"/>
        <v>1318053.09</v>
      </c>
      <c r="BB10" s="60">
        <f t="shared" si="27"/>
        <v>1740869.16</v>
      </c>
      <c r="BC10" s="129">
        <f t="shared" si="28"/>
        <v>0.320788345483109</v>
      </c>
      <c r="BD10" s="60">
        <v>198631.31</v>
      </c>
      <c r="BE10" s="133">
        <v>222946.83</v>
      </c>
      <c r="BF10" s="133">
        <v>433820.52</v>
      </c>
      <c r="BG10" s="133">
        <v>396596.85</v>
      </c>
      <c r="BH10" s="133">
        <v>2570048.6</v>
      </c>
      <c r="BI10" s="159">
        <f t="shared" si="29"/>
        <v>0.682693788235294</v>
      </c>
      <c r="BJ10" s="133"/>
    </row>
    <row r="11" ht="12.75" customHeight="1" spans="1:62">
      <c r="A11" s="141">
        <v>18</v>
      </c>
      <c r="B11" s="141" t="s">
        <v>31</v>
      </c>
      <c r="C11" s="141" t="s">
        <v>31</v>
      </c>
      <c r="D11" s="123" t="s">
        <v>312</v>
      </c>
      <c r="E11" s="126" t="s">
        <v>60</v>
      </c>
      <c r="F11" s="126" t="s">
        <v>55</v>
      </c>
      <c r="G11" s="276" t="s">
        <v>302</v>
      </c>
      <c r="H11" s="276" t="s">
        <v>302</v>
      </c>
      <c r="I11" s="126" t="s">
        <v>303</v>
      </c>
      <c r="J11" s="126">
        <v>80</v>
      </c>
      <c r="K11" s="156">
        <v>117626</v>
      </c>
      <c r="L11" s="156">
        <v>25380</v>
      </c>
      <c r="M11" s="129">
        <f t="shared" si="2"/>
        <v>-0.784231377416558</v>
      </c>
      <c r="N11" s="156"/>
      <c r="O11" s="156"/>
      <c r="P11" s="129" t="e">
        <f t="shared" si="3"/>
        <v>#DIV/0!</v>
      </c>
      <c r="Q11" s="156">
        <f t="shared" si="4"/>
        <v>117626</v>
      </c>
      <c r="R11" s="156">
        <f t="shared" si="5"/>
        <v>25380</v>
      </c>
      <c r="S11" s="129">
        <f t="shared" si="6"/>
        <v>-0.784231377416558</v>
      </c>
      <c r="T11" s="60">
        <v>67824</v>
      </c>
      <c r="U11" s="60">
        <v>96952</v>
      </c>
      <c r="V11" s="129">
        <f t="shared" si="7"/>
        <v>0.429464496343477</v>
      </c>
      <c r="W11" s="60">
        <f t="shared" si="8"/>
        <v>185450</v>
      </c>
      <c r="X11" s="60">
        <f t="shared" si="9"/>
        <v>122332</v>
      </c>
      <c r="Y11" s="129">
        <f t="shared" si="10"/>
        <v>-0.340350498786735</v>
      </c>
      <c r="Z11" s="60">
        <v>64458</v>
      </c>
      <c r="AA11" s="60">
        <v>38300</v>
      </c>
      <c r="AB11" s="129">
        <f t="shared" si="0"/>
        <v>-0.40581463898973</v>
      </c>
      <c r="AC11" s="60">
        <f t="shared" si="11"/>
        <v>249908</v>
      </c>
      <c r="AD11" s="60">
        <f t="shared" si="12"/>
        <v>160632</v>
      </c>
      <c r="AE11" s="129">
        <f t="shared" si="1"/>
        <v>-0.357235462650255</v>
      </c>
      <c r="AF11" s="133">
        <v>34120</v>
      </c>
      <c r="AG11" s="133">
        <v>20125</v>
      </c>
      <c r="AH11" s="129">
        <f t="shared" si="13"/>
        <v>-0.410169988276671</v>
      </c>
      <c r="AI11" s="133">
        <f t="shared" si="14"/>
        <v>284028</v>
      </c>
      <c r="AJ11" s="133">
        <f t="shared" si="15"/>
        <v>180757</v>
      </c>
      <c r="AK11" s="129">
        <f t="shared" si="16"/>
        <v>-0.363594434351543</v>
      </c>
      <c r="AL11" s="133">
        <v>44233</v>
      </c>
      <c r="AM11" s="133">
        <v>23218</v>
      </c>
      <c r="AN11" s="129">
        <f t="shared" si="17"/>
        <v>-0.4750977776773</v>
      </c>
      <c r="AO11" s="133">
        <f t="shared" si="18"/>
        <v>328261</v>
      </c>
      <c r="AP11" s="133">
        <f t="shared" si="19"/>
        <v>203975</v>
      </c>
      <c r="AQ11" s="129">
        <f t="shared" si="20"/>
        <v>-0.378619452204191</v>
      </c>
      <c r="AR11" s="133">
        <v>83621</v>
      </c>
      <c r="AS11" s="133">
        <v>18904</v>
      </c>
      <c r="AT11" s="129">
        <f t="shared" si="21"/>
        <v>-0.77393238540558</v>
      </c>
      <c r="AU11" s="133">
        <f t="shared" si="22"/>
        <v>411882</v>
      </c>
      <c r="AV11" s="133">
        <f t="shared" si="23"/>
        <v>222879</v>
      </c>
      <c r="AW11" s="129">
        <f t="shared" si="24"/>
        <v>-0.45887657144522</v>
      </c>
      <c r="AX11" s="60">
        <v>73305</v>
      </c>
      <c r="AY11" s="60">
        <v>37956</v>
      </c>
      <c r="AZ11" s="129">
        <f t="shared" si="25"/>
        <v>-0.482218129731942</v>
      </c>
      <c r="BA11" s="60">
        <f t="shared" si="26"/>
        <v>485187</v>
      </c>
      <c r="BB11" s="60">
        <f t="shared" si="27"/>
        <v>260835</v>
      </c>
      <c r="BC11" s="129">
        <f t="shared" si="28"/>
        <v>-0.462403155896592</v>
      </c>
      <c r="BD11" s="60">
        <v>67023</v>
      </c>
      <c r="BE11" s="133">
        <v>30612</v>
      </c>
      <c r="BF11" s="133">
        <v>105827</v>
      </c>
      <c r="BG11" s="133">
        <v>114232</v>
      </c>
      <c r="BH11" s="133">
        <v>802881</v>
      </c>
      <c r="BI11" s="159">
        <f t="shared" si="29"/>
        <v>0.32604375</v>
      </c>
      <c r="BJ11" s="133"/>
    </row>
    <row r="12" ht="12.75" customHeight="1" spans="1:62">
      <c r="A12" s="141">
        <v>21</v>
      </c>
      <c r="B12" s="141" t="s">
        <v>31</v>
      </c>
      <c r="C12" s="141" t="s">
        <v>31</v>
      </c>
      <c r="D12" s="123" t="s">
        <v>313</v>
      </c>
      <c r="E12" s="126" t="s">
        <v>60</v>
      </c>
      <c r="F12" s="126" t="s">
        <v>60</v>
      </c>
      <c r="G12" s="276" t="s">
        <v>302</v>
      </c>
      <c r="H12" s="276" t="s">
        <v>302</v>
      </c>
      <c r="I12" s="126" t="s">
        <v>303</v>
      </c>
      <c r="J12" s="126">
        <v>15</v>
      </c>
      <c r="K12" s="156"/>
      <c r="L12" s="156"/>
      <c r="M12" s="129" t="e">
        <f t="shared" si="2"/>
        <v>#DIV/0!</v>
      </c>
      <c r="N12" s="156"/>
      <c r="O12" s="156">
        <v>50000</v>
      </c>
      <c r="P12" s="129" t="e">
        <f t="shared" si="3"/>
        <v>#DIV/0!</v>
      </c>
      <c r="Q12" s="156">
        <f t="shared" si="4"/>
        <v>0</v>
      </c>
      <c r="R12" s="156">
        <f t="shared" si="5"/>
        <v>50000</v>
      </c>
      <c r="S12" s="129" t="e">
        <f t="shared" si="6"/>
        <v>#DIV/0!</v>
      </c>
      <c r="T12" s="60">
        <v>80000</v>
      </c>
      <c r="U12" s="60"/>
      <c r="V12" s="129">
        <f t="shared" si="7"/>
        <v>-1</v>
      </c>
      <c r="W12" s="60">
        <f t="shared" si="8"/>
        <v>80000</v>
      </c>
      <c r="X12" s="60">
        <f t="shared" si="9"/>
        <v>50000</v>
      </c>
      <c r="Y12" s="129">
        <f t="shared" si="10"/>
        <v>-0.375</v>
      </c>
      <c r="Z12" s="60"/>
      <c r="AA12" s="60"/>
      <c r="AB12" s="129" t="e">
        <f t="shared" si="0"/>
        <v>#DIV/0!</v>
      </c>
      <c r="AC12" s="60">
        <f t="shared" si="11"/>
        <v>80000</v>
      </c>
      <c r="AD12" s="60">
        <f t="shared" si="12"/>
        <v>50000</v>
      </c>
      <c r="AE12" s="129">
        <f t="shared" si="1"/>
        <v>-0.375</v>
      </c>
      <c r="AF12" s="133"/>
      <c r="AG12" s="133">
        <v>50000</v>
      </c>
      <c r="AH12" s="129" t="e">
        <f t="shared" si="13"/>
        <v>#DIV/0!</v>
      </c>
      <c r="AI12" s="133">
        <f t="shared" si="14"/>
        <v>80000</v>
      </c>
      <c r="AJ12" s="133">
        <f t="shared" si="15"/>
        <v>100000</v>
      </c>
      <c r="AK12" s="129">
        <f t="shared" si="16"/>
        <v>0.25</v>
      </c>
      <c r="AL12" s="133"/>
      <c r="AM12" s="133"/>
      <c r="AN12" s="129" t="e">
        <f t="shared" si="17"/>
        <v>#DIV/0!</v>
      </c>
      <c r="AO12" s="133">
        <f t="shared" si="18"/>
        <v>80000</v>
      </c>
      <c r="AP12" s="133">
        <f t="shared" si="19"/>
        <v>100000</v>
      </c>
      <c r="AQ12" s="129">
        <f t="shared" si="20"/>
        <v>0.25</v>
      </c>
      <c r="AR12" s="133"/>
      <c r="AS12" s="133"/>
      <c r="AT12" s="129" t="e">
        <f t="shared" si="21"/>
        <v>#DIV/0!</v>
      </c>
      <c r="AU12" s="133">
        <f t="shared" si="22"/>
        <v>80000</v>
      </c>
      <c r="AV12" s="133">
        <f t="shared" si="23"/>
        <v>100000</v>
      </c>
      <c r="AW12" s="129">
        <f t="shared" si="24"/>
        <v>0.25</v>
      </c>
      <c r="AX12" s="60"/>
      <c r="AY12" s="60"/>
      <c r="AZ12" s="129" t="e">
        <f t="shared" si="25"/>
        <v>#DIV/0!</v>
      </c>
      <c r="BA12" s="60">
        <f t="shared" si="26"/>
        <v>80000</v>
      </c>
      <c r="BB12" s="60">
        <f t="shared" si="27"/>
        <v>100000</v>
      </c>
      <c r="BC12" s="129">
        <f t="shared" si="28"/>
        <v>0.25</v>
      </c>
      <c r="BD12" s="60">
        <v>70000</v>
      </c>
      <c r="BE12" s="133"/>
      <c r="BF12" s="133"/>
      <c r="BG12" s="133"/>
      <c r="BH12" s="133">
        <v>150000</v>
      </c>
      <c r="BI12" s="159">
        <f t="shared" si="29"/>
        <v>0.666666666666667</v>
      </c>
      <c r="BJ12" s="133"/>
    </row>
    <row r="13" ht="12.75" customHeight="1" spans="1:62">
      <c r="A13" s="141">
        <v>24</v>
      </c>
      <c r="B13" s="141" t="s">
        <v>31</v>
      </c>
      <c r="C13" s="141" t="s">
        <v>31</v>
      </c>
      <c r="D13" s="123" t="s">
        <v>314</v>
      </c>
      <c r="E13" s="126" t="s">
        <v>83</v>
      </c>
      <c r="F13" s="126" t="s">
        <v>83</v>
      </c>
      <c r="G13" s="126" t="s">
        <v>310</v>
      </c>
      <c r="H13" s="126" t="s">
        <v>315</v>
      </c>
      <c r="I13" s="126" t="s">
        <v>311</v>
      </c>
      <c r="J13" s="126">
        <v>300</v>
      </c>
      <c r="K13" s="156">
        <v>128759.4</v>
      </c>
      <c r="L13" s="156">
        <v>97114.8</v>
      </c>
      <c r="M13" s="129">
        <f t="shared" si="2"/>
        <v>-0.245765357713689</v>
      </c>
      <c r="N13" s="156">
        <v>10674</v>
      </c>
      <c r="O13" s="156">
        <v>76505</v>
      </c>
      <c r="P13" s="129">
        <f t="shared" si="3"/>
        <v>6.16741615139592</v>
      </c>
      <c r="Q13" s="156">
        <f t="shared" si="4"/>
        <v>139433.4</v>
      </c>
      <c r="R13" s="156">
        <f t="shared" si="5"/>
        <v>173619.8</v>
      </c>
      <c r="S13" s="129">
        <f t="shared" si="6"/>
        <v>0.245180853367988</v>
      </c>
      <c r="T13" s="60">
        <v>147311</v>
      </c>
      <c r="U13" s="60">
        <v>115302.5</v>
      </c>
      <c r="V13" s="129">
        <f t="shared" si="7"/>
        <v>-0.217285199340171</v>
      </c>
      <c r="W13" s="60">
        <f t="shared" si="8"/>
        <v>286744.4</v>
      </c>
      <c r="X13" s="60">
        <f t="shared" si="9"/>
        <v>288922.3</v>
      </c>
      <c r="Y13" s="129">
        <f t="shared" si="10"/>
        <v>0.00759526602786309</v>
      </c>
      <c r="Z13" s="60">
        <v>67882</v>
      </c>
      <c r="AA13" s="60">
        <v>122170</v>
      </c>
      <c r="AB13" s="129">
        <f t="shared" si="0"/>
        <v>0.799740726554904</v>
      </c>
      <c r="AC13" s="60">
        <f t="shared" si="11"/>
        <v>354626.4</v>
      </c>
      <c r="AD13" s="60">
        <f t="shared" si="12"/>
        <v>411092.3</v>
      </c>
      <c r="AE13" s="129">
        <f t="shared" si="1"/>
        <v>0.15922644225021</v>
      </c>
      <c r="AF13" s="133">
        <v>79008</v>
      </c>
      <c r="AG13" s="133">
        <v>107147.96</v>
      </c>
      <c r="AH13" s="129">
        <f t="shared" si="13"/>
        <v>0.356165957877683</v>
      </c>
      <c r="AI13" s="133">
        <f t="shared" si="14"/>
        <v>433634.4</v>
      </c>
      <c r="AJ13" s="133">
        <f t="shared" si="15"/>
        <v>518240.26</v>
      </c>
      <c r="AK13" s="129">
        <f t="shared" si="16"/>
        <v>0.195108736760737</v>
      </c>
      <c r="AL13" s="133">
        <v>141634</v>
      </c>
      <c r="AM13" s="133">
        <f>164436.5-3750</f>
        <v>160686.5</v>
      </c>
      <c r="AN13" s="129">
        <f t="shared" si="17"/>
        <v>0.134519253851476</v>
      </c>
      <c r="AO13" s="133">
        <f t="shared" si="18"/>
        <v>575268.4</v>
      </c>
      <c r="AP13" s="133">
        <f t="shared" si="19"/>
        <v>678926.76</v>
      </c>
      <c r="AQ13" s="129">
        <f t="shared" si="20"/>
        <v>0.180191298531259</v>
      </c>
      <c r="AR13" s="133">
        <v>61947</v>
      </c>
      <c r="AS13" s="133">
        <v>141849</v>
      </c>
      <c r="AT13" s="129">
        <f t="shared" si="21"/>
        <v>1.28984454453</v>
      </c>
      <c r="AU13" s="133">
        <f t="shared" si="22"/>
        <v>637215.4</v>
      </c>
      <c r="AV13" s="133">
        <f t="shared" si="23"/>
        <v>820775.76</v>
      </c>
      <c r="AW13" s="129">
        <f t="shared" si="24"/>
        <v>0.288066421495777</v>
      </c>
      <c r="AX13" s="60">
        <v>109869</v>
      </c>
      <c r="AY13" s="60">
        <v>101282.5</v>
      </c>
      <c r="AZ13" s="129">
        <f t="shared" si="25"/>
        <v>-0.0781521630305182</v>
      </c>
      <c r="BA13" s="60">
        <f t="shared" si="26"/>
        <v>747084.4</v>
      </c>
      <c r="BB13" s="60">
        <f t="shared" si="27"/>
        <v>922058.26</v>
      </c>
      <c r="BC13" s="129">
        <f t="shared" si="28"/>
        <v>0.234208959523181</v>
      </c>
      <c r="BD13" s="60">
        <v>222217.4</v>
      </c>
      <c r="BE13" s="133">
        <v>255911.44</v>
      </c>
      <c r="BF13" s="133">
        <v>226147.87</v>
      </c>
      <c r="BG13" s="133">
        <v>234700</v>
      </c>
      <c r="BH13" s="133">
        <v>1686061.11</v>
      </c>
      <c r="BI13" s="159">
        <f t="shared" si="29"/>
        <v>0.307352753333333</v>
      </c>
      <c r="BJ13" s="133"/>
    </row>
    <row r="14" ht="12.75" customHeight="1" spans="1:62">
      <c r="A14" s="141">
        <v>28</v>
      </c>
      <c r="B14" s="141" t="s">
        <v>31</v>
      </c>
      <c r="C14" s="141" t="s">
        <v>31</v>
      </c>
      <c r="D14" s="123" t="s">
        <v>316</v>
      </c>
      <c r="E14" s="126" t="s">
        <v>60</v>
      </c>
      <c r="F14" s="126" t="s">
        <v>60</v>
      </c>
      <c r="G14" s="126" t="s">
        <v>317</v>
      </c>
      <c r="H14" s="126" t="s">
        <v>317</v>
      </c>
      <c r="I14" s="126" t="s">
        <v>311</v>
      </c>
      <c r="J14" s="126">
        <v>10</v>
      </c>
      <c r="K14" s="156">
        <v>22414</v>
      </c>
      <c r="L14" s="156">
        <v>24348</v>
      </c>
      <c r="M14" s="129">
        <f t="shared" si="2"/>
        <v>0.0862853573659319</v>
      </c>
      <c r="N14" s="156"/>
      <c r="O14" s="156"/>
      <c r="P14" s="129" t="e">
        <f t="shared" si="3"/>
        <v>#DIV/0!</v>
      </c>
      <c r="Q14" s="156">
        <f t="shared" si="4"/>
        <v>22414</v>
      </c>
      <c r="R14" s="156">
        <f t="shared" si="5"/>
        <v>24348</v>
      </c>
      <c r="S14" s="129">
        <f t="shared" si="6"/>
        <v>0.0862853573659319</v>
      </c>
      <c r="T14" s="60">
        <v>8562</v>
      </c>
      <c r="U14" s="60"/>
      <c r="V14" s="129">
        <f t="shared" si="7"/>
        <v>-1</v>
      </c>
      <c r="W14" s="60">
        <f t="shared" si="8"/>
        <v>30976</v>
      </c>
      <c r="X14" s="60">
        <f t="shared" si="9"/>
        <v>24348</v>
      </c>
      <c r="Y14" s="129">
        <f t="shared" si="10"/>
        <v>-0.213972107438017</v>
      </c>
      <c r="Z14" s="60">
        <v>11897</v>
      </c>
      <c r="AA14" s="60"/>
      <c r="AB14" s="129">
        <f t="shared" si="0"/>
        <v>-1</v>
      </c>
      <c r="AC14" s="60">
        <f t="shared" si="11"/>
        <v>42873</v>
      </c>
      <c r="AD14" s="60">
        <f t="shared" si="12"/>
        <v>24348</v>
      </c>
      <c r="AE14" s="129">
        <f t="shared" si="1"/>
        <v>-0.432090126653138</v>
      </c>
      <c r="AF14" s="133"/>
      <c r="AG14" s="133">
        <v>2243</v>
      </c>
      <c r="AH14" s="129" t="e">
        <f t="shared" si="13"/>
        <v>#DIV/0!</v>
      </c>
      <c r="AI14" s="133">
        <f t="shared" si="14"/>
        <v>42873</v>
      </c>
      <c r="AJ14" s="133">
        <f t="shared" si="15"/>
        <v>26591</v>
      </c>
      <c r="AK14" s="129">
        <f t="shared" si="16"/>
        <v>-0.379772817390899</v>
      </c>
      <c r="AL14" s="133">
        <v>4395</v>
      </c>
      <c r="AM14" s="133">
        <v>4682</v>
      </c>
      <c r="AN14" s="129">
        <f t="shared" si="17"/>
        <v>0.0653014789533561</v>
      </c>
      <c r="AO14" s="133">
        <f t="shared" si="18"/>
        <v>47268</v>
      </c>
      <c r="AP14" s="133">
        <f t="shared" si="19"/>
        <v>31273</v>
      </c>
      <c r="AQ14" s="129">
        <f t="shared" si="20"/>
        <v>-0.338389608191588</v>
      </c>
      <c r="AR14" s="133">
        <v>5164</v>
      </c>
      <c r="AS14" s="133"/>
      <c r="AT14" s="129">
        <f t="shared" si="21"/>
        <v>-1</v>
      </c>
      <c r="AU14" s="133">
        <f t="shared" si="22"/>
        <v>52432</v>
      </c>
      <c r="AV14" s="133">
        <f t="shared" si="23"/>
        <v>31273</v>
      </c>
      <c r="AW14" s="129">
        <f t="shared" si="24"/>
        <v>-0.403551266402197</v>
      </c>
      <c r="AX14" s="60"/>
      <c r="AY14" s="60"/>
      <c r="AZ14" s="129" t="e">
        <f t="shared" si="25"/>
        <v>#DIV/0!</v>
      </c>
      <c r="BA14" s="60">
        <f t="shared" si="26"/>
        <v>52432</v>
      </c>
      <c r="BB14" s="60">
        <f t="shared" si="27"/>
        <v>31273</v>
      </c>
      <c r="BC14" s="129">
        <f t="shared" si="28"/>
        <v>-0.403551266402197</v>
      </c>
      <c r="BD14" s="60"/>
      <c r="BE14" s="133">
        <v>7532</v>
      </c>
      <c r="BF14" s="133">
        <v>8696</v>
      </c>
      <c r="BG14" s="133">
        <v>16170</v>
      </c>
      <c r="BH14" s="133">
        <v>84830</v>
      </c>
      <c r="BI14" s="159">
        <f t="shared" si="29"/>
        <v>0.31273</v>
      </c>
      <c r="BJ14" s="133"/>
    </row>
    <row r="15" ht="12.75" customHeight="1" spans="1:75">
      <c r="A15" s="141">
        <v>33</v>
      </c>
      <c r="B15" s="141" t="s">
        <v>31</v>
      </c>
      <c r="C15" s="141" t="s">
        <v>31</v>
      </c>
      <c r="D15" s="123" t="s">
        <v>318</v>
      </c>
      <c r="E15" s="126" t="s">
        <v>64</v>
      </c>
      <c r="F15" s="126" t="s">
        <v>64</v>
      </c>
      <c r="G15" s="276" t="s">
        <v>298</v>
      </c>
      <c r="H15" s="276" t="s">
        <v>298</v>
      </c>
      <c r="I15" s="126" t="s">
        <v>299</v>
      </c>
      <c r="J15" s="126">
        <v>450</v>
      </c>
      <c r="K15" s="156">
        <v>677727</v>
      </c>
      <c r="L15" s="156">
        <v>190515</v>
      </c>
      <c r="M15" s="129">
        <f t="shared" si="2"/>
        <v>-0.718891234966292</v>
      </c>
      <c r="N15" s="156">
        <v>173900</v>
      </c>
      <c r="O15" s="156">
        <v>228000</v>
      </c>
      <c r="P15" s="129">
        <f t="shared" si="3"/>
        <v>0.311098332374928</v>
      </c>
      <c r="Q15" s="156">
        <f t="shared" si="4"/>
        <v>851627</v>
      </c>
      <c r="R15" s="156">
        <f t="shared" si="5"/>
        <v>418515</v>
      </c>
      <c r="S15" s="129">
        <f t="shared" si="6"/>
        <v>-0.508570066472763</v>
      </c>
      <c r="T15" s="60">
        <v>145771</v>
      </c>
      <c r="U15" s="60">
        <v>261049</v>
      </c>
      <c r="V15" s="129">
        <f t="shared" si="7"/>
        <v>0.790815731524103</v>
      </c>
      <c r="W15" s="60">
        <f t="shared" si="8"/>
        <v>997398</v>
      </c>
      <c r="X15" s="60">
        <f t="shared" si="9"/>
        <v>679564</v>
      </c>
      <c r="Y15" s="129">
        <f t="shared" si="10"/>
        <v>-0.318663161546344</v>
      </c>
      <c r="Z15" s="60">
        <v>250795</v>
      </c>
      <c r="AA15" s="60">
        <v>329500</v>
      </c>
      <c r="AB15" s="129">
        <f t="shared" si="0"/>
        <v>0.313822045894057</v>
      </c>
      <c r="AC15" s="60">
        <f t="shared" si="11"/>
        <v>1248193</v>
      </c>
      <c r="AD15" s="60">
        <f t="shared" si="12"/>
        <v>1009064</v>
      </c>
      <c r="AE15" s="129">
        <f t="shared" si="1"/>
        <v>-0.191580148262328</v>
      </c>
      <c r="AF15" s="133">
        <v>200300</v>
      </c>
      <c r="AG15" s="133">
        <v>155000</v>
      </c>
      <c r="AH15" s="129">
        <f t="shared" si="13"/>
        <v>-0.226160758861707</v>
      </c>
      <c r="AI15" s="133">
        <f t="shared" si="14"/>
        <v>1448493</v>
      </c>
      <c r="AJ15" s="133">
        <f t="shared" si="15"/>
        <v>1164064</v>
      </c>
      <c r="AK15" s="129">
        <f t="shared" si="16"/>
        <v>-0.196362012104995</v>
      </c>
      <c r="AL15" s="133">
        <v>151000</v>
      </c>
      <c r="AM15" s="133">
        <v>445000</v>
      </c>
      <c r="AN15" s="129">
        <f t="shared" si="17"/>
        <v>1.94701986754967</v>
      </c>
      <c r="AO15" s="133">
        <f t="shared" si="18"/>
        <v>1599493</v>
      </c>
      <c r="AP15" s="133">
        <f t="shared" si="19"/>
        <v>1609064</v>
      </c>
      <c r="AQ15" s="129">
        <f t="shared" si="20"/>
        <v>0.00598377110746973</v>
      </c>
      <c r="AR15" s="133">
        <v>472796</v>
      </c>
      <c r="AS15" s="133">
        <v>150000</v>
      </c>
      <c r="AT15" s="129">
        <f t="shared" si="21"/>
        <v>-0.682738432643254</v>
      </c>
      <c r="AU15" s="133">
        <f t="shared" si="22"/>
        <v>2072289</v>
      </c>
      <c r="AV15" s="133">
        <f t="shared" si="23"/>
        <v>1759064</v>
      </c>
      <c r="AW15" s="129">
        <f t="shared" si="24"/>
        <v>-0.151149284679888</v>
      </c>
      <c r="AX15" s="60">
        <v>134750</v>
      </c>
      <c r="AY15" s="60">
        <v>37000</v>
      </c>
      <c r="AZ15" s="129">
        <f t="shared" si="25"/>
        <v>-0.725417439703154</v>
      </c>
      <c r="BA15" s="60">
        <f t="shared" si="26"/>
        <v>2207039</v>
      </c>
      <c r="BB15" s="60">
        <f t="shared" si="27"/>
        <v>1796064</v>
      </c>
      <c r="BC15" s="129">
        <f t="shared" si="28"/>
        <v>-0.186211027535082</v>
      </c>
      <c r="BD15" s="60">
        <v>360300</v>
      </c>
      <c r="BE15" s="133">
        <v>394866</v>
      </c>
      <c r="BF15" s="133">
        <v>677000</v>
      </c>
      <c r="BG15" s="133">
        <v>600000</v>
      </c>
      <c r="BH15" s="133">
        <v>4239205</v>
      </c>
      <c r="BI15" s="159">
        <f t="shared" si="29"/>
        <v>0.399125333333333</v>
      </c>
      <c r="BJ15" s="133">
        <v>139715</v>
      </c>
      <c r="BW15" s="140">
        <v>96274</v>
      </c>
    </row>
    <row r="16" s="140" customFormat="1" ht="15" customHeight="1" spans="1:62">
      <c r="A16" s="141">
        <v>35</v>
      </c>
      <c r="B16" s="141" t="s">
        <v>31</v>
      </c>
      <c r="C16" s="141" t="s">
        <v>31</v>
      </c>
      <c r="D16" s="123" t="s">
        <v>319</v>
      </c>
      <c r="E16" s="126" t="s">
        <v>87</v>
      </c>
      <c r="F16" s="126" t="s">
        <v>87</v>
      </c>
      <c r="G16" s="126" t="s">
        <v>310</v>
      </c>
      <c r="H16" s="276" t="s">
        <v>79</v>
      </c>
      <c r="I16" s="126" t="s">
        <v>87</v>
      </c>
      <c r="J16" s="126"/>
      <c r="K16" s="156">
        <v>359328.06</v>
      </c>
      <c r="L16" s="156">
        <v>209819.54</v>
      </c>
      <c r="M16" s="129">
        <f t="shared" si="2"/>
        <v>-0.416078054132483</v>
      </c>
      <c r="N16" s="156">
        <v>31108.2</v>
      </c>
      <c r="O16" s="156">
        <v>98077.6</v>
      </c>
      <c r="P16" s="129">
        <f t="shared" si="3"/>
        <v>2.15278929671276</v>
      </c>
      <c r="Q16" s="156">
        <f t="shared" si="4"/>
        <v>390436.26</v>
      </c>
      <c r="R16" s="156">
        <f t="shared" si="5"/>
        <v>307897.14</v>
      </c>
      <c r="S16" s="129">
        <f t="shared" si="6"/>
        <v>-0.211402291375294</v>
      </c>
      <c r="T16" s="60">
        <v>122373</v>
      </c>
      <c r="U16" s="60">
        <v>85959.56</v>
      </c>
      <c r="V16" s="129">
        <f t="shared" si="7"/>
        <v>-0.297561063306448</v>
      </c>
      <c r="W16" s="60">
        <f t="shared" si="8"/>
        <v>512809.26</v>
      </c>
      <c r="X16" s="60">
        <f t="shared" si="9"/>
        <v>393856.7</v>
      </c>
      <c r="Y16" s="129">
        <f t="shared" si="10"/>
        <v>-0.231962581954936</v>
      </c>
      <c r="Z16" s="60">
        <v>193409.14</v>
      </c>
      <c r="AA16" s="60">
        <v>150343.9</v>
      </c>
      <c r="AB16" s="129">
        <f t="shared" si="0"/>
        <v>-0.22266393408295</v>
      </c>
      <c r="AC16" s="60">
        <f t="shared" si="11"/>
        <v>706218.4</v>
      </c>
      <c r="AD16" s="60">
        <f t="shared" si="12"/>
        <v>544200.6</v>
      </c>
      <c r="AE16" s="129">
        <f t="shared" si="1"/>
        <v>-0.229415999356573</v>
      </c>
      <c r="AF16" s="133">
        <v>273952.8</v>
      </c>
      <c r="AG16" s="133">
        <v>333981.7</v>
      </c>
      <c r="AH16" s="129">
        <f t="shared" si="13"/>
        <v>0.219121323089233</v>
      </c>
      <c r="AI16" s="133">
        <f t="shared" si="14"/>
        <v>980171.2</v>
      </c>
      <c r="AJ16" s="133">
        <f t="shared" si="15"/>
        <v>878182.3</v>
      </c>
      <c r="AK16" s="129">
        <f t="shared" si="16"/>
        <v>-0.104052128852592</v>
      </c>
      <c r="AL16" s="133">
        <v>194775.4</v>
      </c>
      <c r="AM16" s="133">
        <v>148782.46</v>
      </c>
      <c r="AN16" s="129">
        <f t="shared" si="17"/>
        <v>-0.23613320778702</v>
      </c>
      <c r="AO16" s="133">
        <f t="shared" si="18"/>
        <v>1174946.6</v>
      </c>
      <c r="AP16" s="133">
        <f t="shared" si="19"/>
        <v>1026964.76</v>
      </c>
      <c r="AQ16" s="129">
        <f t="shared" si="20"/>
        <v>-0.125947715411066</v>
      </c>
      <c r="AR16" s="133">
        <v>100347.56</v>
      </c>
      <c r="AS16" s="133">
        <v>29372.56</v>
      </c>
      <c r="AT16" s="129">
        <f t="shared" si="21"/>
        <v>-0.707291736839441</v>
      </c>
      <c r="AU16" s="133">
        <f t="shared" si="22"/>
        <v>1275294.16</v>
      </c>
      <c r="AV16" s="133">
        <f t="shared" si="23"/>
        <v>1056337.32</v>
      </c>
      <c r="AW16" s="129">
        <f t="shared" si="24"/>
        <v>-0.171691243375568</v>
      </c>
      <c r="AX16" s="60">
        <v>163598.6</v>
      </c>
      <c r="AY16" s="60">
        <v>21814.36</v>
      </c>
      <c r="AZ16" s="129">
        <f t="shared" si="25"/>
        <v>-0.866659250140282</v>
      </c>
      <c r="BA16" s="60">
        <f t="shared" si="26"/>
        <v>1438892.76</v>
      </c>
      <c r="BB16" s="60">
        <f t="shared" si="27"/>
        <v>1078151.68</v>
      </c>
      <c r="BC16" s="129">
        <f t="shared" si="28"/>
        <v>-0.25070741199643</v>
      </c>
      <c r="BD16" s="60">
        <v>171985.3</v>
      </c>
      <c r="BE16" s="133">
        <v>189329.4</v>
      </c>
      <c r="BF16" s="133">
        <v>510376.7</v>
      </c>
      <c r="BG16" s="133">
        <v>787432.02</v>
      </c>
      <c r="BH16" s="133">
        <v>3098016.18</v>
      </c>
      <c r="BI16" s="159" t="e">
        <f t="shared" si="29"/>
        <v>#DIV/0!</v>
      </c>
      <c r="BJ16" s="133"/>
    </row>
    <row r="17" ht="15" customHeight="1" spans="1:75">
      <c r="A17" s="141">
        <v>36</v>
      </c>
      <c r="B17" s="141" t="s">
        <v>31</v>
      </c>
      <c r="C17" s="141" t="s">
        <v>31</v>
      </c>
      <c r="D17" s="125" t="s">
        <v>320</v>
      </c>
      <c r="E17" s="126" t="s">
        <v>64</v>
      </c>
      <c r="F17" s="126" t="s">
        <v>64</v>
      </c>
      <c r="G17" s="126" t="s">
        <v>317</v>
      </c>
      <c r="H17" s="126" t="s">
        <v>317</v>
      </c>
      <c r="I17" s="126" t="s">
        <v>311</v>
      </c>
      <c r="J17" s="126">
        <v>180</v>
      </c>
      <c r="K17" s="156">
        <v>190877</v>
      </c>
      <c r="L17" s="156">
        <v>124553</v>
      </c>
      <c r="M17" s="129">
        <f t="shared" si="2"/>
        <v>-0.347469836596342</v>
      </c>
      <c r="N17" s="156">
        <v>115237</v>
      </c>
      <c r="O17" s="156">
        <v>24048</v>
      </c>
      <c r="P17" s="129">
        <f t="shared" si="3"/>
        <v>-0.791317024913873</v>
      </c>
      <c r="Q17" s="156">
        <f t="shared" si="4"/>
        <v>306114</v>
      </c>
      <c r="R17" s="156">
        <f t="shared" si="5"/>
        <v>148601</v>
      </c>
      <c r="S17" s="129">
        <f t="shared" si="6"/>
        <v>-0.514556668430715</v>
      </c>
      <c r="T17" s="60">
        <v>170001</v>
      </c>
      <c r="U17" s="60">
        <v>80216</v>
      </c>
      <c r="V17" s="129">
        <f t="shared" si="7"/>
        <v>-0.528143952094399</v>
      </c>
      <c r="W17" s="60">
        <f t="shared" si="8"/>
        <v>476115</v>
      </c>
      <c r="X17" s="60">
        <f t="shared" si="9"/>
        <v>228817</v>
      </c>
      <c r="Y17" s="129">
        <f t="shared" si="10"/>
        <v>-0.519408126188001</v>
      </c>
      <c r="Z17" s="60">
        <v>133545.01</v>
      </c>
      <c r="AA17" s="60">
        <v>116884</v>
      </c>
      <c r="AB17" s="129">
        <f t="shared" si="0"/>
        <v>-0.124759509921037</v>
      </c>
      <c r="AC17" s="60">
        <f t="shared" si="11"/>
        <v>609660.01</v>
      </c>
      <c r="AD17" s="60">
        <f t="shared" si="12"/>
        <v>345701</v>
      </c>
      <c r="AE17" s="129">
        <f t="shared" si="1"/>
        <v>-0.432961003953663</v>
      </c>
      <c r="AF17" s="133">
        <v>137247</v>
      </c>
      <c r="AG17" s="133">
        <v>83303</v>
      </c>
      <c r="AH17" s="129">
        <f t="shared" si="13"/>
        <v>-0.393043199487056</v>
      </c>
      <c r="AI17" s="133">
        <f t="shared" si="14"/>
        <v>746907.01</v>
      </c>
      <c r="AJ17" s="133">
        <f t="shared" si="15"/>
        <v>429004</v>
      </c>
      <c r="AK17" s="129">
        <f t="shared" si="16"/>
        <v>-0.425625955766569</v>
      </c>
      <c r="AL17" s="133">
        <v>73110</v>
      </c>
      <c r="AM17" s="133">
        <v>130252</v>
      </c>
      <c r="AN17" s="129">
        <f t="shared" si="17"/>
        <v>0.781589385856928</v>
      </c>
      <c r="AO17" s="133">
        <f t="shared" si="18"/>
        <v>820017.01</v>
      </c>
      <c r="AP17" s="133">
        <f t="shared" si="19"/>
        <v>559256</v>
      </c>
      <c r="AQ17" s="129">
        <f t="shared" si="20"/>
        <v>-0.317994635257627</v>
      </c>
      <c r="AR17" s="133">
        <v>237026</v>
      </c>
      <c r="AS17" s="133">
        <v>141469</v>
      </c>
      <c r="AT17" s="129">
        <f t="shared" si="21"/>
        <v>-0.403149865415608</v>
      </c>
      <c r="AU17" s="133">
        <f t="shared" si="22"/>
        <v>1057043.01</v>
      </c>
      <c r="AV17" s="133">
        <f t="shared" si="23"/>
        <v>700725</v>
      </c>
      <c r="AW17" s="129">
        <f t="shared" si="24"/>
        <v>-0.337089415122285</v>
      </c>
      <c r="AX17" s="60">
        <v>128884</v>
      </c>
      <c r="AY17" s="60">
        <v>51966</v>
      </c>
      <c r="AZ17" s="129">
        <f t="shared" si="25"/>
        <v>-0.596800223456752</v>
      </c>
      <c r="BA17" s="60">
        <f t="shared" si="26"/>
        <v>1185927.01</v>
      </c>
      <c r="BB17" s="60">
        <f t="shared" si="27"/>
        <v>752691</v>
      </c>
      <c r="BC17" s="129">
        <f t="shared" si="28"/>
        <v>-0.365314227896707</v>
      </c>
      <c r="BD17" s="60">
        <v>187530</v>
      </c>
      <c r="BE17" s="133">
        <v>134763</v>
      </c>
      <c r="BF17" s="133">
        <v>339902</v>
      </c>
      <c r="BG17" s="133">
        <v>248400</v>
      </c>
      <c r="BH17" s="133">
        <v>2096522.01</v>
      </c>
      <c r="BI17" s="159">
        <f t="shared" si="29"/>
        <v>0.418161666666667</v>
      </c>
      <c r="BJ17" s="133">
        <v>46222</v>
      </c>
      <c r="BW17" s="140">
        <v>63492</v>
      </c>
    </row>
    <row r="18" ht="15" customHeight="1" spans="1:62">
      <c r="A18" s="141">
        <v>37</v>
      </c>
      <c r="B18" s="141" t="s">
        <v>31</v>
      </c>
      <c r="C18" s="141" t="s">
        <v>31</v>
      </c>
      <c r="D18" s="125" t="s">
        <v>321</v>
      </c>
      <c r="E18" s="126" t="s">
        <v>60</v>
      </c>
      <c r="F18" s="126" t="s">
        <v>60</v>
      </c>
      <c r="G18" s="126" t="s">
        <v>302</v>
      </c>
      <c r="H18" s="126" t="s">
        <v>302</v>
      </c>
      <c r="I18" s="126" t="s">
        <v>303</v>
      </c>
      <c r="J18" s="126">
        <v>6</v>
      </c>
      <c r="K18" s="156">
        <v>6016</v>
      </c>
      <c r="L18" s="156"/>
      <c r="M18" s="129">
        <f t="shared" si="2"/>
        <v>-1</v>
      </c>
      <c r="N18" s="156"/>
      <c r="O18" s="156"/>
      <c r="P18" s="129" t="e">
        <f t="shared" si="3"/>
        <v>#DIV/0!</v>
      </c>
      <c r="Q18" s="156">
        <f t="shared" si="4"/>
        <v>6016</v>
      </c>
      <c r="R18" s="156">
        <f t="shared" si="5"/>
        <v>0</v>
      </c>
      <c r="S18" s="129">
        <f t="shared" si="6"/>
        <v>-1</v>
      </c>
      <c r="T18" s="60">
        <v>4163</v>
      </c>
      <c r="U18" s="60">
        <v>4482</v>
      </c>
      <c r="V18" s="129">
        <f t="shared" si="7"/>
        <v>0.0766274321402836</v>
      </c>
      <c r="W18" s="60">
        <f t="shared" si="8"/>
        <v>10179</v>
      </c>
      <c r="X18" s="60">
        <f t="shared" si="9"/>
        <v>4482</v>
      </c>
      <c r="Y18" s="129">
        <f t="shared" si="10"/>
        <v>-0.559681697612732</v>
      </c>
      <c r="Z18" s="60">
        <v>2182</v>
      </c>
      <c r="AA18" s="60"/>
      <c r="AB18" s="129">
        <f t="shared" si="0"/>
        <v>-1</v>
      </c>
      <c r="AC18" s="60">
        <f t="shared" si="11"/>
        <v>12361</v>
      </c>
      <c r="AD18" s="60">
        <f t="shared" si="12"/>
        <v>4482</v>
      </c>
      <c r="AE18" s="129">
        <f t="shared" si="1"/>
        <v>-0.637407976700914</v>
      </c>
      <c r="AF18" s="133">
        <v>9620</v>
      </c>
      <c r="AG18" s="133">
        <v>2290</v>
      </c>
      <c r="AH18" s="129">
        <f t="shared" si="13"/>
        <v>-0.761954261954262</v>
      </c>
      <c r="AI18" s="133">
        <f t="shared" si="14"/>
        <v>21981</v>
      </c>
      <c r="AJ18" s="133">
        <f t="shared" si="15"/>
        <v>6772</v>
      </c>
      <c r="AK18" s="129">
        <f t="shared" si="16"/>
        <v>-0.691915745416496</v>
      </c>
      <c r="AL18" s="133">
        <v>12120</v>
      </c>
      <c r="AM18" s="133">
        <v>10188</v>
      </c>
      <c r="AN18" s="129">
        <f t="shared" si="17"/>
        <v>-0.159405940594059</v>
      </c>
      <c r="AO18" s="133">
        <f t="shared" si="18"/>
        <v>34101</v>
      </c>
      <c r="AP18" s="133">
        <f t="shared" si="19"/>
        <v>16960</v>
      </c>
      <c r="AQ18" s="129">
        <f t="shared" si="20"/>
        <v>-0.502653881117856</v>
      </c>
      <c r="AR18" s="133">
        <v>2764</v>
      </c>
      <c r="AS18" s="133"/>
      <c r="AT18" s="129">
        <f t="shared" si="21"/>
        <v>-1</v>
      </c>
      <c r="AU18" s="133">
        <f t="shared" si="22"/>
        <v>36865</v>
      </c>
      <c r="AV18" s="133">
        <f t="shared" si="23"/>
        <v>16960</v>
      </c>
      <c r="AW18" s="129">
        <f t="shared" si="24"/>
        <v>-0.53994303539943</v>
      </c>
      <c r="AX18" s="60"/>
      <c r="AY18" s="60"/>
      <c r="AZ18" s="129" t="e">
        <f t="shared" si="25"/>
        <v>#DIV/0!</v>
      </c>
      <c r="BA18" s="60">
        <f t="shared" si="26"/>
        <v>36865</v>
      </c>
      <c r="BB18" s="60">
        <f t="shared" si="27"/>
        <v>16960</v>
      </c>
      <c r="BC18" s="129">
        <f t="shared" si="28"/>
        <v>-0.53994303539943</v>
      </c>
      <c r="BD18" s="60">
        <v>3730</v>
      </c>
      <c r="BE18" s="133">
        <v>14176</v>
      </c>
      <c r="BF18" s="133"/>
      <c r="BG18" s="133">
        <v>5086</v>
      </c>
      <c r="BH18" s="133">
        <v>59857</v>
      </c>
      <c r="BI18" s="159">
        <f t="shared" si="29"/>
        <v>0.282666666666667</v>
      </c>
      <c r="BJ18" s="133"/>
    </row>
    <row r="19" ht="15" customHeight="1" spans="1:62">
      <c r="A19" s="141">
        <v>38</v>
      </c>
      <c r="B19" s="141" t="s">
        <v>31</v>
      </c>
      <c r="C19" s="141" t="s">
        <v>31</v>
      </c>
      <c r="D19" s="125" t="s">
        <v>322</v>
      </c>
      <c r="E19" s="126" t="s">
        <v>60</v>
      </c>
      <c r="F19" s="126" t="s">
        <v>60</v>
      </c>
      <c r="G19" s="126" t="s">
        <v>317</v>
      </c>
      <c r="H19" s="126" t="s">
        <v>317</v>
      </c>
      <c r="I19" s="126" t="s">
        <v>311</v>
      </c>
      <c r="J19" s="126">
        <v>10</v>
      </c>
      <c r="K19" s="156">
        <v>790</v>
      </c>
      <c r="L19" s="156">
        <v>2087</v>
      </c>
      <c r="M19" s="129">
        <f t="shared" si="2"/>
        <v>1.64177215189873</v>
      </c>
      <c r="N19" s="156"/>
      <c r="O19" s="156"/>
      <c r="P19" s="129" t="e">
        <f t="shared" si="3"/>
        <v>#DIV/0!</v>
      </c>
      <c r="Q19" s="156">
        <f t="shared" si="4"/>
        <v>790</v>
      </c>
      <c r="R19" s="156">
        <f t="shared" si="5"/>
        <v>2087</v>
      </c>
      <c r="S19" s="129">
        <f t="shared" si="6"/>
        <v>1.64177215189873</v>
      </c>
      <c r="T19" s="60">
        <v>12209</v>
      </c>
      <c r="U19" s="60">
        <v>13450</v>
      </c>
      <c r="V19" s="129">
        <f t="shared" si="7"/>
        <v>0.101646326480465</v>
      </c>
      <c r="W19" s="60">
        <f t="shared" si="8"/>
        <v>12999</v>
      </c>
      <c r="X19" s="60">
        <f t="shared" si="9"/>
        <v>15537</v>
      </c>
      <c r="Y19" s="129">
        <f t="shared" si="10"/>
        <v>0.195245788137549</v>
      </c>
      <c r="Z19" s="60"/>
      <c r="AA19" s="60"/>
      <c r="AB19" s="129" t="e">
        <f t="shared" si="0"/>
        <v>#DIV/0!</v>
      </c>
      <c r="AC19" s="60">
        <f t="shared" si="11"/>
        <v>12999</v>
      </c>
      <c r="AD19" s="60">
        <f t="shared" si="12"/>
        <v>15537</v>
      </c>
      <c r="AE19" s="129">
        <f t="shared" si="1"/>
        <v>0.195245788137549</v>
      </c>
      <c r="AF19" s="133"/>
      <c r="AG19" s="133">
        <v>7030</v>
      </c>
      <c r="AH19" s="129" t="e">
        <f t="shared" si="13"/>
        <v>#DIV/0!</v>
      </c>
      <c r="AI19" s="133">
        <f t="shared" si="14"/>
        <v>12999</v>
      </c>
      <c r="AJ19" s="133">
        <f t="shared" si="15"/>
        <v>22567</v>
      </c>
      <c r="AK19" s="129">
        <f t="shared" si="16"/>
        <v>0.73605661973998</v>
      </c>
      <c r="AL19" s="133"/>
      <c r="AM19" s="133"/>
      <c r="AN19" s="129" t="e">
        <f t="shared" si="17"/>
        <v>#DIV/0!</v>
      </c>
      <c r="AO19" s="133">
        <f t="shared" si="18"/>
        <v>12999</v>
      </c>
      <c r="AP19" s="133">
        <f t="shared" si="19"/>
        <v>22567</v>
      </c>
      <c r="AQ19" s="129">
        <f t="shared" si="20"/>
        <v>0.73605661973998</v>
      </c>
      <c r="AR19" s="133"/>
      <c r="AS19" s="133">
        <v>4580</v>
      </c>
      <c r="AT19" s="129" t="e">
        <f t="shared" si="21"/>
        <v>#DIV/0!</v>
      </c>
      <c r="AU19" s="133">
        <f t="shared" si="22"/>
        <v>12999</v>
      </c>
      <c r="AV19" s="133">
        <f t="shared" si="23"/>
        <v>27147</v>
      </c>
      <c r="AW19" s="129">
        <f t="shared" si="24"/>
        <v>1.08839141472421</v>
      </c>
      <c r="AX19" s="60">
        <v>3273</v>
      </c>
      <c r="AY19" s="60"/>
      <c r="AZ19" s="129">
        <f t="shared" si="25"/>
        <v>-1</v>
      </c>
      <c r="BA19" s="60">
        <f t="shared" si="26"/>
        <v>16272</v>
      </c>
      <c r="BB19" s="60">
        <f t="shared" si="27"/>
        <v>27147</v>
      </c>
      <c r="BC19" s="129">
        <f t="shared" si="28"/>
        <v>0.668325958702065</v>
      </c>
      <c r="BD19" s="60"/>
      <c r="BE19" s="133"/>
      <c r="BF19" s="133">
        <v>11527</v>
      </c>
      <c r="BG19" s="133"/>
      <c r="BH19" s="133">
        <v>27799</v>
      </c>
      <c r="BI19" s="159">
        <f t="shared" si="29"/>
        <v>0.27147</v>
      </c>
      <c r="BJ19" s="133"/>
    </row>
    <row r="20" ht="15" customHeight="1" spans="1:62">
      <c r="A20" s="141">
        <v>40</v>
      </c>
      <c r="B20" s="141" t="s">
        <v>31</v>
      </c>
      <c r="C20" s="141" t="s">
        <v>31</v>
      </c>
      <c r="D20" s="125" t="s">
        <v>323</v>
      </c>
      <c r="E20" s="126" t="s">
        <v>60</v>
      </c>
      <c r="F20" s="126" t="s">
        <v>60</v>
      </c>
      <c r="G20" s="126" t="s">
        <v>317</v>
      </c>
      <c r="H20" s="126" t="s">
        <v>317</v>
      </c>
      <c r="I20" s="126" t="s">
        <v>311</v>
      </c>
      <c r="J20" s="126">
        <v>20</v>
      </c>
      <c r="K20" s="156">
        <v>12124</v>
      </c>
      <c r="L20" s="156">
        <v>4502</v>
      </c>
      <c r="M20" s="129">
        <f t="shared" si="2"/>
        <v>-0.628670405806664</v>
      </c>
      <c r="N20" s="156"/>
      <c r="O20" s="156"/>
      <c r="P20" s="129" t="e">
        <f t="shared" si="3"/>
        <v>#DIV/0!</v>
      </c>
      <c r="Q20" s="156">
        <f t="shared" si="4"/>
        <v>12124</v>
      </c>
      <c r="R20" s="156">
        <f t="shared" si="5"/>
        <v>4502</v>
      </c>
      <c r="S20" s="129">
        <f t="shared" si="6"/>
        <v>-0.628670405806664</v>
      </c>
      <c r="T20" s="60">
        <v>8622</v>
      </c>
      <c r="U20" s="60">
        <v>3150</v>
      </c>
      <c r="V20" s="129">
        <f t="shared" si="7"/>
        <v>-0.634655532359081</v>
      </c>
      <c r="W20" s="60">
        <f t="shared" si="8"/>
        <v>20746</v>
      </c>
      <c r="X20" s="60">
        <f t="shared" si="9"/>
        <v>7652</v>
      </c>
      <c r="Y20" s="129">
        <f t="shared" si="10"/>
        <v>-0.63115781355442</v>
      </c>
      <c r="Z20" s="60">
        <v>6511</v>
      </c>
      <c r="AA20" s="60">
        <v>4074</v>
      </c>
      <c r="AB20" s="129">
        <f t="shared" si="0"/>
        <v>-0.374289663646137</v>
      </c>
      <c r="AC20" s="60">
        <f t="shared" si="11"/>
        <v>27257</v>
      </c>
      <c r="AD20" s="60">
        <f t="shared" si="12"/>
        <v>11726</v>
      </c>
      <c r="AE20" s="129">
        <f t="shared" si="1"/>
        <v>-0.56979858385002</v>
      </c>
      <c r="AF20" s="133"/>
      <c r="AG20" s="133">
        <v>5828</v>
      </c>
      <c r="AH20" s="129" t="e">
        <f t="shared" si="13"/>
        <v>#DIV/0!</v>
      </c>
      <c r="AI20" s="133">
        <f t="shared" si="14"/>
        <v>27257</v>
      </c>
      <c r="AJ20" s="133">
        <f t="shared" si="15"/>
        <v>17554</v>
      </c>
      <c r="AK20" s="129">
        <f t="shared" si="16"/>
        <v>-0.355981949590931</v>
      </c>
      <c r="AL20" s="133">
        <v>3647</v>
      </c>
      <c r="AM20" s="133"/>
      <c r="AN20" s="129">
        <f t="shared" si="17"/>
        <v>-1</v>
      </c>
      <c r="AO20" s="133">
        <f t="shared" si="18"/>
        <v>30904</v>
      </c>
      <c r="AP20" s="133">
        <f t="shared" si="19"/>
        <v>17554</v>
      </c>
      <c r="AQ20" s="129">
        <f t="shared" si="20"/>
        <v>-0.431982914833031</v>
      </c>
      <c r="AR20" s="133">
        <v>11076</v>
      </c>
      <c r="AS20" s="133">
        <v>16590</v>
      </c>
      <c r="AT20" s="129">
        <f t="shared" si="21"/>
        <v>0.49783315276273</v>
      </c>
      <c r="AU20" s="133">
        <f t="shared" si="22"/>
        <v>41980</v>
      </c>
      <c r="AV20" s="133">
        <f t="shared" si="23"/>
        <v>34144</v>
      </c>
      <c r="AW20" s="129">
        <f t="shared" si="24"/>
        <v>-0.186660314435445</v>
      </c>
      <c r="AX20" s="60"/>
      <c r="AY20" s="60"/>
      <c r="AZ20" s="129" t="e">
        <f t="shared" si="25"/>
        <v>#DIV/0!</v>
      </c>
      <c r="BA20" s="60">
        <f t="shared" si="26"/>
        <v>41980</v>
      </c>
      <c r="BB20" s="60">
        <f t="shared" si="27"/>
        <v>34144</v>
      </c>
      <c r="BC20" s="129">
        <f t="shared" si="28"/>
        <v>-0.186660314435445</v>
      </c>
      <c r="BD20" s="60"/>
      <c r="BE20" s="133"/>
      <c r="BF20" s="133"/>
      <c r="BG20" s="133">
        <v>18931</v>
      </c>
      <c r="BH20" s="133">
        <v>60911</v>
      </c>
      <c r="BI20" s="159">
        <f t="shared" si="29"/>
        <v>0.17072</v>
      </c>
      <c r="BJ20" s="133"/>
    </row>
    <row r="21" s="140" customFormat="1" ht="15" customHeight="1" spans="1:62">
      <c r="A21" s="141">
        <v>43</v>
      </c>
      <c r="B21" s="141" t="s">
        <v>31</v>
      </c>
      <c r="C21" s="141" t="s">
        <v>31</v>
      </c>
      <c r="D21" s="125" t="s">
        <v>324</v>
      </c>
      <c r="E21" s="126" t="s">
        <v>60</v>
      </c>
      <c r="F21" s="126" t="s">
        <v>60</v>
      </c>
      <c r="G21" s="126" t="s">
        <v>317</v>
      </c>
      <c r="H21" s="126" t="s">
        <v>317</v>
      </c>
      <c r="I21" s="126" t="s">
        <v>311</v>
      </c>
      <c r="J21" s="126"/>
      <c r="K21" s="156"/>
      <c r="L21" s="156"/>
      <c r="M21" s="129" t="e">
        <f t="shared" si="2"/>
        <v>#DIV/0!</v>
      </c>
      <c r="N21" s="156"/>
      <c r="O21" s="156"/>
      <c r="P21" s="129" t="e">
        <f t="shared" si="3"/>
        <v>#DIV/0!</v>
      </c>
      <c r="Q21" s="156">
        <f t="shared" si="4"/>
        <v>0</v>
      </c>
      <c r="R21" s="156">
        <f t="shared" si="5"/>
        <v>0</v>
      </c>
      <c r="S21" s="129" t="e">
        <f t="shared" si="6"/>
        <v>#DIV/0!</v>
      </c>
      <c r="T21" s="60"/>
      <c r="U21" s="60"/>
      <c r="V21" s="129" t="e">
        <f t="shared" si="7"/>
        <v>#DIV/0!</v>
      </c>
      <c r="W21" s="60">
        <f t="shared" si="8"/>
        <v>0</v>
      </c>
      <c r="X21" s="60">
        <f t="shared" si="9"/>
        <v>0</v>
      </c>
      <c r="Y21" s="129" t="e">
        <f t="shared" si="10"/>
        <v>#DIV/0!</v>
      </c>
      <c r="Z21" s="60"/>
      <c r="AA21" s="60"/>
      <c r="AB21" s="129" t="e">
        <f t="shared" si="0"/>
        <v>#DIV/0!</v>
      </c>
      <c r="AC21" s="60">
        <f t="shared" si="11"/>
        <v>0</v>
      </c>
      <c r="AD21" s="60">
        <f t="shared" si="12"/>
        <v>0</v>
      </c>
      <c r="AE21" s="129" t="e">
        <f t="shared" si="1"/>
        <v>#DIV/0!</v>
      </c>
      <c r="AF21" s="133"/>
      <c r="AG21" s="133"/>
      <c r="AH21" s="129" t="e">
        <f t="shared" si="13"/>
        <v>#DIV/0!</v>
      </c>
      <c r="AI21" s="133">
        <f t="shared" si="14"/>
        <v>0</v>
      </c>
      <c r="AJ21" s="133">
        <f t="shared" si="15"/>
        <v>0</v>
      </c>
      <c r="AK21" s="129" t="e">
        <f t="shared" si="16"/>
        <v>#DIV/0!</v>
      </c>
      <c r="AL21" s="133"/>
      <c r="AM21" s="133"/>
      <c r="AN21" s="129" t="e">
        <f t="shared" si="17"/>
        <v>#DIV/0!</v>
      </c>
      <c r="AO21" s="133">
        <f t="shared" si="18"/>
        <v>0</v>
      </c>
      <c r="AP21" s="133">
        <f t="shared" si="19"/>
        <v>0</v>
      </c>
      <c r="AQ21" s="129" t="e">
        <f t="shared" si="20"/>
        <v>#DIV/0!</v>
      </c>
      <c r="AR21" s="133">
        <v>9300</v>
      </c>
      <c r="AS21" s="133"/>
      <c r="AT21" s="129">
        <f t="shared" si="21"/>
        <v>-1</v>
      </c>
      <c r="AU21" s="133">
        <f t="shared" si="22"/>
        <v>9300</v>
      </c>
      <c r="AV21" s="133">
        <f t="shared" si="23"/>
        <v>0</v>
      </c>
      <c r="AW21" s="129">
        <f t="shared" si="24"/>
        <v>-1</v>
      </c>
      <c r="AX21" s="60"/>
      <c r="AY21" s="60"/>
      <c r="AZ21" s="129" t="e">
        <f t="shared" si="25"/>
        <v>#DIV/0!</v>
      </c>
      <c r="BA21" s="60">
        <f t="shared" si="26"/>
        <v>9300</v>
      </c>
      <c r="BB21" s="60">
        <f t="shared" si="27"/>
        <v>0</v>
      </c>
      <c r="BC21" s="129">
        <f t="shared" si="28"/>
        <v>-1</v>
      </c>
      <c r="BD21" s="60"/>
      <c r="BE21" s="133"/>
      <c r="BF21" s="133"/>
      <c r="BG21" s="133"/>
      <c r="BH21" s="133">
        <v>9300</v>
      </c>
      <c r="BI21" s="159" t="e">
        <f t="shared" si="29"/>
        <v>#DIV/0!</v>
      </c>
      <c r="BJ21" s="133"/>
    </row>
    <row r="22" ht="15" customHeight="1" spans="1:62">
      <c r="A22" s="141">
        <v>45</v>
      </c>
      <c r="B22" s="141" t="s">
        <v>31</v>
      </c>
      <c r="C22" s="141" t="s">
        <v>31</v>
      </c>
      <c r="D22" s="125" t="s">
        <v>325</v>
      </c>
      <c r="E22" s="126" t="s">
        <v>60</v>
      </c>
      <c r="F22" s="126" t="s">
        <v>60</v>
      </c>
      <c r="G22" s="126" t="s">
        <v>317</v>
      </c>
      <c r="H22" s="126" t="s">
        <v>317</v>
      </c>
      <c r="I22" s="126" t="s">
        <v>311</v>
      </c>
      <c r="J22" s="126">
        <v>10</v>
      </c>
      <c r="K22" s="156">
        <v>11621</v>
      </c>
      <c r="L22" s="156">
        <v>3730</v>
      </c>
      <c r="M22" s="129">
        <f t="shared" si="2"/>
        <v>-0.679029343429997</v>
      </c>
      <c r="N22" s="156">
        <v>36823</v>
      </c>
      <c r="O22" s="156"/>
      <c r="P22" s="129">
        <f t="shared" si="3"/>
        <v>-1</v>
      </c>
      <c r="Q22" s="156">
        <f t="shared" si="4"/>
        <v>48444</v>
      </c>
      <c r="R22" s="156">
        <f t="shared" si="5"/>
        <v>3730</v>
      </c>
      <c r="S22" s="129">
        <f t="shared" si="6"/>
        <v>-0.923003880769548</v>
      </c>
      <c r="T22" s="60">
        <v>4256</v>
      </c>
      <c r="U22" s="60">
        <v>22606</v>
      </c>
      <c r="V22" s="129">
        <f t="shared" si="7"/>
        <v>4.31156015037594</v>
      </c>
      <c r="W22" s="60">
        <f t="shared" si="8"/>
        <v>52700</v>
      </c>
      <c r="X22" s="60">
        <f t="shared" si="9"/>
        <v>26336</v>
      </c>
      <c r="Y22" s="129">
        <f t="shared" si="10"/>
        <v>-0.500265654648956</v>
      </c>
      <c r="Z22" s="60"/>
      <c r="AA22" s="60">
        <v>11573</v>
      </c>
      <c r="AB22" s="129" t="e">
        <f t="shared" si="0"/>
        <v>#DIV/0!</v>
      </c>
      <c r="AC22" s="60">
        <f t="shared" si="11"/>
        <v>52700</v>
      </c>
      <c r="AD22" s="60">
        <f t="shared" si="12"/>
        <v>37909</v>
      </c>
      <c r="AE22" s="129">
        <f t="shared" si="1"/>
        <v>-0.280664136622391</v>
      </c>
      <c r="AF22" s="133">
        <v>35183</v>
      </c>
      <c r="AG22" s="133"/>
      <c r="AH22" s="129">
        <f t="shared" si="13"/>
        <v>-1</v>
      </c>
      <c r="AI22" s="133">
        <f t="shared" si="14"/>
        <v>87883</v>
      </c>
      <c r="AJ22" s="133">
        <f t="shared" si="15"/>
        <v>37909</v>
      </c>
      <c r="AK22" s="129">
        <f t="shared" si="16"/>
        <v>-0.568642399553952</v>
      </c>
      <c r="AL22" s="133"/>
      <c r="AM22" s="133"/>
      <c r="AN22" s="129" t="e">
        <f t="shared" si="17"/>
        <v>#DIV/0!</v>
      </c>
      <c r="AO22" s="133">
        <f t="shared" si="18"/>
        <v>87883</v>
      </c>
      <c r="AP22" s="133">
        <f t="shared" si="19"/>
        <v>37909</v>
      </c>
      <c r="AQ22" s="129">
        <f t="shared" si="20"/>
        <v>-0.568642399553952</v>
      </c>
      <c r="AR22" s="133">
        <v>35458</v>
      </c>
      <c r="AS22" s="133">
        <v>6025</v>
      </c>
      <c r="AT22" s="129">
        <f t="shared" si="21"/>
        <v>-0.830080658807603</v>
      </c>
      <c r="AU22" s="133">
        <f t="shared" si="22"/>
        <v>123341</v>
      </c>
      <c r="AV22" s="133">
        <f t="shared" si="23"/>
        <v>43934</v>
      </c>
      <c r="AW22" s="129">
        <f t="shared" si="24"/>
        <v>-0.643800520508185</v>
      </c>
      <c r="AX22" s="60">
        <v>18517</v>
      </c>
      <c r="AY22" s="60"/>
      <c r="AZ22" s="129">
        <f t="shared" si="25"/>
        <v>-1</v>
      </c>
      <c r="BA22" s="60">
        <f t="shared" si="26"/>
        <v>141858</v>
      </c>
      <c r="BB22" s="60">
        <f t="shared" si="27"/>
        <v>43934</v>
      </c>
      <c r="BC22" s="129">
        <f t="shared" si="28"/>
        <v>-0.690295929732549</v>
      </c>
      <c r="BD22" s="60">
        <v>29469</v>
      </c>
      <c r="BE22" s="133">
        <v>20687</v>
      </c>
      <c r="BF22" s="133"/>
      <c r="BG22" s="133">
        <v>18822</v>
      </c>
      <c r="BH22" s="133">
        <v>210836</v>
      </c>
      <c r="BI22" s="159">
        <f t="shared" si="29"/>
        <v>0.43934</v>
      </c>
      <c r="BJ22" s="133"/>
    </row>
    <row r="23" ht="15" customHeight="1" spans="1:62">
      <c r="A23" s="141">
        <v>47</v>
      </c>
      <c r="B23" s="141" t="s">
        <v>31</v>
      </c>
      <c r="C23" s="141" t="s">
        <v>31</v>
      </c>
      <c r="D23" s="125" t="s">
        <v>326</v>
      </c>
      <c r="E23" s="126" t="s">
        <v>60</v>
      </c>
      <c r="F23" s="126" t="s">
        <v>60</v>
      </c>
      <c r="G23" s="126" t="s">
        <v>327</v>
      </c>
      <c r="H23" s="126" t="s">
        <v>327</v>
      </c>
      <c r="I23" s="126" t="s">
        <v>311</v>
      </c>
      <c r="J23" s="126">
        <v>10</v>
      </c>
      <c r="K23" s="156">
        <v>5096</v>
      </c>
      <c r="L23" s="156"/>
      <c r="M23" s="129">
        <f t="shared" si="2"/>
        <v>-1</v>
      </c>
      <c r="N23" s="156">
        <v>15039</v>
      </c>
      <c r="O23" s="156"/>
      <c r="P23" s="129">
        <f t="shared" si="3"/>
        <v>-1</v>
      </c>
      <c r="Q23" s="156">
        <f t="shared" si="4"/>
        <v>20135</v>
      </c>
      <c r="R23" s="156">
        <f t="shared" si="5"/>
        <v>0</v>
      </c>
      <c r="S23" s="129">
        <f t="shared" si="6"/>
        <v>-1</v>
      </c>
      <c r="T23" s="60"/>
      <c r="U23" s="60"/>
      <c r="V23" s="129" t="e">
        <f t="shared" si="7"/>
        <v>#DIV/0!</v>
      </c>
      <c r="W23" s="60">
        <f t="shared" si="8"/>
        <v>20135</v>
      </c>
      <c r="X23" s="60">
        <f t="shared" si="9"/>
        <v>0</v>
      </c>
      <c r="Y23" s="129">
        <f t="shared" si="10"/>
        <v>-1</v>
      </c>
      <c r="Z23" s="60"/>
      <c r="AA23" s="60"/>
      <c r="AB23" s="129" t="e">
        <f t="shared" si="0"/>
        <v>#DIV/0!</v>
      </c>
      <c r="AC23" s="60">
        <f t="shared" si="11"/>
        <v>20135</v>
      </c>
      <c r="AD23" s="60">
        <f t="shared" si="12"/>
        <v>0</v>
      </c>
      <c r="AE23" s="129">
        <f t="shared" si="1"/>
        <v>-1</v>
      </c>
      <c r="AF23" s="133">
        <v>5156</v>
      </c>
      <c r="AG23" s="133"/>
      <c r="AH23" s="129">
        <f t="shared" si="13"/>
        <v>-1</v>
      </c>
      <c r="AI23" s="133">
        <f t="shared" si="14"/>
        <v>25291</v>
      </c>
      <c r="AJ23" s="133">
        <f t="shared" si="15"/>
        <v>0</v>
      </c>
      <c r="AK23" s="129">
        <f t="shared" si="16"/>
        <v>-1</v>
      </c>
      <c r="AL23" s="133"/>
      <c r="AM23" s="133"/>
      <c r="AN23" s="129" t="e">
        <f t="shared" si="17"/>
        <v>#DIV/0!</v>
      </c>
      <c r="AO23" s="133">
        <f t="shared" si="18"/>
        <v>25291</v>
      </c>
      <c r="AP23" s="133">
        <f t="shared" si="19"/>
        <v>0</v>
      </c>
      <c r="AQ23" s="129">
        <f t="shared" si="20"/>
        <v>-1</v>
      </c>
      <c r="AR23" s="133"/>
      <c r="AS23" s="133"/>
      <c r="AT23" s="129" t="e">
        <f t="shared" si="21"/>
        <v>#DIV/0!</v>
      </c>
      <c r="AU23" s="133">
        <f t="shared" si="22"/>
        <v>25291</v>
      </c>
      <c r="AV23" s="133">
        <f t="shared" si="23"/>
        <v>0</v>
      </c>
      <c r="AW23" s="129">
        <f t="shared" si="24"/>
        <v>-1</v>
      </c>
      <c r="AX23" s="60"/>
      <c r="AY23" s="60"/>
      <c r="AZ23" s="129" t="e">
        <f t="shared" si="25"/>
        <v>#DIV/0!</v>
      </c>
      <c r="BA23" s="60">
        <f t="shared" si="26"/>
        <v>25291</v>
      </c>
      <c r="BB23" s="60">
        <f t="shared" si="27"/>
        <v>0</v>
      </c>
      <c r="BC23" s="129">
        <f t="shared" si="28"/>
        <v>-1</v>
      </c>
      <c r="BD23" s="60">
        <v>2890</v>
      </c>
      <c r="BE23" s="133"/>
      <c r="BF23" s="133">
        <v>11211</v>
      </c>
      <c r="BG23" s="133">
        <v>2243</v>
      </c>
      <c r="BH23" s="133">
        <v>41635</v>
      </c>
      <c r="BI23" s="159">
        <f t="shared" si="29"/>
        <v>0</v>
      </c>
      <c r="BJ23" s="133"/>
    </row>
    <row r="24" ht="15" customHeight="1" spans="1:62">
      <c r="A24" s="141">
        <v>48</v>
      </c>
      <c r="B24" s="141" t="s">
        <v>31</v>
      </c>
      <c r="C24" s="141" t="s">
        <v>31</v>
      </c>
      <c r="D24" s="125" t="s">
        <v>328</v>
      </c>
      <c r="E24" s="126" t="s">
        <v>60</v>
      </c>
      <c r="F24" s="126" t="s">
        <v>60</v>
      </c>
      <c r="G24" s="126" t="s">
        <v>310</v>
      </c>
      <c r="H24" s="126" t="s">
        <v>315</v>
      </c>
      <c r="I24" s="126" t="s">
        <v>311</v>
      </c>
      <c r="J24" s="126">
        <v>10</v>
      </c>
      <c r="K24" s="156"/>
      <c r="L24" s="156">
        <v>5412</v>
      </c>
      <c r="M24" s="129" t="e">
        <f t="shared" si="2"/>
        <v>#DIV/0!</v>
      </c>
      <c r="N24" s="156">
        <v>10342</v>
      </c>
      <c r="O24" s="156">
        <v>2472</v>
      </c>
      <c r="P24" s="129">
        <f t="shared" si="3"/>
        <v>-0.760974666408818</v>
      </c>
      <c r="Q24" s="156">
        <f t="shared" si="4"/>
        <v>10342</v>
      </c>
      <c r="R24" s="156">
        <f t="shared" si="5"/>
        <v>7884</v>
      </c>
      <c r="S24" s="129">
        <f t="shared" si="6"/>
        <v>-0.2376716302456</v>
      </c>
      <c r="T24" s="60"/>
      <c r="U24" s="60"/>
      <c r="V24" s="129" t="e">
        <f t="shared" si="7"/>
        <v>#DIV/0!</v>
      </c>
      <c r="W24" s="60">
        <f t="shared" si="8"/>
        <v>10342</v>
      </c>
      <c r="X24" s="60">
        <f t="shared" si="9"/>
        <v>7884</v>
      </c>
      <c r="Y24" s="129">
        <f t="shared" si="10"/>
        <v>-0.2376716302456</v>
      </c>
      <c r="Z24" s="60">
        <v>2866</v>
      </c>
      <c r="AA24" s="60"/>
      <c r="AB24" s="129">
        <f t="shared" si="0"/>
        <v>-1</v>
      </c>
      <c r="AC24" s="60">
        <f t="shared" si="11"/>
        <v>13208</v>
      </c>
      <c r="AD24" s="60">
        <f t="shared" si="12"/>
        <v>7884</v>
      </c>
      <c r="AE24" s="129">
        <f t="shared" si="1"/>
        <v>-0.403089036947305</v>
      </c>
      <c r="AF24" s="133">
        <v>13931</v>
      </c>
      <c r="AG24" s="133">
        <v>2290</v>
      </c>
      <c r="AH24" s="129">
        <f t="shared" si="13"/>
        <v>-0.835618404996052</v>
      </c>
      <c r="AI24" s="133">
        <f t="shared" si="14"/>
        <v>27139</v>
      </c>
      <c r="AJ24" s="133">
        <f t="shared" si="15"/>
        <v>10174</v>
      </c>
      <c r="AK24" s="129">
        <f t="shared" si="16"/>
        <v>-0.625115147942076</v>
      </c>
      <c r="AL24" s="133">
        <v>7143</v>
      </c>
      <c r="AM24" s="133">
        <v>3236</v>
      </c>
      <c r="AN24" s="129">
        <f t="shared" si="17"/>
        <v>-0.546969060618788</v>
      </c>
      <c r="AO24" s="133">
        <f t="shared" si="18"/>
        <v>34282</v>
      </c>
      <c r="AP24" s="133">
        <f t="shared" si="19"/>
        <v>13410</v>
      </c>
      <c r="AQ24" s="129">
        <f t="shared" si="20"/>
        <v>-0.608832623534216</v>
      </c>
      <c r="AR24" s="133">
        <v>4821</v>
      </c>
      <c r="AS24" s="133">
        <v>10</v>
      </c>
      <c r="AT24" s="129">
        <f t="shared" si="21"/>
        <v>-0.997925741547397</v>
      </c>
      <c r="AU24" s="133">
        <f t="shared" si="22"/>
        <v>39103</v>
      </c>
      <c r="AV24" s="133">
        <f t="shared" si="23"/>
        <v>13420</v>
      </c>
      <c r="AW24" s="129">
        <f t="shared" si="24"/>
        <v>-0.656803825793417</v>
      </c>
      <c r="AX24" s="60">
        <v>2751</v>
      </c>
      <c r="AY24" s="60"/>
      <c r="AZ24" s="129">
        <f t="shared" si="25"/>
        <v>-1</v>
      </c>
      <c r="BA24" s="60">
        <f t="shared" si="26"/>
        <v>41854</v>
      </c>
      <c r="BB24" s="60">
        <f t="shared" si="27"/>
        <v>13420</v>
      </c>
      <c r="BC24" s="129">
        <f t="shared" si="28"/>
        <v>-0.679361590290056</v>
      </c>
      <c r="BD24" s="60">
        <v>5110</v>
      </c>
      <c r="BE24" s="133">
        <v>6507</v>
      </c>
      <c r="BF24" s="133">
        <v>3551</v>
      </c>
      <c r="BG24" s="133">
        <v>4944</v>
      </c>
      <c r="BH24" s="133">
        <v>61966</v>
      </c>
      <c r="BI24" s="159">
        <f t="shared" si="29"/>
        <v>0.1342</v>
      </c>
      <c r="BJ24" s="133"/>
    </row>
    <row r="25" ht="15" customHeight="1" spans="1:62">
      <c r="A25" s="141">
        <v>49</v>
      </c>
      <c r="B25" s="141" t="s">
        <v>31</v>
      </c>
      <c r="C25" s="141" t="s">
        <v>31</v>
      </c>
      <c r="D25" s="125" t="s">
        <v>329</v>
      </c>
      <c r="E25" s="126" t="s">
        <v>60</v>
      </c>
      <c r="F25" s="126" t="s">
        <v>60</v>
      </c>
      <c r="G25" s="126" t="s">
        <v>302</v>
      </c>
      <c r="H25" s="126" t="s">
        <v>302</v>
      </c>
      <c r="I25" s="126" t="s">
        <v>303</v>
      </c>
      <c r="J25" s="126">
        <v>5</v>
      </c>
      <c r="K25" s="156"/>
      <c r="L25" s="156"/>
      <c r="M25" s="129" t="e">
        <f t="shared" si="2"/>
        <v>#DIV/0!</v>
      </c>
      <c r="N25" s="156"/>
      <c r="O25" s="156"/>
      <c r="P25" s="129" t="e">
        <f t="shared" si="3"/>
        <v>#DIV/0!</v>
      </c>
      <c r="Q25" s="156">
        <f t="shared" si="4"/>
        <v>0</v>
      </c>
      <c r="R25" s="156">
        <f t="shared" si="5"/>
        <v>0</v>
      </c>
      <c r="S25" s="129" t="e">
        <f t="shared" si="6"/>
        <v>#DIV/0!</v>
      </c>
      <c r="T25" s="60"/>
      <c r="U25" s="60"/>
      <c r="V25" s="129" t="e">
        <f t="shared" si="7"/>
        <v>#DIV/0!</v>
      </c>
      <c r="W25" s="60">
        <f t="shared" si="8"/>
        <v>0</v>
      </c>
      <c r="X25" s="60">
        <f t="shared" si="9"/>
        <v>0</v>
      </c>
      <c r="Y25" s="129" t="e">
        <f t="shared" si="10"/>
        <v>#DIV/0!</v>
      </c>
      <c r="Z25" s="60"/>
      <c r="AA25" s="60"/>
      <c r="AB25" s="129" t="e">
        <f t="shared" si="0"/>
        <v>#DIV/0!</v>
      </c>
      <c r="AC25" s="60">
        <f t="shared" si="11"/>
        <v>0</v>
      </c>
      <c r="AD25" s="60">
        <f t="shared" si="12"/>
        <v>0</v>
      </c>
      <c r="AE25" s="129" t="e">
        <f t="shared" si="1"/>
        <v>#DIV/0!</v>
      </c>
      <c r="AF25" s="133">
        <v>6885</v>
      </c>
      <c r="AG25" s="133"/>
      <c r="AH25" s="129">
        <f t="shared" si="13"/>
        <v>-1</v>
      </c>
      <c r="AI25" s="133">
        <f t="shared" si="14"/>
        <v>6885</v>
      </c>
      <c r="AJ25" s="133">
        <f t="shared" si="15"/>
        <v>0</v>
      </c>
      <c r="AK25" s="129">
        <f t="shared" si="16"/>
        <v>-1</v>
      </c>
      <c r="AL25" s="133"/>
      <c r="AM25" s="133"/>
      <c r="AN25" s="129" t="e">
        <f t="shared" si="17"/>
        <v>#DIV/0!</v>
      </c>
      <c r="AO25" s="133">
        <f t="shared" si="18"/>
        <v>6885</v>
      </c>
      <c r="AP25" s="133">
        <f t="shared" si="19"/>
        <v>0</v>
      </c>
      <c r="AQ25" s="129">
        <f t="shared" si="20"/>
        <v>-1</v>
      </c>
      <c r="AR25" s="133"/>
      <c r="AS25" s="133"/>
      <c r="AT25" s="129" t="e">
        <f t="shared" si="21"/>
        <v>#DIV/0!</v>
      </c>
      <c r="AU25" s="133">
        <f t="shared" si="22"/>
        <v>6885</v>
      </c>
      <c r="AV25" s="133">
        <f t="shared" si="23"/>
        <v>0</v>
      </c>
      <c r="AW25" s="129">
        <f t="shared" si="24"/>
        <v>-1</v>
      </c>
      <c r="AX25" s="60">
        <v>2399</v>
      </c>
      <c r="AY25" s="60"/>
      <c r="AZ25" s="129">
        <f t="shared" si="25"/>
        <v>-1</v>
      </c>
      <c r="BA25" s="60">
        <f t="shared" si="26"/>
        <v>9284</v>
      </c>
      <c r="BB25" s="60">
        <f t="shared" si="27"/>
        <v>0</v>
      </c>
      <c r="BC25" s="129">
        <f t="shared" si="28"/>
        <v>-1</v>
      </c>
      <c r="BD25" s="60">
        <v>790</v>
      </c>
      <c r="BE25" s="133">
        <v>11215</v>
      </c>
      <c r="BF25" s="133"/>
      <c r="BG25" s="133"/>
      <c r="BH25" s="133">
        <v>21289</v>
      </c>
      <c r="BI25" s="159">
        <f t="shared" si="29"/>
        <v>0</v>
      </c>
      <c r="BJ25" s="133"/>
    </row>
    <row r="26" ht="15" customHeight="1" spans="1:62">
      <c r="A26" s="141">
        <v>50</v>
      </c>
      <c r="B26" s="141" t="s">
        <v>31</v>
      </c>
      <c r="C26" s="141" t="s">
        <v>31</v>
      </c>
      <c r="D26" s="125" t="s">
        <v>330</v>
      </c>
      <c r="E26" s="126" t="s">
        <v>60</v>
      </c>
      <c r="F26" s="126" t="s">
        <v>60</v>
      </c>
      <c r="G26" s="126" t="s">
        <v>302</v>
      </c>
      <c r="H26" s="126" t="s">
        <v>302</v>
      </c>
      <c r="I26" s="126" t="s">
        <v>303</v>
      </c>
      <c r="J26" s="126">
        <v>6</v>
      </c>
      <c r="K26" s="156">
        <v>6631</v>
      </c>
      <c r="L26" s="156"/>
      <c r="M26" s="129">
        <f t="shared" si="2"/>
        <v>-1</v>
      </c>
      <c r="N26" s="156"/>
      <c r="O26" s="156"/>
      <c r="P26" s="129" t="e">
        <f t="shared" si="3"/>
        <v>#DIV/0!</v>
      </c>
      <c r="Q26" s="156">
        <f t="shared" si="4"/>
        <v>6631</v>
      </c>
      <c r="R26" s="156">
        <f t="shared" si="5"/>
        <v>0</v>
      </c>
      <c r="S26" s="129">
        <f t="shared" si="6"/>
        <v>-1</v>
      </c>
      <c r="T26" s="60"/>
      <c r="U26" s="60"/>
      <c r="V26" s="129" t="e">
        <f t="shared" si="7"/>
        <v>#DIV/0!</v>
      </c>
      <c r="W26" s="60">
        <f t="shared" si="8"/>
        <v>6631</v>
      </c>
      <c r="X26" s="60">
        <f t="shared" si="9"/>
        <v>0</v>
      </c>
      <c r="Y26" s="129">
        <f t="shared" si="10"/>
        <v>-1</v>
      </c>
      <c r="Z26" s="60"/>
      <c r="AA26" s="60"/>
      <c r="AB26" s="129" t="e">
        <f t="shared" si="0"/>
        <v>#DIV/0!</v>
      </c>
      <c r="AC26" s="60">
        <f t="shared" si="11"/>
        <v>6631</v>
      </c>
      <c r="AD26" s="60">
        <f t="shared" si="12"/>
        <v>0</v>
      </c>
      <c r="AE26" s="129">
        <f t="shared" si="1"/>
        <v>-1</v>
      </c>
      <c r="AF26" s="133"/>
      <c r="AG26" s="133"/>
      <c r="AH26" s="129" t="e">
        <f t="shared" si="13"/>
        <v>#DIV/0!</v>
      </c>
      <c r="AI26" s="133">
        <f t="shared" si="14"/>
        <v>6631</v>
      </c>
      <c r="AJ26" s="133">
        <f t="shared" si="15"/>
        <v>0</v>
      </c>
      <c r="AK26" s="129">
        <f t="shared" si="16"/>
        <v>-1</v>
      </c>
      <c r="AL26" s="133"/>
      <c r="AM26" s="133"/>
      <c r="AN26" s="129" t="e">
        <f t="shared" si="17"/>
        <v>#DIV/0!</v>
      </c>
      <c r="AO26" s="133">
        <f t="shared" si="18"/>
        <v>6631</v>
      </c>
      <c r="AP26" s="133">
        <f t="shared" si="19"/>
        <v>0</v>
      </c>
      <c r="AQ26" s="129">
        <f t="shared" si="20"/>
        <v>-1</v>
      </c>
      <c r="AR26" s="133"/>
      <c r="AS26" s="133"/>
      <c r="AT26" s="129" t="e">
        <f t="shared" si="21"/>
        <v>#DIV/0!</v>
      </c>
      <c r="AU26" s="133">
        <f t="shared" si="22"/>
        <v>6631</v>
      </c>
      <c r="AV26" s="133">
        <f t="shared" si="23"/>
        <v>0</v>
      </c>
      <c r="AW26" s="129">
        <f t="shared" si="24"/>
        <v>-1</v>
      </c>
      <c r="AX26" s="60"/>
      <c r="AY26" s="60"/>
      <c r="AZ26" s="129" t="e">
        <f t="shared" si="25"/>
        <v>#DIV/0!</v>
      </c>
      <c r="BA26" s="60">
        <f t="shared" si="26"/>
        <v>6631</v>
      </c>
      <c r="BB26" s="60">
        <f t="shared" si="27"/>
        <v>0</v>
      </c>
      <c r="BC26" s="129">
        <f t="shared" si="28"/>
        <v>-1</v>
      </c>
      <c r="BD26" s="60"/>
      <c r="BE26" s="133"/>
      <c r="BF26" s="133"/>
      <c r="BG26" s="133"/>
      <c r="BH26" s="133">
        <v>6631</v>
      </c>
      <c r="BI26" s="159">
        <f t="shared" si="29"/>
        <v>0</v>
      </c>
      <c r="BJ26" s="133"/>
    </row>
    <row r="27" ht="12.75" customHeight="1" spans="1:62">
      <c r="A27" s="141">
        <v>52</v>
      </c>
      <c r="B27" s="141" t="s">
        <v>31</v>
      </c>
      <c r="C27" s="141" t="s">
        <v>31</v>
      </c>
      <c r="D27" s="125" t="s">
        <v>331</v>
      </c>
      <c r="E27" s="126" t="s">
        <v>60</v>
      </c>
      <c r="F27" s="126" t="s">
        <v>60</v>
      </c>
      <c r="G27" s="126" t="s">
        <v>302</v>
      </c>
      <c r="H27" s="126" t="s">
        <v>302</v>
      </c>
      <c r="I27" s="126" t="s">
        <v>303</v>
      </c>
      <c r="J27" s="126"/>
      <c r="K27" s="156">
        <v>5230</v>
      </c>
      <c r="L27" s="156"/>
      <c r="M27" s="129">
        <f t="shared" si="2"/>
        <v>-1</v>
      </c>
      <c r="N27" s="156"/>
      <c r="O27" s="156"/>
      <c r="P27" s="129" t="e">
        <f t="shared" si="3"/>
        <v>#DIV/0!</v>
      </c>
      <c r="Q27" s="156">
        <f t="shared" si="4"/>
        <v>5230</v>
      </c>
      <c r="R27" s="156">
        <f t="shared" si="5"/>
        <v>0</v>
      </c>
      <c r="S27" s="129">
        <f t="shared" si="6"/>
        <v>-1</v>
      </c>
      <c r="T27" s="60">
        <v>2243</v>
      </c>
      <c r="U27" s="60"/>
      <c r="V27" s="129">
        <f t="shared" si="7"/>
        <v>-1</v>
      </c>
      <c r="W27" s="60">
        <f t="shared" si="8"/>
        <v>7473</v>
      </c>
      <c r="X27" s="60">
        <f t="shared" si="9"/>
        <v>0</v>
      </c>
      <c r="Y27" s="129">
        <f t="shared" si="10"/>
        <v>-1</v>
      </c>
      <c r="Z27" s="60"/>
      <c r="AA27" s="60"/>
      <c r="AB27" s="129" t="e">
        <f t="shared" si="0"/>
        <v>#DIV/0!</v>
      </c>
      <c r="AC27" s="60">
        <f t="shared" si="11"/>
        <v>7473</v>
      </c>
      <c r="AD27" s="60">
        <f t="shared" si="12"/>
        <v>0</v>
      </c>
      <c r="AE27" s="129">
        <f t="shared" si="1"/>
        <v>-1</v>
      </c>
      <c r="AF27" s="133"/>
      <c r="AG27" s="133"/>
      <c r="AH27" s="129" t="e">
        <f t="shared" si="13"/>
        <v>#DIV/0!</v>
      </c>
      <c r="AI27" s="133">
        <f t="shared" si="14"/>
        <v>7473</v>
      </c>
      <c r="AJ27" s="133">
        <f t="shared" si="15"/>
        <v>0</v>
      </c>
      <c r="AK27" s="129">
        <f t="shared" si="16"/>
        <v>-1</v>
      </c>
      <c r="AL27" s="133"/>
      <c r="AM27" s="133"/>
      <c r="AN27" s="129" t="e">
        <f t="shared" si="17"/>
        <v>#DIV/0!</v>
      </c>
      <c r="AO27" s="133">
        <f t="shared" si="18"/>
        <v>7473</v>
      </c>
      <c r="AP27" s="133">
        <f t="shared" si="19"/>
        <v>0</v>
      </c>
      <c r="AQ27" s="129">
        <f t="shared" si="20"/>
        <v>-1</v>
      </c>
      <c r="AR27" s="133"/>
      <c r="AS27" s="133"/>
      <c r="AT27" s="129" t="e">
        <f t="shared" si="21"/>
        <v>#DIV/0!</v>
      </c>
      <c r="AU27" s="133">
        <f t="shared" si="22"/>
        <v>7473</v>
      </c>
      <c r="AV27" s="133">
        <f t="shared" si="23"/>
        <v>0</v>
      </c>
      <c r="AW27" s="129">
        <f t="shared" si="24"/>
        <v>-1</v>
      </c>
      <c r="AX27" s="60"/>
      <c r="AY27" s="60"/>
      <c r="AZ27" s="129" t="e">
        <f t="shared" si="25"/>
        <v>#DIV/0!</v>
      </c>
      <c r="BA27" s="60">
        <f t="shared" si="26"/>
        <v>7473</v>
      </c>
      <c r="BB27" s="60">
        <f t="shared" si="27"/>
        <v>0</v>
      </c>
      <c r="BC27" s="129">
        <f t="shared" si="28"/>
        <v>-1</v>
      </c>
      <c r="BD27" s="60"/>
      <c r="BE27" s="133"/>
      <c r="BF27" s="133"/>
      <c r="BG27" s="133"/>
      <c r="BH27" s="133">
        <v>7473</v>
      </c>
      <c r="BI27" s="159" t="e">
        <f t="shared" si="29"/>
        <v>#DIV/0!</v>
      </c>
      <c r="BJ27" s="133"/>
    </row>
    <row r="28" spans="1:62">
      <c r="A28" s="141"/>
      <c r="B28" s="141" t="s">
        <v>31</v>
      </c>
      <c r="C28" s="141" t="s">
        <v>31</v>
      </c>
      <c r="D28" s="125" t="s">
        <v>332</v>
      </c>
      <c r="E28" s="126" t="s">
        <v>60</v>
      </c>
      <c r="F28" s="126" t="s">
        <v>60</v>
      </c>
      <c r="G28" s="126" t="s">
        <v>310</v>
      </c>
      <c r="H28" s="126" t="s">
        <v>315</v>
      </c>
      <c r="I28" s="126" t="s">
        <v>311</v>
      </c>
      <c r="J28" s="126">
        <v>10</v>
      </c>
      <c r="K28" s="156"/>
      <c r="L28" s="156"/>
      <c r="M28" s="129" t="e">
        <f t="shared" si="2"/>
        <v>#DIV/0!</v>
      </c>
      <c r="N28" s="156">
        <v>2005</v>
      </c>
      <c r="O28" s="156">
        <v>9511</v>
      </c>
      <c r="P28" s="129">
        <f t="shared" si="3"/>
        <v>3.74364089775561</v>
      </c>
      <c r="Q28" s="156">
        <f t="shared" si="4"/>
        <v>2005</v>
      </c>
      <c r="R28" s="156">
        <f t="shared" si="5"/>
        <v>9511</v>
      </c>
      <c r="S28" s="129">
        <f t="shared" si="6"/>
        <v>3.74364089775561</v>
      </c>
      <c r="T28" s="60"/>
      <c r="U28" s="60">
        <v>16569</v>
      </c>
      <c r="V28" s="129" t="e">
        <f t="shared" si="7"/>
        <v>#DIV/0!</v>
      </c>
      <c r="W28" s="60">
        <f t="shared" si="8"/>
        <v>2005</v>
      </c>
      <c r="X28" s="60">
        <f t="shared" si="9"/>
        <v>26080</v>
      </c>
      <c r="Y28" s="129">
        <f t="shared" si="10"/>
        <v>12.0074812967581</v>
      </c>
      <c r="Z28" s="60"/>
      <c r="AA28" s="60">
        <v>7898</v>
      </c>
      <c r="AB28" s="129" t="e">
        <f t="shared" si="0"/>
        <v>#DIV/0!</v>
      </c>
      <c r="AC28" s="60">
        <f t="shared" si="11"/>
        <v>2005</v>
      </c>
      <c r="AD28" s="60">
        <f t="shared" si="12"/>
        <v>33978</v>
      </c>
      <c r="AE28" s="129">
        <f t="shared" si="1"/>
        <v>15.9466334164589</v>
      </c>
      <c r="AF28" s="133">
        <v>1920</v>
      </c>
      <c r="AG28" s="133"/>
      <c r="AH28" s="129">
        <f t="shared" si="13"/>
        <v>-1</v>
      </c>
      <c r="AI28" s="133">
        <f t="shared" si="14"/>
        <v>3925</v>
      </c>
      <c r="AJ28" s="133">
        <f t="shared" si="15"/>
        <v>33978</v>
      </c>
      <c r="AK28" s="129">
        <f t="shared" si="16"/>
        <v>7.6568152866242</v>
      </c>
      <c r="AL28" s="133"/>
      <c r="AM28" s="133">
        <v>2100</v>
      </c>
      <c r="AN28" s="129" t="e">
        <f t="shared" si="17"/>
        <v>#DIV/0!</v>
      </c>
      <c r="AO28" s="133">
        <f t="shared" si="18"/>
        <v>3925</v>
      </c>
      <c r="AP28" s="133">
        <f t="shared" si="19"/>
        <v>36078</v>
      </c>
      <c r="AQ28" s="129">
        <f t="shared" si="20"/>
        <v>8.19184713375796</v>
      </c>
      <c r="AR28" s="133"/>
      <c r="AS28" s="133"/>
      <c r="AT28" s="129" t="e">
        <f t="shared" si="21"/>
        <v>#DIV/0!</v>
      </c>
      <c r="AU28" s="133">
        <f t="shared" si="22"/>
        <v>3925</v>
      </c>
      <c r="AV28" s="133">
        <f t="shared" si="23"/>
        <v>36078</v>
      </c>
      <c r="AW28" s="129">
        <f t="shared" si="24"/>
        <v>8.19184713375796</v>
      </c>
      <c r="AX28" s="60">
        <v>2243</v>
      </c>
      <c r="AY28" s="60"/>
      <c r="AZ28" s="129">
        <f t="shared" si="25"/>
        <v>-1</v>
      </c>
      <c r="BA28" s="60">
        <f t="shared" si="26"/>
        <v>6168</v>
      </c>
      <c r="BB28" s="60">
        <f t="shared" si="27"/>
        <v>36078</v>
      </c>
      <c r="BC28" s="129">
        <f t="shared" si="28"/>
        <v>4.84922178988327</v>
      </c>
      <c r="BD28" s="60">
        <v>12484</v>
      </c>
      <c r="BE28" s="133">
        <v>17258</v>
      </c>
      <c r="BF28" s="133">
        <v>5873</v>
      </c>
      <c r="BG28" s="133">
        <v>13571</v>
      </c>
      <c r="BH28" s="133">
        <v>55354</v>
      </c>
      <c r="BI28" s="159">
        <f t="shared" si="29"/>
        <v>0.36078</v>
      </c>
      <c r="BJ28" s="133"/>
    </row>
    <row r="29" s="140" customFormat="1" ht="13" spans="1:62">
      <c r="A29" s="141"/>
      <c r="B29" s="141" t="s">
        <v>31</v>
      </c>
      <c r="C29" s="141" t="s">
        <v>31</v>
      </c>
      <c r="D29" s="125" t="s">
        <v>333</v>
      </c>
      <c r="E29" s="126" t="s">
        <v>60</v>
      </c>
      <c r="F29" s="126" t="s">
        <v>60</v>
      </c>
      <c r="G29" s="126" t="s">
        <v>302</v>
      </c>
      <c r="H29" s="126" t="s">
        <v>302</v>
      </c>
      <c r="I29" s="126" t="s">
        <v>303</v>
      </c>
      <c r="J29" s="126">
        <v>10</v>
      </c>
      <c r="K29" s="156"/>
      <c r="L29" s="156"/>
      <c r="M29" s="129" t="e">
        <f t="shared" si="2"/>
        <v>#DIV/0!</v>
      </c>
      <c r="N29" s="156"/>
      <c r="O29" s="156"/>
      <c r="P29" s="129" t="e">
        <f t="shared" si="3"/>
        <v>#DIV/0!</v>
      </c>
      <c r="Q29" s="156">
        <f t="shared" si="4"/>
        <v>0</v>
      </c>
      <c r="R29" s="156">
        <f t="shared" si="5"/>
        <v>0</v>
      </c>
      <c r="S29" s="129" t="e">
        <f t="shared" si="6"/>
        <v>#DIV/0!</v>
      </c>
      <c r="T29" s="60">
        <v>3823</v>
      </c>
      <c r="U29" s="60"/>
      <c r="V29" s="129">
        <f t="shared" si="7"/>
        <v>-1</v>
      </c>
      <c r="W29" s="60">
        <f t="shared" si="8"/>
        <v>3823</v>
      </c>
      <c r="X29" s="60">
        <f t="shared" si="9"/>
        <v>0</v>
      </c>
      <c r="Y29" s="129">
        <f t="shared" si="10"/>
        <v>-1</v>
      </c>
      <c r="Z29" s="60"/>
      <c r="AA29" s="60">
        <v>21250</v>
      </c>
      <c r="AB29" s="129" t="e">
        <f t="shared" si="0"/>
        <v>#DIV/0!</v>
      </c>
      <c r="AC29" s="60">
        <f t="shared" si="11"/>
        <v>3823</v>
      </c>
      <c r="AD29" s="60">
        <f t="shared" si="12"/>
        <v>21250</v>
      </c>
      <c r="AE29" s="129">
        <f t="shared" si="1"/>
        <v>4.55846194088412</v>
      </c>
      <c r="AF29" s="133">
        <v>2182</v>
      </c>
      <c r="AG29" s="133">
        <v>2182</v>
      </c>
      <c r="AH29" s="129">
        <f t="shared" si="13"/>
        <v>0</v>
      </c>
      <c r="AI29" s="133">
        <f t="shared" si="14"/>
        <v>6005</v>
      </c>
      <c r="AJ29" s="133">
        <f t="shared" si="15"/>
        <v>23432</v>
      </c>
      <c r="AK29" s="129">
        <f t="shared" si="16"/>
        <v>2.90208159866778</v>
      </c>
      <c r="AL29" s="133"/>
      <c r="AM29" s="133"/>
      <c r="AN29" s="129" t="e">
        <f t="shared" si="17"/>
        <v>#DIV/0!</v>
      </c>
      <c r="AO29" s="133">
        <f t="shared" si="18"/>
        <v>6005</v>
      </c>
      <c r="AP29" s="133">
        <f t="shared" si="19"/>
        <v>23432</v>
      </c>
      <c r="AQ29" s="129">
        <f t="shared" si="20"/>
        <v>2.90208159866778</v>
      </c>
      <c r="AR29" s="133"/>
      <c r="AS29" s="133"/>
      <c r="AT29" s="129" t="e">
        <f t="shared" si="21"/>
        <v>#DIV/0!</v>
      </c>
      <c r="AU29" s="133">
        <f t="shared" si="22"/>
        <v>6005</v>
      </c>
      <c r="AV29" s="133">
        <f t="shared" si="23"/>
        <v>23432</v>
      </c>
      <c r="AW29" s="129">
        <f t="shared" si="24"/>
        <v>2.90208159866778</v>
      </c>
      <c r="AX29" s="60">
        <v>2182</v>
      </c>
      <c r="AY29" s="60"/>
      <c r="AZ29" s="129">
        <f t="shared" si="25"/>
        <v>-1</v>
      </c>
      <c r="BA29" s="60">
        <f t="shared" si="26"/>
        <v>8187</v>
      </c>
      <c r="BB29" s="60">
        <f t="shared" si="27"/>
        <v>23432</v>
      </c>
      <c r="BC29" s="129">
        <f t="shared" si="28"/>
        <v>1.86209844876023</v>
      </c>
      <c r="BD29" s="60"/>
      <c r="BE29" s="133">
        <v>4281</v>
      </c>
      <c r="BF29" s="133">
        <v>6366</v>
      </c>
      <c r="BG29" s="133">
        <v>19278</v>
      </c>
      <c r="BH29" s="133">
        <v>38112</v>
      </c>
      <c r="BI29" s="159">
        <f t="shared" si="29"/>
        <v>0.23432</v>
      </c>
      <c r="BJ29" s="133"/>
    </row>
    <row r="30" spans="1:62">
      <c r="A30" s="141"/>
      <c r="B30" s="141" t="s">
        <v>31</v>
      </c>
      <c r="C30" s="141" t="s">
        <v>31</v>
      </c>
      <c r="D30" s="125" t="s">
        <v>334</v>
      </c>
      <c r="E30" s="126" t="s">
        <v>60</v>
      </c>
      <c r="F30" s="126" t="s">
        <v>60</v>
      </c>
      <c r="G30" s="126" t="s">
        <v>302</v>
      </c>
      <c r="H30" s="126" t="s">
        <v>302</v>
      </c>
      <c r="I30" s="126" t="s">
        <v>303</v>
      </c>
      <c r="J30" s="126"/>
      <c r="K30" s="156">
        <v>2339</v>
      </c>
      <c r="L30" s="156"/>
      <c r="M30" s="129">
        <f t="shared" si="2"/>
        <v>-1</v>
      </c>
      <c r="N30" s="156"/>
      <c r="O30" s="156"/>
      <c r="P30" s="129" t="e">
        <f t="shared" si="3"/>
        <v>#DIV/0!</v>
      </c>
      <c r="Q30" s="156">
        <f t="shared" si="4"/>
        <v>2339</v>
      </c>
      <c r="R30" s="156">
        <f t="shared" si="5"/>
        <v>0</v>
      </c>
      <c r="S30" s="129">
        <f t="shared" si="6"/>
        <v>-1</v>
      </c>
      <c r="T30" s="60"/>
      <c r="U30" s="60"/>
      <c r="V30" s="129" t="e">
        <f t="shared" si="7"/>
        <v>#DIV/0!</v>
      </c>
      <c r="W30" s="60">
        <f t="shared" si="8"/>
        <v>2339</v>
      </c>
      <c r="X30" s="60">
        <f t="shared" si="9"/>
        <v>0</v>
      </c>
      <c r="Y30" s="129">
        <f t="shared" si="10"/>
        <v>-1</v>
      </c>
      <c r="Z30" s="60"/>
      <c r="AA30" s="60"/>
      <c r="AB30" s="129" t="e">
        <f t="shared" si="0"/>
        <v>#DIV/0!</v>
      </c>
      <c r="AC30" s="60">
        <f t="shared" si="11"/>
        <v>2339</v>
      </c>
      <c r="AD30" s="60">
        <f t="shared" si="12"/>
        <v>0</v>
      </c>
      <c r="AE30" s="129">
        <f t="shared" si="1"/>
        <v>-1</v>
      </c>
      <c r="AF30" s="133"/>
      <c r="AG30" s="133"/>
      <c r="AH30" s="129" t="e">
        <f t="shared" si="13"/>
        <v>#DIV/0!</v>
      </c>
      <c r="AI30" s="133">
        <f t="shared" si="14"/>
        <v>2339</v>
      </c>
      <c r="AJ30" s="133">
        <f t="shared" si="15"/>
        <v>0</v>
      </c>
      <c r="AK30" s="129">
        <f t="shared" si="16"/>
        <v>-1</v>
      </c>
      <c r="AL30" s="133"/>
      <c r="AM30" s="133"/>
      <c r="AN30" s="129" t="e">
        <f t="shared" si="17"/>
        <v>#DIV/0!</v>
      </c>
      <c r="AO30" s="133">
        <f t="shared" si="18"/>
        <v>2339</v>
      </c>
      <c r="AP30" s="133">
        <f t="shared" si="19"/>
        <v>0</v>
      </c>
      <c r="AQ30" s="129">
        <f t="shared" si="20"/>
        <v>-1</v>
      </c>
      <c r="AR30" s="133"/>
      <c r="AS30" s="133"/>
      <c r="AT30" s="129" t="e">
        <f t="shared" si="21"/>
        <v>#DIV/0!</v>
      </c>
      <c r="AU30" s="133">
        <f t="shared" si="22"/>
        <v>2339</v>
      </c>
      <c r="AV30" s="133">
        <f t="shared" si="23"/>
        <v>0</v>
      </c>
      <c r="AW30" s="129">
        <f t="shared" si="24"/>
        <v>-1</v>
      </c>
      <c r="AX30" s="60"/>
      <c r="AY30" s="60"/>
      <c r="AZ30" s="129" t="e">
        <f t="shared" si="25"/>
        <v>#DIV/0!</v>
      </c>
      <c r="BA30" s="60">
        <f t="shared" si="26"/>
        <v>2339</v>
      </c>
      <c r="BB30" s="60">
        <f t="shared" si="27"/>
        <v>0</v>
      </c>
      <c r="BC30" s="129">
        <f t="shared" si="28"/>
        <v>-1</v>
      </c>
      <c r="BD30" s="60"/>
      <c r="BE30" s="133"/>
      <c r="BF30" s="133"/>
      <c r="BG30" s="133"/>
      <c r="BH30" s="133">
        <v>2339</v>
      </c>
      <c r="BI30" s="159" t="e">
        <f t="shared" si="29"/>
        <v>#DIV/0!</v>
      </c>
      <c r="BJ30" s="133"/>
    </row>
    <row r="31" spans="1:62">
      <c r="A31" s="141"/>
      <c r="B31" s="141" t="s">
        <v>31</v>
      </c>
      <c r="C31" s="141" t="s">
        <v>31</v>
      </c>
      <c r="D31" s="125" t="s">
        <v>335</v>
      </c>
      <c r="E31" s="126" t="s">
        <v>60</v>
      </c>
      <c r="F31" s="126" t="s">
        <v>60</v>
      </c>
      <c r="G31" s="126" t="s">
        <v>302</v>
      </c>
      <c r="H31" s="126" t="s">
        <v>302</v>
      </c>
      <c r="I31" s="126" t="s">
        <v>303</v>
      </c>
      <c r="J31" s="126">
        <v>10</v>
      </c>
      <c r="K31" s="156">
        <v>31268</v>
      </c>
      <c r="L31" s="156">
        <v>2138</v>
      </c>
      <c r="M31" s="129">
        <f t="shared" si="2"/>
        <v>-0.93162338493028</v>
      </c>
      <c r="N31" s="156">
        <v>6215</v>
      </c>
      <c r="O31" s="156"/>
      <c r="P31" s="129">
        <f t="shared" si="3"/>
        <v>-1</v>
      </c>
      <c r="Q31" s="156">
        <f t="shared" si="4"/>
        <v>37483</v>
      </c>
      <c r="R31" s="156">
        <f t="shared" si="5"/>
        <v>2138</v>
      </c>
      <c r="S31" s="129">
        <f t="shared" si="6"/>
        <v>-0.942960808900035</v>
      </c>
      <c r="T31" s="60">
        <v>5572</v>
      </c>
      <c r="U31" s="60">
        <v>4512</v>
      </c>
      <c r="V31" s="129">
        <f t="shared" si="7"/>
        <v>-0.190236898779612</v>
      </c>
      <c r="W31" s="60">
        <f t="shared" si="8"/>
        <v>43055</v>
      </c>
      <c r="X31" s="60">
        <f t="shared" si="9"/>
        <v>6650</v>
      </c>
      <c r="Y31" s="129">
        <f t="shared" si="10"/>
        <v>-0.845546394147021</v>
      </c>
      <c r="Z31" s="60">
        <v>11237</v>
      </c>
      <c r="AA31" s="60">
        <v>2065</v>
      </c>
      <c r="AB31" s="129">
        <f t="shared" si="0"/>
        <v>-0.816232090415591</v>
      </c>
      <c r="AC31" s="60">
        <f t="shared" si="11"/>
        <v>54292</v>
      </c>
      <c r="AD31" s="60">
        <f t="shared" si="12"/>
        <v>8715</v>
      </c>
      <c r="AE31" s="129">
        <f t="shared" si="1"/>
        <v>-0.839479112944817</v>
      </c>
      <c r="AF31" s="133">
        <v>40792</v>
      </c>
      <c r="AG31" s="133"/>
      <c r="AH31" s="129">
        <f t="shared" si="13"/>
        <v>-1</v>
      </c>
      <c r="AI31" s="133">
        <f t="shared" si="14"/>
        <v>95084</v>
      </c>
      <c r="AJ31" s="133">
        <f t="shared" si="15"/>
        <v>8715</v>
      </c>
      <c r="AK31" s="129">
        <f t="shared" si="16"/>
        <v>-0.908344200917084</v>
      </c>
      <c r="AL31" s="133">
        <v>6542</v>
      </c>
      <c r="AM31" s="133">
        <v>6546</v>
      </c>
      <c r="AN31" s="129">
        <f t="shared" si="17"/>
        <v>0.000611433812289786</v>
      </c>
      <c r="AO31" s="133">
        <f t="shared" si="18"/>
        <v>101626</v>
      </c>
      <c r="AP31" s="133">
        <f t="shared" si="19"/>
        <v>15261</v>
      </c>
      <c r="AQ31" s="129">
        <f t="shared" si="20"/>
        <v>-0.849831735973078</v>
      </c>
      <c r="AR31" s="133">
        <v>8521</v>
      </c>
      <c r="AS31" s="133">
        <v>6500</v>
      </c>
      <c r="AT31" s="129">
        <f t="shared" si="21"/>
        <v>-0.237178734890271</v>
      </c>
      <c r="AU31" s="133">
        <f t="shared" si="22"/>
        <v>110147</v>
      </c>
      <c r="AV31" s="133">
        <f t="shared" si="23"/>
        <v>21761</v>
      </c>
      <c r="AW31" s="129">
        <f t="shared" si="24"/>
        <v>-0.802436743624429</v>
      </c>
      <c r="AX31" s="60">
        <v>15667</v>
      </c>
      <c r="AY31" s="60"/>
      <c r="AZ31" s="129">
        <f t="shared" si="25"/>
        <v>-1</v>
      </c>
      <c r="BA31" s="60">
        <f t="shared" si="26"/>
        <v>125814</v>
      </c>
      <c r="BB31" s="60">
        <f t="shared" si="27"/>
        <v>21761</v>
      </c>
      <c r="BC31" s="129">
        <f t="shared" si="28"/>
        <v>-0.827038326418364</v>
      </c>
      <c r="BD31" s="60">
        <v>11486</v>
      </c>
      <c r="BE31" s="133">
        <v>2138</v>
      </c>
      <c r="BF31" s="133">
        <v>17886</v>
      </c>
      <c r="BG31" s="133">
        <v>2182</v>
      </c>
      <c r="BH31" s="133">
        <v>159506</v>
      </c>
      <c r="BI31" s="159">
        <f t="shared" si="29"/>
        <v>0.21761</v>
      </c>
      <c r="BJ31" s="133"/>
    </row>
    <row r="32" spans="1:62">
      <c r="A32" s="141"/>
      <c r="B32" s="141" t="s">
        <v>31</v>
      </c>
      <c r="C32" s="141" t="s">
        <v>31</v>
      </c>
      <c r="D32" s="125" t="s">
        <v>336</v>
      </c>
      <c r="E32" s="126" t="s">
        <v>60</v>
      </c>
      <c r="F32" s="126" t="s">
        <v>60</v>
      </c>
      <c r="G32" s="126" t="s">
        <v>310</v>
      </c>
      <c r="H32" s="126" t="s">
        <v>315</v>
      </c>
      <c r="I32" s="126" t="s">
        <v>311</v>
      </c>
      <c r="J32" s="126"/>
      <c r="K32" s="156">
        <v>18500</v>
      </c>
      <c r="L32" s="156"/>
      <c r="M32" s="129">
        <f t="shared" si="2"/>
        <v>-1</v>
      </c>
      <c r="N32" s="156"/>
      <c r="O32" s="156"/>
      <c r="P32" s="129" t="e">
        <f t="shared" si="3"/>
        <v>#DIV/0!</v>
      </c>
      <c r="Q32" s="156">
        <f t="shared" si="4"/>
        <v>18500</v>
      </c>
      <c r="R32" s="156">
        <f t="shared" si="5"/>
        <v>0</v>
      </c>
      <c r="S32" s="129">
        <f t="shared" si="6"/>
        <v>-1</v>
      </c>
      <c r="T32" s="60"/>
      <c r="U32" s="60"/>
      <c r="V32" s="129" t="e">
        <f t="shared" si="7"/>
        <v>#DIV/0!</v>
      </c>
      <c r="W32" s="60">
        <f t="shared" si="8"/>
        <v>18500</v>
      </c>
      <c r="X32" s="60">
        <f t="shared" si="9"/>
        <v>0</v>
      </c>
      <c r="Y32" s="129">
        <f t="shared" si="10"/>
        <v>-1</v>
      </c>
      <c r="Z32" s="60"/>
      <c r="AA32" s="60"/>
      <c r="AB32" s="129" t="e">
        <f t="shared" si="0"/>
        <v>#DIV/0!</v>
      </c>
      <c r="AC32" s="60">
        <f t="shared" si="11"/>
        <v>18500</v>
      </c>
      <c r="AD32" s="60">
        <f t="shared" si="12"/>
        <v>0</v>
      </c>
      <c r="AE32" s="129">
        <f t="shared" si="1"/>
        <v>-1</v>
      </c>
      <c r="AF32" s="133"/>
      <c r="AG32" s="133"/>
      <c r="AH32" s="129" t="e">
        <f t="shared" si="13"/>
        <v>#DIV/0!</v>
      </c>
      <c r="AI32" s="133">
        <f t="shared" si="14"/>
        <v>18500</v>
      </c>
      <c r="AJ32" s="133">
        <f t="shared" si="15"/>
        <v>0</v>
      </c>
      <c r="AK32" s="129">
        <f t="shared" si="16"/>
        <v>-1</v>
      </c>
      <c r="AL32" s="133"/>
      <c r="AM32" s="133"/>
      <c r="AN32" s="129" t="e">
        <f t="shared" si="17"/>
        <v>#DIV/0!</v>
      </c>
      <c r="AO32" s="133">
        <f t="shared" si="18"/>
        <v>18500</v>
      </c>
      <c r="AP32" s="133">
        <f t="shared" si="19"/>
        <v>0</v>
      </c>
      <c r="AQ32" s="129">
        <f t="shared" si="20"/>
        <v>-1</v>
      </c>
      <c r="AR32" s="133"/>
      <c r="AS32" s="133"/>
      <c r="AT32" s="129" t="e">
        <f t="shared" si="21"/>
        <v>#DIV/0!</v>
      </c>
      <c r="AU32" s="133">
        <f t="shared" si="22"/>
        <v>18500</v>
      </c>
      <c r="AV32" s="133">
        <f t="shared" si="23"/>
        <v>0</v>
      </c>
      <c r="AW32" s="129">
        <f t="shared" si="24"/>
        <v>-1</v>
      </c>
      <c r="AX32" s="60"/>
      <c r="AY32" s="60"/>
      <c r="AZ32" s="129" t="e">
        <f t="shared" si="25"/>
        <v>#DIV/0!</v>
      </c>
      <c r="BA32" s="60">
        <f t="shared" si="26"/>
        <v>18500</v>
      </c>
      <c r="BB32" s="60">
        <f t="shared" si="27"/>
        <v>0</v>
      </c>
      <c r="BC32" s="129">
        <f t="shared" si="28"/>
        <v>-1</v>
      </c>
      <c r="BD32" s="60"/>
      <c r="BE32" s="133"/>
      <c r="BF32" s="133"/>
      <c r="BG32" s="133"/>
      <c r="BH32" s="133">
        <v>18500</v>
      </c>
      <c r="BI32" s="159" t="e">
        <f t="shared" si="29"/>
        <v>#DIV/0!</v>
      </c>
      <c r="BJ32" s="133"/>
    </row>
    <row r="33" spans="1:62">
      <c r="A33" s="141"/>
      <c r="B33" s="141" t="s">
        <v>31</v>
      </c>
      <c r="C33" s="141" t="s">
        <v>31</v>
      </c>
      <c r="D33" s="125" t="s">
        <v>337</v>
      </c>
      <c r="E33" s="126" t="s">
        <v>60</v>
      </c>
      <c r="F33" s="126" t="s">
        <v>60</v>
      </c>
      <c r="G33" s="126" t="s">
        <v>307</v>
      </c>
      <c r="H33" s="126" t="s">
        <v>307</v>
      </c>
      <c r="I33" s="126" t="s">
        <v>303</v>
      </c>
      <c r="J33" s="126"/>
      <c r="K33" s="156">
        <v>11800</v>
      </c>
      <c r="L33" s="156"/>
      <c r="M33" s="129">
        <f t="shared" si="2"/>
        <v>-1</v>
      </c>
      <c r="N33" s="156"/>
      <c r="O33" s="156"/>
      <c r="P33" s="129" t="e">
        <f t="shared" si="3"/>
        <v>#DIV/0!</v>
      </c>
      <c r="Q33" s="156">
        <f t="shared" si="4"/>
        <v>11800</v>
      </c>
      <c r="R33" s="156">
        <f t="shared" si="5"/>
        <v>0</v>
      </c>
      <c r="S33" s="129">
        <f t="shared" si="6"/>
        <v>-1</v>
      </c>
      <c r="T33" s="60"/>
      <c r="U33" s="60"/>
      <c r="V33" s="129" t="e">
        <f t="shared" si="7"/>
        <v>#DIV/0!</v>
      </c>
      <c r="W33" s="60">
        <f t="shared" si="8"/>
        <v>11800</v>
      </c>
      <c r="X33" s="60">
        <f t="shared" si="9"/>
        <v>0</v>
      </c>
      <c r="Y33" s="129">
        <f t="shared" si="10"/>
        <v>-1</v>
      </c>
      <c r="Z33" s="60">
        <v>23000</v>
      </c>
      <c r="AA33" s="60"/>
      <c r="AB33" s="129">
        <f t="shared" si="0"/>
        <v>-1</v>
      </c>
      <c r="AC33" s="60">
        <f t="shared" si="11"/>
        <v>34800</v>
      </c>
      <c r="AD33" s="60">
        <f t="shared" si="12"/>
        <v>0</v>
      </c>
      <c r="AE33" s="129">
        <f t="shared" si="1"/>
        <v>-1</v>
      </c>
      <c r="AF33" s="133"/>
      <c r="AG33" s="133"/>
      <c r="AH33" s="129" t="e">
        <f t="shared" si="13"/>
        <v>#DIV/0!</v>
      </c>
      <c r="AI33" s="133">
        <f t="shared" si="14"/>
        <v>34800</v>
      </c>
      <c r="AJ33" s="133">
        <f t="shared" si="15"/>
        <v>0</v>
      </c>
      <c r="AK33" s="129">
        <f t="shared" si="16"/>
        <v>-1</v>
      </c>
      <c r="AL33" s="133"/>
      <c r="AM33" s="133"/>
      <c r="AN33" s="129" t="e">
        <f t="shared" si="17"/>
        <v>#DIV/0!</v>
      </c>
      <c r="AO33" s="133">
        <f t="shared" si="18"/>
        <v>34800</v>
      </c>
      <c r="AP33" s="133">
        <f t="shared" si="19"/>
        <v>0</v>
      </c>
      <c r="AQ33" s="129">
        <f t="shared" si="20"/>
        <v>-1</v>
      </c>
      <c r="AR33" s="133"/>
      <c r="AS33" s="133"/>
      <c r="AT33" s="129" t="e">
        <f t="shared" si="21"/>
        <v>#DIV/0!</v>
      </c>
      <c r="AU33" s="133">
        <f t="shared" si="22"/>
        <v>34800</v>
      </c>
      <c r="AV33" s="133">
        <f t="shared" si="23"/>
        <v>0</v>
      </c>
      <c r="AW33" s="129">
        <f t="shared" si="24"/>
        <v>-1</v>
      </c>
      <c r="AX33" s="60"/>
      <c r="AY33" s="60"/>
      <c r="AZ33" s="129" t="e">
        <f t="shared" si="25"/>
        <v>#DIV/0!</v>
      </c>
      <c r="BA33" s="60">
        <f t="shared" si="26"/>
        <v>34800</v>
      </c>
      <c r="BB33" s="60">
        <f t="shared" si="27"/>
        <v>0</v>
      </c>
      <c r="BC33" s="129">
        <f t="shared" si="28"/>
        <v>-1</v>
      </c>
      <c r="BD33" s="60"/>
      <c r="BE33" s="133"/>
      <c r="BF33" s="133"/>
      <c r="BG33" s="133"/>
      <c r="BH33" s="133">
        <v>34800</v>
      </c>
      <c r="BI33" s="159" t="e">
        <f t="shared" si="29"/>
        <v>#DIV/0!</v>
      </c>
      <c r="BJ33" s="133"/>
    </row>
    <row r="34" s="140" customFormat="1" ht="13" spans="1:62">
      <c r="A34" s="141"/>
      <c r="B34" s="141" t="s">
        <v>31</v>
      </c>
      <c r="C34" s="141" t="s">
        <v>31</v>
      </c>
      <c r="D34" s="125" t="s">
        <v>338</v>
      </c>
      <c r="E34" s="126" t="s">
        <v>60</v>
      </c>
      <c r="F34" s="126" t="s">
        <v>60</v>
      </c>
      <c r="G34" s="126" t="s">
        <v>317</v>
      </c>
      <c r="H34" s="126" t="s">
        <v>317</v>
      </c>
      <c r="I34" s="126" t="s">
        <v>311</v>
      </c>
      <c r="J34" s="126">
        <v>15</v>
      </c>
      <c r="K34" s="156"/>
      <c r="L34" s="156">
        <v>12466</v>
      </c>
      <c r="M34" s="129" t="e">
        <f t="shared" si="2"/>
        <v>#DIV/0!</v>
      </c>
      <c r="N34" s="156">
        <v>1222.62</v>
      </c>
      <c r="O34" s="156">
        <v>6725</v>
      </c>
      <c r="P34" s="129">
        <f t="shared" si="3"/>
        <v>4.50048257021806</v>
      </c>
      <c r="Q34" s="156">
        <f t="shared" si="4"/>
        <v>1222.62</v>
      </c>
      <c r="R34" s="156">
        <f t="shared" si="5"/>
        <v>19191</v>
      </c>
      <c r="S34" s="129">
        <f t="shared" si="6"/>
        <v>14.6966187368111</v>
      </c>
      <c r="T34" s="60"/>
      <c r="U34" s="60">
        <v>11207</v>
      </c>
      <c r="V34" s="129" t="e">
        <f t="shared" si="7"/>
        <v>#DIV/0!</v>
      </c>
      <c r="W34" s="60">
        <f t="shared" si="8"/>
        <v>1222.62</v>
      </c>
      <c r="X34" s="60">
        <f t="shared" si="9"/>
        <v>30398</v>
      </c>
      <c r="Y34" s="129">
        <f t="shared" si="10"/>
        <v>23.8629991330094</v>
      </c>
      <c r="Z34" s="60">
        <v>2399</v>
      </c>
      <c r="AA34" s="60"/>
      <c r="AB34" s="129">
        <f t="shared" si="0"/>
        <v>-1</v>
      </c>
      <c r="AC34" s="60">
        <f t="shared" si="11"/>
        <v>3621.62</v>
      </c>
      <c r="AD34" s="60">
        <f t="shared" si="12"/>
        <v>30398</v>
      </c>
      <c r="AE34" s="129">
        <f t="shared" si="1"/>
        <v>7.39348137021554</v>
      </c>
      <c r="AF34" s="133">
        <v>28449</v>
      </c>
      <c r="AG34" s="133">
        <v>34843</v>
      </c>
      <c r="AH34" s="129">
        <f t="shared" si="13"/>
        <v>0.224753066891631</v>
      </c>
      <c r="AI34" s="133">
        <f t="shared" si="14"/>
        <v>32070.62</v>
      </c>
      <c r="AJ34" s="133">
        <f t="shared" si="15"/>
        <v>65241</v>
      </c>
      <c r="AK34" s="129">
        <f t="shared" si="16"/>
        <v>1.03429182223481</v>
      </c>
      <c r="AL34" s="133">
        <v>16290</v>
      </c>
      <c r="AM34" s="133"/>
      <c r="AN34" s="129">
        <f t="shared" si="17"/>
        <v>-1</v>
      </c>
      <c r="AO34" s="133">
        <f t="shared" si="18"/>
        <v>48360.62</v>
      </c>
      <c r="AP34" s="133">
        <f t="shared" si="19"/>
        <v>65241</v>
      </c>
      <c r="AQ34" s="129">
        <f t="shared" si="20"/>
        <v>0.349052183367376</v>
      </c>
      <c r="AR34" s="133">
        <v>1482</v>
      </c>
      <c r="AS34" s="133"/>
      <c r="AT34" s="129">
        <f t="shared" si="21"/>
        <v>-1</v>
      </c>
      <c r="AU34" s="133">
        <f t="shared" si="22"/>
        <v>49842.62</v>
      </c>
      <c r="AV34" s="133">
        <f t="shared" si="23"/>
        <v>65241</v>
      </c>
      <c r="AW34" s="129">
        <f t="shared" si="24"/>
        <v>0.308940019605711</v>
      </c>
      <c r="AX34" s="60">
        <v>5220</v>
      </c>
      <c r="AY34" s="60"/>
      <c r="AZ34" s="129">
        <f t="shared" si="25"/>
        <v>-1</v>
      </c>
      <c r="BA34" s="60">
        <f t="shared" si="26"/>
        <v>55062.62</v>
      </c>
      <c r="BB34" s="60">
        <f t="shared" si="27"/>
        <v>65241</v>
      </c>
      <c r="BC34" s="129">
        <f t="shared" si="28"/>
        <v>0.184850993287279</v>
      </c>
      <c r="BD34" s="60">
        <v>31778</v>
      </c>
      <c r="BE34" s="133"/>
      <c r="BF34" s="133"/>
      <c r="BG34" s="133"/>
      <c r="BH34" s="133">
        <v>86840.62</v>
      </c>
      <c r="BI34" s="159">
        <f t="shared" si="29"/>
        <v>0.43494</v>
      </c>
      <c r="BJ34" s="133"/>
    </row>
    <row r="35" spans="1:62">
      <c r="A35" s="141"/>
      <c r="B35" s="141" t="s">
        <v>31</v>
      </c>
      <c r="C35" s="141" t="s">
        <v>31</v>
      </c>
      <c r="D35" s="125" t="s">
        <v>339</v>
      </c>
      <c r="E35" s="126" t="s">
        <v>60</v>
      </c>
      <c r="F35" s="126" t="s">
        <v>60</v>
      </c>
      <c r="G35" s="126" t="s">
        <v>327</v>
      </c>
      <c r="H35" s="126" t="s">
        <v>327</v>
      </c>
      <c r="I35" s="126" t="s">
        <v>303</v>
      </c>
      <c r="J35" s="126">
        <v>0</v>
      </c>
      <c r="K35" s="156">
        <v>7491</v>
      </c>
      <c r="L35" s="156"/>
      <c r="M35" s="129">
        <f t="shared" si="2"/>
        <v>-1</v>
      </c>
      <c r="N35" s="156"/>
      <c r="O35" s="156"/>
      <c r="P35" s="129" t="e">
        <f t="shared" si="3"/>
        <v>#DIV/0!</v>
      </c>
      <c r="Q35" s="156">
        <f t="shared" si="4"/>
        <v>7491</v>
      </c>
      <c r="R35" s="156">
        <f t="shared" si="5"/>
        <v>0</v>
      </c>
      <c r="S35" s="129">
        <f t="shared" si="6"/>
        <v>-1</v>
      </c>
      <c r="T35" s="60"/>
      <c r="U35" s="60"/>
      <c r="V35" s="129" t="e">
        <f t="shared" si="7"/>
        <v>#DIV/0!</v>
      </c>
      <c r="W35" s="60">
        <f t="shared" si="8"/>
        <v>7491</v>
      </c>
      <c r="X35" s="60">
        <f t="shared" si="9"/>
        <v>0</v>
      </c>
      <c r="Y35" s="129">
        <f t="shared" si="10"/>
        <v>-1</v>
      </c>
      <c r="Z35" s="60"/>
      <c r="AA35" s="60"/>
      <c r="AB35" s="129" t="e">
        <f t="shared" si="0"/>
        <v>#DIV/0!</v>
      </c>
      <c r="AC35" s="60">
        <f t="shared" si="11"/>
        <v>7491</v>
      </c>
      <c r="AD35" s="60">
        <f t="shared" si="12"/>
        <v>0</v>
      </c>
      <c r="AE35" s="129">
        <f t="shared" ref="AE35:AE53" si="30">AD35/AC35-1</f>
        <v>-1</v>
      </c>
      <c r="AF35" s="133"/>
      <c r="AG35" s="133"/>
      <c r="AH35" s="129" t="e">
        <f t="shared" si="13"/>
        <v>#DIV/0!</v>
      </c>
      <c r="AI35" s="133">
        <f t="shared" si="14"/>
        <v>7491</v>
      </c>
      <c r="AJ35" s="133">
        <f t="shared" si="15"/>
        <v>0</v>
      </c>
      <c r="AK35" s="129">
        <f t="shared" si="16"/>
        <v>-1</v>
      </c>
      <c r="AL35" s="133"/>
      <c r="AM35" s="133"/>
      <c r="AN35" s="129" t="e">
        <f t="shared" si="17"/>
        <v>#DIV/0!</v>
      </c>
      <c r="AO35" s="133">
        <f t="shared" si="18"/>
        <v>7491</v>
      </c>
      <c r="AP35" s="133">
        <f t="shared" si="19"/>
        <v>0</v>
      </c>
      <c r="AQ35" s="129">
        <f t="shared" si="20"/>
        <v>-1</v>
      </c>
      <c r="AR35" s="133"/>
      <c r="AS35" s="133"/>
      <c r="AT35" s="129" t="e">
        <f t="shared" si="21"/>
        <v>#DIV/0!</v>
      </c>
      <c r="AU35" s="133">
        <f t="shared" si="22"/>
        <v>7491</v>
      </c>
      <c r="AV35" s="133">
        <f t="shared" si="23"/>
        <v>0</v>
      </c>
      <c r="AW35" s="129">
        <f t="shared" si="24"/>
        <v>-1</v>
      </c>
      <c r="AX35" s="60"/>
      <c r="AY35" s="60"/>
      <c r="AZ35" s="129" t="e">
        <f t="shared" si="25"/>
        <v>#DIV/0!</v>
      </c>
      <c r="BA35" s="60">
        <f t="shared" si="26"/>
        <v>7491</v>
      </c>
      <c r="BB35" s="60">
        <f t="shared" si="27"/>
        <v>0</v>
      </c>
      <c r="BC35" s="129">
        <f t="shared" si="28"/>
        <v>-1</v>
      </c>
      <c r="BD35" s="60"/>
      <c r="BE35" s="133"/>
      <c r="BF35" s="133"/>
      <c r="BG35" s="133"/>
      <c r="BH35" s="133">
        <v>7491</v>
      </c>
      <c r="BI35" s="159" t="e">
        <f t="shared" si="29"/>
        <v>#DIV/0!</v>
      </c>
      <c r="BJ35" s="133"/>
    </row>
    <row r="36" spans="1:62">
      <c r="A36" s="141"/>
      <c r="B36" s="141" t="s">
        <v>31</v>
      </c>
      <c r="C36" s="141" t="s">
        <v>31</v>
      </c>
      <c r="D36" s="125" t="s">
        <v>340</v>
      </c>
      <c r="E36" s="145" t="s">
        <v>60</v>
      </c>
      <c r="F36" s="126" t="s">
        <v>60</v>
      </c>
      <c r="G36" s="126" t="s">
        <v>317</v>
      </c>
      <c r="H36" s="126" t="s">
        <v>317</v>
      </c>
      <c r="I36" s="126" t="s">
        <v>311</v>
      </c>
      <c r="J36" s="126"/>
      <c r="K36" s="156"/>
      <c r="L36" s="156"/>
      <c r="M36" s="129" t="e">
        <f t="shared" si="2"/>
        <v>#DIV/0!</v>
      </c>
      <c r="N36" s="156"/>
      <c r="O36" s="156"/>
      <c r="P36" s="129" t="e">
        <f t="shared" si="3"/>
        <v>#DIV/0!</v>
      </c>
      <c r="Q36" s="156">
        <f t="shared" si="4"/>
        <v>0</v>
      </c>
      <c r="R36" s="156">
        <f t="shared" si="5"/>
        <v>0</v>
      </c>
      <c r="S36" s="129" t="e">
        <f t="shared" si="6"/>
        <v>#DIV/0!</v>
      </c>
      <c r="T36" s="60"/>
      <c r="U36" s="60"/>
      <c r="V36" s="129" t="e">
        <f t="shared" ref="V36:V53" si="31">U36/T36-1</f>
        <v>#DIV/0!</v>
      </c>
      <c r="W36" s="60">
        <f t="shared" ref="W36:W52" si="32">T36+Q36</f>
        <v>0</v>
      </c>
      <c r="X36" s="60">
        <f t="shared" ref="X36:X52" si="33">U36+R36</f>
        <v>0</v>
      </c>
      <c r="Y36" s="129" t="e">
        <f t="shared" ref="Y36:Y53" si="34">X36/W36-1</f>
        <v>#DIV/0!</v>
      </c>
      <c r="Z36" s="60">
        <v>5280</v>
      </c>
      <c r="AA36" s="60"/>
      <c r="AB36" s="129">
        <f t="shared" si="0"/>
        <v>-1</v>
      </c>
      <c r="AC36" s="60">
        <f t="shared" ref="AC36:AC53" si="35">W36+Z36</f>
        <v>5280</v>
      </c>
      <c r="AD36" s="60">
        <f t="shared" ref="AD36:AD53" si="36">X36+AA36</f>
        <v>0</v>
      </c>
      <c r="AE36" s="129">
        <f t="shared" si="30"/>
        <v>-1</v>
      </c>
      <c r="AF36" s="133"/>
      <c r="AG36" s="133"/>
      <c r="AH36" s="129" t="e">
        <f t="shared" ref="AH36:AH56" si="37">AG36/AF36-1</f>
        <v>#DIV/0!</v>
      </c>
      <c r="AI36" s="133">
        <f t="shared" ref="AI36:AI56" si="38">AF36+AC36</f>
        <v>5280</v>
      </c>
      <c r="AJ36" s="133">
        <f t="shared" ref="AJ36:AJ56" si="39">AG36+AD36</f>
        <v>0</v>
      </c>
      <c r="AK36" s="129">
        <f t="shared" ref="AK36:AK56" si="40">AJ36/AI36-1</f>
        <v>-1</v>
      </c>
      <c r="AL36" s="133"/>
      <c r="AM36" s="133"/>
      <c r="AN36" s="129" t="e">
        <f t="shared" ref="AN36:AN56" si="41">AM36/AL36-1</f>
        <v>#DIV/0!</v>
      </c>
      <c r="AO36" s="133">
        <f t="shared" ref="AO36:AO56" si="42">AL36+AI36</f>
        <v>5280</v>
      </c>
      <c r="AP36" s="133">
        <f t="shared" ref="AP36:AP56" si="43">AM36+AJ36</f>
        <v>0</v>
      </c>
      <c r="AQ36" s="129">
        <f t="shared" ref="AQ36:AQ56" si="44">AP36/AO36-1</f>
        <v>-1</v>
      </c>
      <c r="AR36" s="133"/>
      <c r="AS36" s="133"/>
      <c r="AT36" s="129" t="e">
        <f t="shared" ref="AT36:AT61" si="45">AS36/AR36-1</f>
        <v>#DIV/0!</v>
      </c>
      <c r="AU36" s="133">
        <f t="shared" ref="AU36:AU60" si="46">AR36+AO36</f>
        <v>5280</v>
      </c>
      <c r="AV36" s="133">
        <f t="shared" ref="AV36:AV60" si="47">AS36+AP36</f>
        <v>0</v>
      </c>
      <c r="AW36" s="129">
        <f t="shared" ref="AW36:AW61" si="48">AV36/AU36-1</f>
        <v>-1</v>
      </c>
      <c r="AX36" s="60"/>
      <c r="AY36" s="60"/>
      <c r="AZ36" s="129" t="e">
        <f t="shared" ref="AZ36:AZ62" si="49">AY36/AX36-1</f>
        <v>#DIV/0!</v>
      </c>
      <c r="BA36" s="60">
        <f t="shared" ref="BA36:BA62" si="50">AU36+AX36</f>
        <v>5280</v>
      </c>
      <c r="BB36" s="60">
        <f t="shared" ref="BB36:BB62" si="51">AV36+AY36</f>
        <v>0</v>
      </c>
      <c r="BC36" s="129">
        <f t="shared" ref="BC36:BC62" si="52">BB36/BA36-1</f>
        <v>-1</v>
      </c>
      <c r="BD36" s="60"/>
      <c r="BE36" s="133"/>
      <c r="BF36" s="133"/>
      <c r="BG36" s="133"/>
      <c r="BH36" s="133">
        <v>5280</v>
      </c>
      <c r="BI36" s="159" t="e">
        <f t="shared" ref="BI36:BI62" si="53">BB36/10000/J36</f>
        <v>#DIV/0!</v>
      </c>
      <c r="BJ36" s="133"/>
    </row>
    <row r="37" spans="1:62">
      <c r="A37" s="141"/>
      <c r="B37" s="141" t="s">
        <v>31</v>
      </c>
      <c r="C37" s="141" t="s">
        <v>31</v>
      </c>
      <c r="D37" s="125" t="s">
        <v>341</v>
      </c>
      <c r="E37" s="145" t="s">
        <v>60</v>
      </c>
      <c r="F37" s="126" t="s">
        <v>60</v>
      </c>
      <c r="G37" s="126" t="s">
        <v>327</v>
      </c>
      <c r="H37" s="126" t="s">
        <v>327</v>
      </c>
      <c r="I37" s="126" t="s">
        <v>303</v>
      </c>
      <c r="J37" s="126"/>
      <c r="K37" s="156"/>
      <c r="L37" s="156"/>
      <c r="M37" s="129" t="e">
        <f t="shared" si="2"/>
        <v>#DIV/0!</v>
      </c>
      <c r="N37" s="156"/>
      <c r="O37" s="156"/>
      <c r="P37" s="129" t="e">
        <f t="shared" si="3"/>
        <v>#DIV/0!</v>
      </c>
      <c r="Q37" s="156">
        <f t="shared" si="4"/>
        <v>0</v>
      </c>
      <c r="R37" s="156">
        <f t="shared" si="5"/>
        <v>0</v>
      </c>
      <c r="S37" s="129" t="e">
        <f t="shared" si="6"/>
        <v>#DIV/0!</v>
      </c>
      <c r="T37" s="60">
        <v>6699</v>
      </c>
      <c r="U37" s="60"/>
      <c r="V37" s="129">
        <f t="shared" si="31"/>
        <v>-1</v>
      </c>
      <c r="W37" s="60">
        <f t="shared" si="32"/>
        <v>6699</v>
      </c>
      <c r="X37" s="60">
        <f t="shared" si="33"/>
        <v>0</v>
      </c>
      <c r="Y37" s="129">
        <f t="shared" si="34"/>
        <v>-1</v>
      </c>
      <c r="Z37" s="60"/>
      <c r="AA37" s="60"/>
      <c r="AB37" s="129" t="e">
        <f t="shared" si="0"/>
        <v>#DIV/0!</v>
      </c>
      <c r="AC37" s="60">
        <f t="shared" si="35"/>
        <v>6699</v>
      </c>
      <c r="AD37" s="60">
        <f t="shared" si="36"/>
        <v>0</v>
      </c>
      <c r="AE37" s="129">
        <f t="shared" si="30"/>
        <v>-1</v>
      </c>
      <c r="AF37" s="133"/>
      <c r="AG37" s="133"/>
      <c r="AH37" s="129" t="e">
        <f t="shared" si="37"/>
        <v>#DIV/0!</v>
      </c>
      <c r="AI37" s="133">
        <f t="shared" si="38"/>
        <v>6699</v>
      </c>
      <c r="AJ37" s="133">
        <f t="shared" si="39"/>
        <v>0</v>
      </c>
      <c r="AK37" s="129">
        <f t="shared" si="40"/>
        <v>-1</v>
      </c>
      <c r="AL37" s="133"/>
      <c r="AM37" s="133"/>
      <c r="AN37" s="129" t="e">
        <f t="shared" si="41"/>
        <v>#DIV/0!</v>
      </c>
      <c r="AO37" s="133">
        <f t="shared" si="42"/>
        <v>6699</v>
      </c>
      <c r="AP37" s="133">
        <f t="shared" si="43"/>
        <v>0</v>
      </c>
      <c r="AQ37" s="129">
        <f t="shared" si="44"/>
        <v>-1</v>
      </c>
      <c r="AR37" s="133"/>
      <c r="AS37" s="133"/>
      <c r="AT37" s="129" t="e">
        <f t="shared" si="45"/>
        <v>#DIV/0!</v>
      </c>
      <c r="AU37" s="133">
        <f t="shared" si="46"/>
        <v>6699</v>
      </c>
      <c r="AV37" s="133">
        <f t="shared" si="47"/>
        <v>0</v>
      </c>
      <c r="AW37" s="129">
        <f t="shared" si="48"/>
        <v>-1</v>
      </c>
      <c r="AX37" s="60"/>
      <c r="AY37" s="60"/>
      <c r="AZ37" s="129" t="e">
        <f t="shared" si="49"/>
        <v>#DIV/0!</v>
      </c>
      <c r="BA37" s="60">
        <f t="shared" si="50"/>
        <v>6699</v>
      </c>
      <c r="BB37" s="60">
        <f t="shared" si="51"/>
        <v>0</v>
      </c>
      <c r="BC37" s="129">
        <f t="shared" si="52"/>
        <v>-1</v>
      </c>
      <c r="BD37" s="60">
        <v>3692</v>
      </c>
      <c r="BE37" s="133"/>
      <c r="BF37" s="133"/>
      <c r="BG37" s="133"/>
      <c r="BH37" s="133">
        <v>10391</v>
      </c>
      <c r="BI37" s="159" t="e">
        <f t="shared" si="53"/>
        <v>#DIV/0!</v>
      </c>
      <c r="BJ37" s="133"/>
    </row>
    <row r="38" spans="1:62">
      <c r="A38" s="141"/>
      <c r="B38" s="141" t="s">
        <v>31</v>
      </c>
      <c r="C38" s="141" t="s">
        <v>31</v>
      </c>
      <c r="D38" s="125" t="s">
        <v>342</v>
      </c>
      <c r="E38" s="145" t="s">
        <v>60</v>
      </c>
      <c r="F38" s="126" t="s">
        <v>60</v>
      </c>
      <c r="G38" s="126" t="s">
        <v>327</v>
      </c>
      <c r="H38" s="126" t="s">
        <v>327</v>
      </c>
      <c r="I38" s="126" t="s">
        <v>303</v>
      </c>
      <c r="J38" s="126">
        <v>20</v>
      </c>
      <c r="K38" s="156"/>
      <c r="L38" s="156">
        <v>20000</v>
      </c>
      <c r="M38" s="129" t="e">
        <f t="shared" si="2"/>
        <v>#DIV/0!</v>
      </c>
      <c r="N38" s="156"/>
      <c r="O38" s="156"/>
      <c r="P38" s="129" t="e">
        <f t="shared" si="3"/>
        <v>#DIV/0!</v>
      </c>
      <c r="Q38" s="156">
        <f t="shared" si="4"/>
        <v>0</v>
      </c>
      <c r="R38" s="156">
        <f t="shared" si="5"/>
        <v>20000</v>
      </c>
      <c r="S38" s="129" t="e">
        <f t="shared" si="6"/>
        <v>#DIV/0!</v>
      </c>
      <c r="T38" s="60"/>
      <c r="U38" s="60"/>
      <c r="V38" s="129" t="e">
        <f t="shared" si="31"/>
        <v>#DIV/0!</v>
      </c>
      <c r="W38" s="60">
        <f t="shared" si="32"/>
        <v>0</v>
      </c>
      <c r="X38" s="60">
        <f t="shared" si="33"/>
        <v>20000</v>
      </c>
      <c r="Y38" s="129" t="e">
        <f t="shared" si="34"/>
        <v>#DIV/0!</v>
      </c>
      <c r="Z38" s="60"/>
      <c r="AA38" s="60">
        <v>20000</v>
      </c>
      <c r="AB38" s="129" t="e">
        <f t="shared" si="0"/>
        <v>#DIV/0!</v>
      </c>
      <c r="AC38" s="60">
        <f t="shared" si="35"/>
        <v>0</v>
      </c>
      <c r="AD38" s="60">
        <f t="shared" si="36"/>
        <v>40000</v>
      </c>
      <c r="AE38" s="129" t="e">
        <f t="shared" si="30"/>
        <v>#DIV/0!</v>
      </c>
      <c r="AF38" s="133">
        <v>20000</v>
      </c>
      <c r="AG38" s="133"/>
      <c r="AH38" s="129">
        <f t="shared" si="37"/>
        <v>-1</v>
      </c>
      <c r="AI38" s="133">
        <f t="shared" si="38"/>
        <v>20000</v>
      </c>
      <c r="AJ38" s="133">
        <f t="shared" si="39"/>
        <v>40000</v>
      </c>
      <c r="AK38" s="129">
        <f t="shared" si="40"/>
        <v>1</v>
      </c>
      <c r="AL38" s="133"/>
      <c r="AM38" s="133"/>
      <c r="AN38" s="129" t="e">
        <f t="shared" si="41"/>
        <v>#DIV/0!</v>
      </c>
      <c r="AO38" s="133">
        <f t="shared" si="42"/>
        <v>20000</v>
      </c>
      <c r="AP38" s="133">
        <f t="shared" si="43"/>
        <v>40000</v>
      </c>
      <c r="AQ38" s="129">
        <f t="shared" si="44"/>
        <v>1</v>
      </c>
      <c r="AR38" s="133"/>
      <c r="AS38" s="133">
        <v>20000</v>
      </c>
      <c r="AT38" s="129" t="e">
        <f t="shared" si="45"/>
        <v>#DIV/0!</v>
      </c>
      <c r="AU38" s="133">
        <f t="shared" si="46"/>
        <v>20000</v>
      </c>
      <c r="AV38" s="133">
        <f t="shared" si="47"/>
        <v>60000</v>
      </c>
      <c r="AW38" s="129">
        <f t="shared" si="48"/>
        <v>2</v>
      </c>
      <c r="AX38" s="60"/>
      <c r="AY38" s="60"/>
      <c r="AZ38" s="129" t="e">
        <f t="shared" si="49"/>
        <v>#DIV/0!</v>
      </c>
      <c r="BA38" s="60">
        <f t="shared" si="50"/>
        <v>20000</v>
      </c>
      <c r="BB38" s="60">
        <f t="shared" si="51"/>
        <v>60000</v>
      </c>
      <c r="BC38" s="129">
        <f t="shared" si="52"/>
        <v>2</v>
      </c>
      <c r="BD38" s="60"/>
      <c r="BE38" s="133">
        <v>30000</v>
      </c>
      <c r="BF38" s="133"/>
      <c r="BG38" s="133"/>
      <c r="BH38" s="133">
        <v>50000</v>
      </c>
      <c r="BI38" s="159">
        <f t="shared" si="53"/>
        <v>0.3</v>
      </c>
      <c r="BJ38" s="133"/>
    </row>
    <row r="39" spans="1:62">
      <c r="A39" s="141"/>
      <c r="B39" s="141" t="s">
        <v>31</v>
      </c>
      <c r="C39" s="141" t="s">
        <v>31</v>
      </c>
      <c r="D39" s="125" t="s">
        <v>343</v>
      </c>
      <c r="E39" s="145" t="s">
        <v>101</v>
      </c>
      <c r="F39" s="126" t="s">
        <v>101</v>
      </c>
      <c r="G39" s="126" t="s">
        <v>327</v>
      </c>
      <c r="H39" s="126" t="s">
        <v>327</v>
      </c>
      <c r="I39" s="126" t="s">
        <v>303</v>
      </c>
      <c r="J39" s="126"/>
      <c r="K39" s="156">
        <v>18718</v>
      </c>
      <c r="L39" s="156"/>
      <c r="M39" s="129">
        <f t="shared" si="2"/>
        <v>-1</v>
      </c>
      <c r="N39" s="156"/>
      <c r="O39" s="156"/>
      <c r="P39" s="129" t="e">
        <f t="shared" si="3"/>
        <v>#DIV/0!</v>
      </c>
      <c r="Q39" s="156">
        <f t="shared" si="4"/>
        <v>18718</v>
      </c>
      <c r="R39" s="156">
        <f t="shared" si="5"/>
        <v>0</v>
      </c>
      <c r="S39" s="129">
        <f t="shared" si="6"/>
        <v>-1</v>
      </c>
      <c r="T39" s="60"/>
      <c r="U39" s="60"/>
      <c r="V39" s="129" t="e">
        <f t="shared" si="31"/>
        <v>#DIV/0!</v>
      </c>
      <c r="W39" s="60">
        <f t="shared" si="32"/>
        <v>18718</v>
      </c>
      <c r="X39" s="60">
        <f t="shared" si="33"/>
        <v>0</v>
      </c>
      <c r="Y39" s="129">
        <f t="shared" si="34"/>
        <v>-1</v>
      </c>
      <c r="Z39" s="60">
        <v>2309</v>
      </c>
      <c r="AA39" s="60"/>
      <c r="AB39" s="129">
        <f t="shared" si="0"/>
        <v>-1</v>
      </c>
      <c r="AC39" s="60">
        <f t="shared" si="35"/>
        <v>21027</v>
      </c>
      <c r="AD39" s="60">
        <f t="shared" si="36"/>
        <v>0</v>
      </c>
      <c r="AE39" s="129">
        <f t="shared" si="30"/>
        <v>-1</v>
      </c>
      <c r="AF39" s="133"/>
      <c r="AG39" s="133"/>
      <c r="AH39" s="129" t="e">
        <f t="shared" si="37"/>
        <v>#DIV/0!</v>
      </c>
      <c r="AI39" s="133">
        <f t="shared" si="38"/>
        <v>21027</v>
      </c>
      <c r="AJ39" s="133">
        <f t="shared" si="39"/>
        <v>0</v>
      </c>
      <c r="AK39" s="129">
        <f t="shared" si="40"/>
        <v>-1</v>
      </c>
      <c r="AL39" s="133"/>
      <c r="AM39" s="133"/>
      <c r="AN39" s="129" t="e">
        <f t="shared" si="41"/>
        <v>#DIV/0!</v>
      </c>
      <c r="AO39" s="133">
        <f t="shared" si="42"/>
        <v>21027</v>
      </c>
      <c r="AP39" s="133">
        <f t="shared" si="43"/>
        <v>0</v>
      </c>
      <c r="AQ39" s="129">
        <f t="shared" si="44"/>
        <v>-1</v>
      </c>
      <c r="AR39" s="133"/>
      <c r="AS39" s="133"/>
      <c r="AT39" s="129" t="e">
        <f t="shared" si="45"/>
        <v>#DIV/0!</v>
      </c>
      <c r="AU39" s="133">
        <f t="shared" si="46"/>
        <v>21027</v>
      </c>
      <c r="AV39" s="133">
        <f t="shared" si="47"/>
        <v>0</v>
      </c>
      <c r="AW39" s="129">
        <f t="shared" si="48"/>
        <v>-1</v>
      </c>
      <c r="AX39" s="60"/>
      <c r="AY39" s="60"/>
      <c r="AZ39" s="129" t="e">
        <f t="shared" si="49"/>
        <v>#DIV/0!</v>
      </c>
      <c r="BA39" s="60">
        <f t="shared" si="50"/>
        <v>21027</v>
      </c>
      <c r="BB39" s="60">
        <f t="shared" si="51"/>
        <v>0</v>
      </c>
      <c r="BC39" s="129">
        <f t="shared" si="52"/>
        <v>-1</v>
      </c>
      <c r="BD39" s="60"/>
      <c r="BE39" s="133"/>
      <c r="BF39" s="133"/>
      <c r="BG39" s="133"/>
      <c r="BH39" s="133">
        <v>21027</v>
      </c>
      <c r="BI39" s="159" t="e">
        <f t="shared" si="53"/>
        <v>#DIV/0!</v>
      </c>
      <c r="BJ39" s="133"/>
    </row>
    <row r="40" spans="1:62">
      <c r="A40" s="141"/>
      <c r="B40" s="141" t="s">
        <v>31</v>
      </c>
      <c r="C40" s="141" t="s">
        <v>31</v>
      </c>
      <c r="D40" s="146" t="s">
        <v>344</v>
      </c>
      <c r="E40" s="145" t="s">
        <v>60</v>
      </c>
      <c r="F40" s="126" t="s">
        <v>60</v>
      </c>
      <c r="G40" s="126" t="s">
        <v>327</v>
      </c>
      <c r="H40" s="126" t="s">
        <v>327</v>
      </c>
      <c r="I40" s="126" t="s">
        <v>303</v>
      </c>
      <c r="J40" s="126"/>
      <c r="K40" s="156">
        <v>25000</v>
      </c>
      <c r="L40" s="156"/>
      <c r="M40" s="129">
        <f t="shared" si="2"/>
        <v>-1</v>
      </c>
      <c r="N40" s="156"/>
      <c r="O40" s="156"/>
      <c r="P40" s="129" t="e">
        <f t="shared" si="3"/>
        <v>#DIV/0!</v>
      </c>
      <c r="Q40" s="156">
        <f t="shared" si="4"/>
        <v>25000</v>
      </c>
      <c r="R40" s="156">
        <f t="shared" si="5"/>
        <v>0</v>
      </c>
      <c r="S40" s="129">
        <f t="shared" si="6"/>
        <v>-1</v>
      </c>
      <c r="T40" s="60"/>
      <c r="U40" s="60"/>
      <c r="V40" s="129" t="e">
        <f t="shared" si="31"/>
        <v>#DIV/0!</v>
      </c>
      <c r="W40" s="60">
        <f t="shared" si="32"/>
        <v>25000</v>
      </c>
      <c r="X40" s="60">
        <f t="shared" si="33"/>
        <v>0</v>
      </c>
      <c r="Y40" s="129">
        <f t="shared" si="34"/>
        <v>-1</v>
      </c>
      <c r="Z40" s="60"/>
      <c r="AA40" s="60"/>
      <c r="AB40" s="129" t="e">
        <f t="shared" si="0"/>
        <v>#DIV/0!</v>
      </c>
      <c r="AC40" s="60">
        <f t="shared" si="35"/>
        <v>25000</v>
      </c>
      <c r="AD40" s="60">
        <f t="shared" si="36"/>
        <v>0</v>
      </c>
      <c r="AE40" s="129">
        <f t="shared" si="30"/>
        <v>-1</v>
      </c>
      <c r="AF40" s="133"/>
      <c r="AG40" s="133"/>
      <c r="AH40" s="129" t="e">
        <f t="shared" si="37"/>
        <v>#DIV/0!</v>
      </c>
      <c r="AI40" s="133">
        <f t="shared" si="38"/>
        <v>25000</v>
      </c>
      <c r="AJ40" s="133">
        <f t="shared" si="39"/>
        <v>0</v>
      </c>
      <c r="AK40" s="129">
        <f t="shared" si="40"/>
        <v>-1</v>
      </c>
      <c r="AL40" s="133"/>
      <c r="AM40" s="133"/>
      <c r="AN40" s="129" t="e">
        <f t="shared" si="41"/>
        <v>#DIV/0!</v>
      </c>
      <c r="AO40" s="133">
        <f t="shared" si="42"/>
        <v>25000</v>
      </c>
      <c r="AP40" s="133">
        <f t="shared" si="43"/>
        <v>0</v>
      </c>
      <c r="AQ40" s="129">
        <f t="shared" si="44"/>
        <v>-1</v>
      </c>
      <c r="AR40" s="133"/>
      <c r="AS40" s="133"/>
      <c r="AT40" s="129" t="e">
        <f t="shared" si="45"/>
        <v>#DIV/0!</v>
      </c>
      <c r="AU40" s="133">
        <f t="shared" si="46"/>
        <v>25000</v>
      </c>
      <c r="AV40" s="133">
        <f t="shared" si="47"/>
        <v>0</v>
      </c>
      <c r="AW40" s="129">
        <f t="shared" si="48"/>
        <v>-1</v>
      </c>
      <c r="AX40" s="60"/>
      <c r="AY40" s="60"/>
      <c r="AZ40" s="129" t="e">
        <f t="shared" si="49"/>
        <v>#DIV/0!</v>
      </c>
      <c r="BA40" s="60">
        <f t="shared" si="50"/>
        <v>25000</v>
      </c>
      <c r="BB40" s="60">
        <f t="shared" si="51"/>
        <v>0</v>
      </c>
      <c r="BC40" s="129">
        <f t="shared" si="52"/>
        <v>-1</v>
      </c>
      <c r="BD40" s="60"/>
      <c r="BE40" s="133"/>
      <c r="BF40" s="133"/>
      <c r="BG40" s="133">
        <v>1213</v>
      </c>
      <c r="BH40" s="133">
        <v>26213</v>
      </c>
      <c r="BI40" s="159" t="e">
        <f t="shared" si="53"/>
        <v>#DIV/0!</v>
      </c>
      <c r="BJ40" s="133"/>
    </row>
    <row r="41" spans="1:62">
      <c r="A41" s="141"/>
      <c r="B41" s="141" t="s">
        <v>31</v>
      </c>
      <c r="C41" s="141" t="s">
        <v>31</v>
      </c>
      <c r="D41" s="146" t="s">
        <v>345</v>
      </c>
      <c r="E41" s="145" t="s">
        <v>64</v>
      </c>
      <c r="F41" s="126" t="s">
        <v>64</v>
      </c>
      <c r="G41" s="126" t="s">
        <v>302</v>
      </c>
      <c r="H41" s="126" t="s">
        <v>302</v>
      </c>
      <c r="I41" s="126" t="s">
        <v>303</v>
      </c>
      <c r="J41" s="126">
        <v>90</v>
      </c>
      <c r="K41" s="156">
        <v>81672</v>
      </c>
      <c r="L41" s="156">
        <v>90219</v>
      </c>
      <c r="M41" s="129">
        <f t="shared" si="2"/>
        <v>0.104650308551278</v>
      </c>
      <c r="N41" s="156">
        <v>8111</v>
      </c>
      <c r="O41" s="156">
        <v>17526</v>
      </c>
      <c r="P41" s="129">
        <f t="shared" si="3"/>
        <v>1.1607693256072</v>
      </c>
      <c r="Q41" s="156">
        <f t="shared" si="4"/>
        <v>89783</v>
      </c>
      <c r="R41" s="156">
        <f t="shared" si="5"/>
        <v>107745</v>
      </c>
      <c r="S41" s="129">
        <f t="shared" si="6"/>
        <v>0.200060145016317</v>
      </c>
      <c r="T41" s="60">
        <v>54438</v>
      </c>
      <c r="U41" s="60">
        <v>86163</v>
      </c>
      <c r="V41" s="129">
        <f t="shared" si="31"/>
        <v>0.58277306293398</v>
      </c>
      <c r="W41" s="60">
        <f t="shared" si="32"/>
        <v>144221</v>
      </c>
      <c r="X41" s="60">
        <f t="shared" si="33"/>
        <v>193908</v>
      </c>
      <c r="Y41" s="129">
        <f t="shared" si="34"/>
        <v>0.344519868812448</v>
      </c>
      <c r="Z41" s="60">
        <v>35540</v>
      </c>
      <c r="AA41" s="60">
        <v>43229</v>
      </c>
      <c r="AB41" s="129">
        <f t="shared" si="0"/>
        <v>0.216347777152504</v>
      </c>
      <c r="AC41" s="60">
        <f t="shared" si="35"/>
        <v>179761</v>
      </c>
      <c r="AD41" s="60">
        <f t="shared" si="36"/>
        <v>237137</v>
      </c>
      <c r="AE41" s="129">
        <f t="shared" si="30"/>
        <v>0.319179354809998</v>
      </c>
      <c r="AF41" s="133">
        <v>36714</v>
      </c>
      <c r="AG41" s="133">
        <v>97365</v>
      </c>
      <c r="AH41" s="129">
        <f t="shared" si="37"/>
        <v>1.65198561856513</v>
      </c>
      <c r="AI41" s="133">
        <f t="shared" si="38"/>
        <v>216475</v>
      </c>
      <c r="AJ41" s="133">
        <f t="shared" si="39"/>
        <v>334502</v>
      </c>
      <c r="AK41" s="129">
        <f t="shared" si="40"/>
        <v>0.545222312045271</v>
      </c>
      <c r="AL41" s="133">
        <v>43904</v>
      </c>
      <c r="AM41" s="133">
        <v>16592</v>
      </c>
      <c r="AN41" s="129">
        <f t="shared" si="41"/>
        <v>-0.622084548104956</v>
      </c>
      <c r="AO41" s="133">
        <f t="shared" si="42"/>
        <v>260379</v>
      </c>
      <c r="AP41" s="133">
        <f t="shared" si="43"/>
        <v>351094</v>
      </c>
      <c r="AQ41" s="129">
        <f t="shared" si="44"/>
        <v>0.348395991996282</v>
      </c>
      <c r="AR41" s="133">
        <v>98153</v>
      </c>
      <c r="AS41" s="133">
        <v>38561</v>
      </c>
      <c r="AT41" s="129">
        <f t="shared" si="45"/>
        <v>-0.607133760557497</v>
      </c>
      <c r="AU41" s="133">
        <f t="shared" si="46"/>
        <v>358532</v>
      </c>
      <c r="AV41" s="133">
        <f t="shared" si="47"/>
        <v>389655</v>
      </c>
      <c r="AW41" s="129">
        <f t="shared" si="48"/>
        <v>0.0868067564401505</v>
      </c>
      <c r="AX41" s="60">
        <v>31695</v>
      </c>
      <c r="AY41" s="60">
        <v>65798</v>
      </c>
      <c r="AZ41" s="129">
        <f t="shared" si="49"/>
        <v>1.07597412841142</v>
      </c>
      <c r="BA41" s="60">
        <f t="shared" si="50"/>
        <v>390227</v>
      </c>
      <c r="BB41" s="60">
        <f t="shared" si="51"/>
        <v>455453</v>
      </c>
      <c r="BC41" s="129">
        <f t="shared" si="52"/>
        <v>0.1671488646352</v>
      </c>
      <c r="BD41" s="60">
        <v>52822</v>
      </c>
      <c r="BE41" s="133">
        <v>123743</v>
      </c>
      <c r="BF41" s="133">
        <v>135943</v>
      </c>
      <c r="BG41" s="133">
        <v>70129</v>
      </c>
      <c r="BH41" s="133">
        <v>772864</v>
      </c>
      <c r="BI41" s="159">
        <f t="shared" si="53"/>
        <v>0.506058888888889</v>
      </c>
      <c r="BJ41" s="133">
        <v>27642</v>
      </c>
    </row>
    <row r="42" spans="1:62">
      <c r="A42" s="141"/>
      <c r="B42" s="141" t="s">
        <v>31</v>
      </c>
      <c r="C42" s="141" t="s">
        <v>31</v>
      </c>
      <c r="D42" s="146" t="s">
        <v>346</v>
      </c>
      <c r="E42" s="145" t="s">
        <v>64</v>
      </c>
      <c r="F42" s="126" t="s">
        <v>64</v>
      </c>
      <c r="G42" s="126" t="s">
        <v>327</v>
      </c>
      <c r="H42" s="126" t="s">
        <v>327</v>
      </c>
      <c r="I42" s="126" t="s">
        <v>303</v>
      </c>
      <c r="J42" s="126">
        <v>80</v>
      </c>
      <c r="K42" s="156">
        <v>140602</v>
      </c>
      <c r="L42" s="156">
        <v>148655</v>
      </c>
      <c r="M42" s="129">
        <f t="shared" si="2"/>
        <v>0.0572751454460108</v>
      </c>
      <c r="N42" s="156">
        <v>25677</v>
      </c>
      <c r="O42" s="156">
        <v>86524</v>
      </c>
      <c r="P42" s="129">
        <f t="shared" si="3"/>
        <v>2.36970829925614</v>
      </c>
      <c r="Q42" s="156">
        <f t="shared" si="4"/>
        <v>166279</v>
      </c>
      <c r="R42" s="156">
        <f t="shared" si="5"/>
        <v>235179</v>
      </c>
      <c r="S42" s="129">
        <f t="shared" si="6"/>
        <v>0.414363810222578</v>
      </c>
      <c r="T42" s="60">
        <v>5543</v>
      </c>
      <c r="U42" s="60"/>
      <c r="V42" s="129">
        <f t="shared" si="31"/>
        <v>-1</v>
      </c>
      <c r="W42" s="60">
        <f t="shared" si="32"/>
        <v>171822</v>
      </c>
      <c r="X42" s="60">
        <f t="shared" si="33"/>
        <v>235179</v>
      </c>
      <c r="Y42" s="129">
        <f t="shared" si="34"/>
        <v>0.368736250305549</v>
      </c>
      <c r="Z42" s="60">
        <v>88660</v>
      </c>
      <c r="AA42" s="60"/>
      <c r="AB42" s="129">
        <f t="shared" si="0"/>
        <v>-1</v>
      </c>
      <c r="AC42" s="60">
        <f t="shared" si="35"/>
        <v>260482</v>
      </c>
      <c r="AD42" s="60">
        <f t="shared" si="36"/>
        <v>235179</v>
      </c>
      <c r="AE42" s="129">
        <f t="shared" si="30"/>
        <v>-0.0971391497301157</v>
      </c>
      <c r="AF42" s="133">
        <v>67916</v>
      </c>
      <c r="AG42" s="133"/>
      <c r="AH42" s="129">
        <f t="shared" si="37"/>
        <v>-1</v>
      </c>
      <c r="AI42" s="133">
        <f t="shared" si="38"/>
        <v>328398</v>
      </c>
      <c r="AJ42" s="133">
        <f t="shared" si="39"/>
        <v>235179</v>
      </c>
      <c r="AK42" s="129">
        <f t="shared" si="40"/>
        <v>-0.283859828622586</v>
      </c>
      <c r="AL42" s="133">
        <v>55674</v>
      </c>
      <c r="AM42" s="133"/>
      <c r="AN42" s="129">
        <f t="shared" si="41"/>
        <v>-1</v>
      </c>
      <c r="AO42" s="133">
        <f t="shared" si="42"/>
        <v>384072</v>
      </c>
      <c r="AP42" s="133">
        <f t="shared" si="43"/>
        <v>235179</v>
      </c>
      <c r="AQ42" s="129">
        <f t="shared" si="44"/>
        <v>-0.38766949946885</v>
      </c>
      <c r="AR42" s="133">
        <v>9051</v>
      </c>
      <c r="AS42" s="133"/>
      <c r="AT42" s="129">
        <f t="shared" si="45"/>
        <v>-1</v>
      </c>
      <c r="AU42" s="133">
        <f t="shared" si="46"/>
        <v>393123</v>
      </c>
      <c r="AV42" s="133">
        <f t="shared" si="47"/>
        <v>235179</v>
      </c>
      <c r="AW42" s="129">
        <f t="shared" si="48"/>
        <v>-0.401767385780023</v>
      </c>
      <c r="AX42" s="60">
        <v>3024</v>
      </c>
      <c r="AY42" s="60"/>
      <c r="AZ42" s="129">
        <f t="shared" si="49"/>
        <v>-1</v>
      </c>
      <c r="BA42" s="60">
        <f t="shared" si="50"/>
        <v>396147</v>
      </c>
      <c r="BB42" s="60">
        <f t="shared" si="51"/>
        <v>235179</v>
      </c>
      <c r="BC42" s="129">
        <f t="shared" si="52"/>
        <v>-0.406334012374194</v>
      </c>
      <c r="BD42" s="60">
        <v>61657</v>
      </c>
      <c r="BE42" s="133">
        <v>113877</v>
      </c>
      <c r="BF42" s="133">
        <v>74064</v>
      </c>
      <c r="BG42" s="133">
        <v>77666</v>
      </c>
      <c r="BH42" s="133">
        <v>723411</v>
      </c>
      <c r="BI42" s="159">
        <f t="shared" si="53"/>
        <v>0.29397375</v>
      </c>
      <c r="BJ42" s="133">
        <v>9051</v>
      </c>
    </row>
    <row r="43" spans="1:62">
      <c r="A43" s="141"/>
      <c r="B43" s="141" t="s">
        <v>31</v>
      </c>
      <c r="C43" s="141" t="s">
        <v>31</v>
      </c>
      <c r="D43" s="146" t="s">
        <v>347</v>
      </c>
      <c r="E43" s="145" t="s">
        <v>60</v>
      </c>
      <c r="F43" s="126" t="s">
        <v>60</v>
      </c>
      <c r="G43" s="126" t="s">
        <v>302</v>
      </c>
      <c r="H43" s="126" t="s">
        <v>302</v>
      </c>
      <c r="I43" s="126" t="s">
        <v>303</v>
      </c>
      <c r="J43" s="126"/>
      <c r="K43" s="156"/>
      <c r="L43" s="156"/>
      <c r="M43" s="129" t="e">
        <f t="shared" si="2"/>
        <v>#DIV/0!</v>
      </c>
      <c r="N43" s="156"/>
      <c r="O43" s="156"/>
      <c r="P43" s="129" t="e">
        <f t="shared" si="3"/>
        <v>#DIV/0!</v>
      </c>
      <c r="Q43" s="156">
        <f t="shared" si="4"/>
        <v>0</v>
      </c>
      <c r="R43" s="156">
        <f t="shared" si="5"/>
        <v>0</v>
      </c>
      <c r="S43" s="129" t="e">
        <f t="shared" si="6"/>
        <v>#DIV/0!</v>
      </c>
      <c r="T43" s="60">
        <v>729</v>
      </c>
      <c r="U43" s="60"/>
      <c r="V43" s="129">
        <f t="shared" si="31"/>
        <v>-1</v>
      </c>
      <c r="W43" s="60">
        <f t="shared" si="32"/>
        <v>729</v>
      </c>
      <c r="X43" s="60">
        <f t="shared" si="33"/>
        <v>0</v>
      </c>
      <c r="Y43" s="129">
        <f t="shared" si="34"/>
        <v>-1</v>
      </c>
      <c r="Z43" s="60"/>
      <c r="AA43" s="60"/>
      <c r="AB43" s="129" t="e">
        <f t="shared" si="0"/>
        <v>#DIV/0!</v>
      </c>
      <c r="AC43" s="60">
        <f t="shared" si="35"/>
        <v>729</v>
      </c>
      <c r="AD43" s="60">
        <f t="shared" si="36"/>
        <v>0</v>
      </c>
      <c r="AE43" s="129">
        <f t="shared" si="30"/>
        <v>-1</v>
      </c>
      <c r="AF43" s="133"/>
      <c r="AG43" s="133"/>
      <c r="AH43" s="129" t="e">
        <f t="shared" si="37"/>
        <v>#DIV/0!</v>
      </c>
      <c r="AI43" s="133">
        <f t="shared" si="38"/>
        <v>729</v>
      </c>
      <c r="AJ43" s="133">
        <f t="shared" si="39"/>
        <v>0</v>
      </c>
      <c r="AK43" s="129">
        <f t="shared" si="40"/>
        <v>-1</v>
      </c>
      <c r="AL43" s="133"/>
      <c r="AM43" s="133"/>
      <c r="AN43" s="129" t="e">
        <f t="shared" si="41"/>
        <v>#DIV/0!</v>
      </c>
      <c r="AO43" s="133">
        <f t="shared" si="42"/>
        <v>729</v>
      </c>
      <c r="AP43" s="133">
        <f t="shared" si="43"/>
        <v>0</v>
      </c>
      <c r="AQ43" s="129">
        <f t="shared" si="44"/>
        <v>-1</v>
      </c>
      <c r="AR43" s="133"/>
      <c r="AS43" s="133"/>
      <c r="AT43" s="129" t="e">
        <f t="shared" si="45"/>
        <v>#DIV/0!</v>
      </c>
      <c r="AU43" s="133">
        <f t="shared" si="46"/>
        <v>729</v>
      </c>
      <c r="AV43" s="133">
        <f t="shared" si="47"/>
        <v>0</v>
      </c>
      <c r="AW43" s="129">
        <f t="shared" si="48"/>
        <v>-1</v>
      </c>
      <c r="AX43" s="60"/>
      <c r="AY43" s="60"/>
      <c r="AZ43" s="129" t="e">
        <f t="shared" si="49"/>
        <v>#DIV/0!</v>
      </c>
      <c r="BA43" s="60">
        <f t="shared" si="50"/>
        <v>729</v>
      </c>
      <c r="BB43" s="60">
        <f t="shared" si="51"/>
        <v>0</v>
      </c>
      <c r="BC43" s="129">
        <f t="shared" si="52"/>
        <v>-1</v>
      </c>
      <c r="BD43" s="60"/>
      <c r="BE43" s="133"/>
      <c r="BF43" s="133"/>
      <c r="BG43" s="133"/>
      <c r="BH43" s="133">
        <v>729</v>
      </c>
      <c r="BI43" s="159" t="e">
        <f t="shared" si="53"/>
        <v>#DIV/0!</v>
      </c>
      <c r="BJ43" s="133"/>
    </row>
    <row r="44" spans="1:62">
      <c r="A44" s="141"/>
      <c r="B44" s="141" t="s">
        <v>31</v>
      </c>
      <c r="C44" s="141" t="s">
        <v>31</v>
      </c>
      <c r="D44" s="146" t="s">
        <v>348</v>
      </c>
      <c r="E44" s="145" t="s">
        <v>60</v>
      </c>
      <c r="F44" s="126" t="s">
        <v>60</v>
      </c>
      <c r="G44" s="126" t="s">
        <v>302</v>
      </c>
      <c r="H44" s="126" t="s">
        <v>302</v>
      </c>
      <c r="I44" s="126" t="s">
        <v>303</v>
      </c>
      <c r="J44" s="126">
        <v>10</v>
      </c>
      <c r="K44" s="126"/>
      <c r="L44" s="156"/>
      <c r="M44" s="129" t="e">
        <f t="shared" si="2"/>
        <v>#DIV/0!</v>
      </c>
      <c r="N44" s="156"/>
      <c r="O44" s="156"/>
      <c r="P44" s="129" t="e">
        <f t="shared" si="3"/>
        <v>#DIV/0!</v>
      </c>
      <c r="Q44" s="156">
        <f t="shared" si="4"/>
        <v>0</v>
      </c>
      <c r="R44" s="156">
        <f t="shared" si="5"/>
        <v>0</v>
      </c>
      <c r="S44" s="129" t="e">
        <f t="shared" si="6"/>
        <v>#DIV/0!</v>
      </c>
      <c r="T44" s="60"/>
      <c r="U44" s="60"/>
      <c r="V44" s="129" t="e">
        <f t="shared" si="31"/>
        <v>#DIV/0!</v>
      </c>
      <c r="W44" s="60">
        <f t="shared" si="32"/>
        <v>0</v>
      </c>
      <c r="X44" s="60">
        <f t="shared" si="33"/>
        <v>0</v>
      </c>
      <c r="Y44" s="129" t="e">
        <f t="shared" si="34"/>
        <v>#DIV/0!</v>
      </c>
      <c r="Z44" s="60"/>
      <c r="AA44" s="60"/>
      <c r="AB44" s="129" t="e">
        <f t="shared" si="0"/>
        <v>#DIV/0!</v>
      </c>
      <c r="AC44" s="60">
        <f t="shared" si="35"/>
        <v>0</v>
      </c>
      <c r="AD44" s="60">
        <f t="shared" si="36"/>
        <v>0</v>
      </c>
      <c r="AE44" s="129" t="e">
        <f t="shared" si="30"/>
        <v>#DIV/0!</v>
      </c>
      <c r="AF44" s="133"/>
      <c r="AG44" s="133"/>
      <c r="AH44" s="129" t="e">
        <f t="shared" si="37"/>
        <v>#DIV/0!</v>
      </c>
      <c r="AI44" s="133">
        <f t="shared" si="38"/>
        <v>0</v>
      </c>
      <c r="AJ44" s="133">
        <f t="shared" si="39"/>
        <v>0</v>
      </c>
      <c r="AK44" s="129" t="e">
        <f t="shared" si="40"/>
        <v>#DIV/0!</v>
      </c>
      <c r="AL44" s="133">
        <v>17999</v>
      </c>
      <c r="AM44" s="133"/>
      <c r="AN44" s="129">
        <f t="shared" si="41"/>
        <v>-1</v>
      </c>
      <c r="AO44" s="133">
        <f t="shared" si="42"/>
        <v>17999</v>
      </c>
      <c r="AP44" s="133">
        <f t="shared" si="43"/>
        <v>0</v>
      </c>
      <c r="AQ44" s="129">
        <f t="shared" si="44"/>
        <v>-1</v>
      </c>
      <c r="AR44" s="133">
        <v>3970</v>
      </c>
      <c r="AS44" s="133"/>
      <c r="AT44" s="129">
        <f t="shared" si="45"/>
        <v>-1</v>
      </c>
      <c r="AU44" s="133">
        <f t="shared" si="46"/>
        <v>21969</v>
      </c>
      <c r="AV44" s="133">
        <f t="shared" si="47"/>
        <v>0</v>
      </c>
      <c r="AW44" s="129">
        <f t="shared" si="48"/>
        <v>-1</v>
      </c>
      <c r="AX44" s="60"/>
      <c r="AY44" s="60"/>
      <c r="AZ44" s="129" t="e">
        <f t="shared" si="49"/>
        <v>#DIV/0!</v>
      </c>
      <c r="BA44" s="60">
        <f t="shared" si="50"/>
        <v>21969</v>
      </c>
      <c r="BB44" s="60">
        <f t="shared" si="51"/>
        <v>0</v>
      </c>
      <c r="BC44" s="129">
        <f t="shared" si="52"/>
        <v>-1</v>
      </c>
      <c r="BD44" s="60"/>
      <c r="BE44" s="133">
        <v>24576</v>
      </c>
      <c r="BF44" s="133"/>
      <c r="BG44" s="133">
        <v>8376</v>
      </c>
      <c r="BH44" s="133">
        <v>54921</v>
      </c>
      <c r="BI44" s="159">
        <f t="shared" si="53"/>
        <v>0</v>
      </c>
      <c r="BJ44" s="133"/>
    </row>
    <row r="45" spans="1:62">
      <c r="A45" s="141"/>
      <c r="B45" s="141" t="s">
        <v>31</v>
      </c>
      <c r="C45" s="141" t="s">
        <v>31</v>
      </c>
      <c r="D45" s="146" t="s">
        <v>349</v>
      </c>
      <c r="E45" s="145" t="s">
        <v>101</v>
      </c>
      <c r="F45" s="126" t="s">
        <v>101</v>
      </c>
      <c r="G45" s="126" t="s">
        <v>302</v>
      </c>
      <c r="H45" s="126" t="s">
        <v>302</v>
      </c>
      <c r="I45" s="126" t="s">
        <v>303</v>
      </c>
      <c r="J45" s="126">
        <v>10</v>
      </c>
      <c r="K45" s="126"/>
      <c r="L45" s="156"/>
      <c r="M45" s="129" t="e">
        <f t="shared" si="2"/>
        <v>#DIV/0!</v>
      </c>
      <c r="N45" s="156"/>
      <c r="O45" s="156"/>
      <c r="P45" s="129" t="e">
        <f t="shared" si="3"/>
        <v>#DIV/0!</v>
      </c>
      <c r="Q45" s="156">
        <f t="shared" si="4"/>
        <v>0</v>
      </c>
      <c r="R45" s="156">
        <f t="shared" si="5"/>
        <v>0</v>
      </c>
      <c r="S45" s="129" t="e">
        <f t="shared" si="6"/>
        <v>#DIV/0!</v>
      </c>
      <c r="T45" s="60"/>
      <c r="U45" s="60"/>
      <c r="V45" s="129" t="e">
        <f t="shared" si="31"/>
        <v>#DIV/0!</v>
      </c>
      <c r="W45" s="60">
        <f t="shared" si="32"/>
        <v>0</v>
      </c>
      <c r="X45" s="60">
        <f t="shared" si="33"/>
        <v>0</v>
      </c>
      <c r="Y45" s="129" t="e">
        <f t="shared" si="34"/>
        <v>#DIV/0!</v>
      </c>
      <c r="Z45" s="60"/>
      <c r="AA45" s="60"/>
      <c r="AB45" s="129" t="e">
        <f t="shared" si="0"/>
        <v>#DIV/0!</v>
      </c>
      <c r="AC45" s="60">
        <f t="shared" si="35"/>
        <v>0</v>
      </c>
      <c r="AD45" s="60">
        <f t="shared" si="36"/>
        <v>0</v>
      </c>
      <c r="AE45" s="129" t="e">
        <f t="shared" si="30"/>
        <v>#DIV/0!</v>
      </c>
      <c r="AF45" s="133"/>
      <c r="AG45" s="133"/>
      <c r="AH45" s="129" t="e">
        <f t="shared" si="37"/>
        <v>#DIV/0!</v>
      </c>
      <c r="AI45" s="133">
        <f t="shared" si="38"/>
        <v>0</v>
      </c>
      <c r="AJ45" s="133">
        <f t="shared" si="39"/>
        <v>0</v>
      </c>
      <c r="AK45" s="129" t="e">
        <f t="shared" si="40"/>
        <v>#DIV/0!</v>
      </c>
      <c r="AL45" s="133"/>
      <c r="AM45" s="133"/>
      <c r="AN45" s="129" t="e">
        <f t="shared" si="41"/>
        <v>#DIV/0!</v>
      </c>
      <c r="AO45" s="133">
        <f t="shared" si="42"/>
        <v>0</v>
      </c>
      <c r="AP45" s="133">
        <f t="shared" si="43"/>
        <v>0</v>
      </c>
      <c r="AQ45" s="129" t="e">
        <f t="shared" si="44"/>
        <v>#DIV/0!</v>
      </c>
      <c r="AR45" s="133">
        <v>71632</v>
      </c>
      <c r="AS45" s="133"/>
      <c r="AT45" s="129">
        <f t="shared" si="45"/>
        <v>-1</v>
      </c>
      <c r="AU45" s="133">
        <f t="shared" si="46"/>
        <v>71632</v>
      </c>
      <c r="AV45" s="133">
        <f t="shared" si="47"/>
        <v>0</v>
      </c>
      <c r="AW45" s="129">
        <f t="shared" si="48"/>
        <v>-1</v>
      </c>
      <c r="AX45" s="60"/>
      <c r="AY45" s="60"/>
      <c r="AZ45" s="129" t="e">
        <f t="shared" si="49"/>
        <v>#DIV/0!</v>
      </c>
      <c r="BA45" s="60">
        <f t="shared" si="50"/>
        <v>71632</v>
      </c>
      <c r="BB45" s="60">
        <f t="shared" si="51"/>
        <v>0</v>
      </c>
      <c r="BC45" s="129">
        <f t="shared" si="52"/>
        <v>-1</v>
      </c>
      <c r="BD45" s="60"/>
      <c r="BE45" s="133"/>
      <c r="BF45" s="133"/>
      <c r="BG45" s="133"/>
      <c r="BH45" s="133">
        <v>71632</v>
      </c>
      <c r="BI45" s="159">
        <f t="shared" si="53"/>
        <v>0</v>
      </c>
      <c r="BJ45" s="133"/>
    </row>
    <row r="46" spans="1:62">
      <c r="A46" s="141"/>
      <c r="B46" s="141" t="s">
        <v>31</v>
      </c>
      <c r="C46" s="141" t="s">
        <v>31</v>
      </c>
      <c r="D46" s="146" t="s">
        <v>350</v>
      </c>
      <c r="E46" s="145" t="s">
        <v>60</v>
      </c>
      <c r="F46" s="126" t="s">
        <v>60</v>
      </c>
      <c r="G46" s="126" t="s">
        <v>310</v>
      </c>
      <c r="H46" s="126" t="s">
        <v>315</v>
      </c>
      <c r="I46" s="126" t="s">
        <v>311</v>
      </c>
      <c r="J46" s="126"/>
      <c r="K46" s="126"/>
      <c r="L46" s="156"/>
      <c r="M46" s="129" t="e">
        <f t="shared" si="2"/>
        <v>#DIV/0!</v>
      </c>
      <c r="N46" s="156"/>
      <c r="O46" s="156"/>
      <c r="P46" s="129" t="e">
        <f t="shared" si="3"/>
        <v>#DIV/0!</v>
      </c>
      <c r="Q46" s="156">
        <f t="shared" si="4"/>
        <v>0</v>
      </c>
      <c r="R46" s="156">
        <f t="shared" si="5"/>
        <v>0</v>
      </c>
      <c r="S46" s="129" t="e">
        <f t="shared" si="6"/>
        <v>#DIV/0!</v>
      </c>
      <c r="T46" s="60"/>
      <c r="U46" s="60"/>
      <c r="V46" s="129" t="e">
        <f t="shared" si="31"/>
        <v>#DIV/0!</v>
      </c>
      <c r="W46" s="60">
        <f t="shared" si="32"/>
        <v>0</v>
      </c>
      <c r="X46" s="60">
        <f t="shared" si="33"/>
        <v>0</v>
      </c>
      <c r="Y46" s="129" t="e">
        <f t="shared" si="34"/>
        <v>#DIV/0!</v>
      </c>
      <c r="Z46" s="60"/>
      <c r="AA46" s="60"/>
      <c r="AB46" s="129" t="e">
        <f t="shared" si="0"/>
        <v>#DIV/0!</v>
      </c>
      <c r="AC46" s="60">
        <f t="shared" si="35"/>
        <v>0</v>
      </c>
      <c r="AD46" s="60">
        <f t="shared" si="36"/>
        <v>0</v>
      </c>
      <c r="AE46" s="129" t="e">
        <f t="shared" si="30"/>
        <v>#DIV/0!</v>
      </c>
      <c r="AF46" s="133"/>
      <c r="AG46" s="133"/>
      <c r="AH46" s="129" t="e">
        <f t="shared" si="37"/>
        <v>#DIV/0!</v>
      </c>
      <c r="AI46" s="133">
        <f t="shared" si="38"/>
        <v>0</v>
      </c>
      <c r="AJ46" s="133">
        <f t="shared" si="39"/>
        <v>0</v>
      </c>
      <c r="AK46" s="129" t="e">
        <f t="shared" si="40"/>
        <v>#DIV/0!</v>
      </c>
      <c r="AL46" s="133"/>
      <c r="AM46" s="133"/>
      <c r="AN46" s="129" t="e">
        <f t="shared" si="41"/>
        <v>#DIV/0!</v>
      </c>
      <c r="AO46" s="133">
        <f t="shared" si="42"/>
        <v>0</v>
      </c>
      <c r="AP46" s="133">
        <f t="shared" si="43"/>
        <v>0</v>
      </c>
      <c r="AQ46" s="129" t="e">
        <f t="shared" si="44"/>
        <v>#DIV/0!</v>
      </c>
      <c r="AR46" s="133"/>
      <c r="AS46" s="133"/>
      <c r="AT46" s="129" t="e">
        <f t="shared" si="45"/>
        <v>#DIV/0!</v>
      </c>
      <c r="AU46" s="133">
        <f t="shared" si="46"/>
        <v>0</v>
      </c>
      <c r="AV46" s="133">
        <f t="shared" si="47"/>
        <v>0</v>
      </c>
      <c r="AW46" s="129" t="e">
        <f t="shared" si="48"/>
        <v>#DIV/0!</v>
      </c>
      <c r="AX46" s="60"/>
      <c r="AY46" s="60"/>
      <c r="AZ46" s="129" t="e">
        <f t="shared" si="49"/>
        <v>#DIV/0!</v>
      </c>
      <c r="BA46" s="60">
        <f t="shared" si="50"/>
        <v>0</v>
      </c>
      <c r="BB46" s="60">
        <f t="shared" si="51"/>
        <v>0</v>
      </c>
      <c r="BC46" s="129" t="e">
        <f t="shared" si="52"/>
        <v>#DIV/0!</v>
      </c>
      <c r="BD46" s="60"/>
      <c r="BE46" s="133">
        <v>3258</v>
      </c>
      <c r="BF46" s="133"/>
      <c r="BG46" s="133">
        <v>2510</v>
      </c>
      <c r="BH46" s="133">
        <v>5768</v>
      </c>
      <c r="BI46" s="159" t="e">
        <f t="shared" si="53"/>
        <v>#DIV/0!</v>
      </c>
      <c r="BJ46" s="133"/>
    </row>
    <row r="47" spans="1:62">
      <c r="A47" s="141"/>
      <c r="B47" s="141" t="s">
        <v>31</v>
      </c>
      <c r="C47" s="141" t="s">
        <v>31</v>
      </c>
      <c r="D47" s="146" t="s">
        <v>351</v>
      </c>
      <c r="E47" s="145" t="s">
        <v>60</v>
      </c>
      <c r="F47" s="126" t="s">
        <v>60</v>
      </c>
      <c r="G47" s="126" t="s">
        <v>310</v>
      </c>
      <c r="H47" s="126" t="s">
        <v>315</v>
      </c>
      <c r="I47" s="126" t="s">
        <v>311</v>
      </c>
      <c r="J47" s="126">
        <v>20</v>
      </c>
      <c r="K47" s="126"/>
      <c r="L47" s="156">
        <v>29261</v>
      </c>
      <c r="M47" s="129" t="e">
        <f t="shared" si="2"/>
        <v>#DIV/0!</v>
      </c>
      <c r="N47" s="156"/>
      <c r="O47" s="156"/>
      <c r="P47" s="129" t="e">
        <f t="shared" si="3"/>
        <v>#DIV/0!</v>
      </c>
      <c r="Q47" s="156">
        <f t="shared" si="4"/>
        <v>0</v>
      </c>
      <c r="R47" s="156">
        <f t="shared" si="5"/>
        <v>29261</v>
      </c>
      <c r="S47" s="129" t="e">
        <f t="shared" si="6"/>
        <v>#DIV/0!</v>
      </c>
      <c r="T47" s="60"/>
      <c r="U47" s="60"/>
      <c r="V47" s="129" t="e">
        <f t="shared" si="31"/>
        <v>#DIV/0!</v>
      </c>
      <c r="W47" s="60">
        <f t="shared" si="32"/>
        <v>0</v>
      </c>
      <c r="X47" s="60">
        <f t="shared" si="33"/>
        <v>29261</v>
      </c>
      <c r="Y47" s="129" t="e">
        <f t="shared" si="34"/>
        <v>#DIV/0!</v>
      </c>
      <c r="Z47" s="60"/>
      <c r="AA47" s="60"/>
      <c r="AB47" s="129" t="e">
        <f t="shared" si="0"/>
        <v>#DIV/0!</v>
      </c>
      <c r="AC47" s="60">
        <f t="shared" si="35"/>
        <v>0</v>
      </c>
      <c r="AD47" s="60">
        <f t="shared" si="36"/>
        <v>29261</v>
      </c>
      <c r="AE47" s="129" t="e">
        <f t="shared" si="30"/>
        <v>#DIV/0!</v>
      </c>
      <c r="AF47" s="133"/>
      <c r="AG47" s="133"/>
      <c r="AH47" s="129" t="e">
        <f t="shared" si="37"/>
        <v>#DIV/0!</v>
      </c>
      <c r="AI47" s="133">
        <f t="shared" si="38"/>
        <v>0</v>
      </c>
      <c r="AJ47" s="133">
        <f t="shared" si="39"/>
        <v>29261</v>
      </c>
      <c r="AK47" s="129" t="e">
        <f t="shared" si="40"/>
        <v>#DIV/0!</v>
      </c>
      <c r="AL47" s="133"/>
      <c r="AM47" s="133"/>
      <c r="AN47" s="129" t="e">
        <f t="shared" si="41"/>
        <v>#DIV/0!</v>
      </c>
      <c r="AO47" s="133">
        <f t="shared" si="42"/>
        <v>0</v>
      </c>
      <c r="AP47" s="133">
        <f t="shared" si="43"/>
        <v>29261</v>
      </c>
      <c r="AQ47" s="129" t="e">
        <f t="shared" si="44"/>
        <v>#DIV/0!</v>
      </c>
      <c r="AR47" s="133"/>
      <c r="AS47" s="133"/>
      <c r="AT47" s="129" t="e">
        <f t="shared" si="45"/>
        <v>#DIV/0!</v>
      </c>
      <c r="AU47" s="133">
        <f t="shared" si="46"/>
        <v>0</v>
      </c>
      <c r="AV47" s="133">
        <f t="shared" si="47"/>
        <v>29261</v>
      </c>
      <c r="AW47" s="129" t="e">
        <f t="shared" si="48"/>
        <v>#DIV/0!</v>
      </c>
      <c r="AX47" s="60"/>
      <c r="AY47" s="60"/>
      <c r="AZ47" s="129" t="e">
        <f t="shared" si="49"/>
        <v>#DIV/0!</v>
      </c>
      <c r="BA47" s="60">
        <f t="shared" si="50"/>
        <v>0</v>
      </c>
      <c r="BB47" s="60">
        <f t="shared" si="51"/>
        <v>29261</v>
      </c>
      <c r="BC47" s="129" t="e">
        <f t="shared" si="52"/>
        <v>#DIV/0!</v>
      </c>
      <c r="BD47" s="60"/>
      <c r="BE47" s="133"/>
      <c r="BF47" s="133"/>
      <c r="BG47" s="133">
        <v>9284</v>
      </c>
      <c r="BH47" s="133">
        <v>9284</v>
      </c>
      <c r="BI47" s="159">
        <f t="shared" si="53"/>
        <v>0.146305</v>
      </c>
      <c r="BJ47" s="133"/>
    </row>
    <row r="48" spans="1:62">
      <c r="A48" s="141"/>
      <c r="B48" s="141" t="s">
        <v>31</v>
      </c>
      <c r="C48" s="141" t="s">
        <v>31</v>
      </c>
      <c r="D48" s="147" t="s">
        <v>118</v>
      </c>
      <c r="E48" s="148" t="s">
        <v>60</v>
      </c>
      <c r="F48" s="149" t="s">
        <v>60</v>
      </c>
      <c r="G48" s="149" t="s">
        <v>310</v>
      </c>
      <c r="H48" s="149" t="s">
        <v>315</v>
      </c>
      <c r="I48" s="149" t="s">
        <v>311</v>
      </c>
      <c r="J48" s="126"/>
      <c r="K48" s="126"/>
      <c r="L48" s="156">
        <v>7426.24</v>
      </c>
      <c r="M48" s="129" t="e">
        <f t="shared" si="2"/>
        <v>#DIV/0!</v>
      </c>
      <c r="N48" s="156"/>
      <c r="O48" s="156"/>
      <c r="P48" s="129" t="e">
        <f t="shared" si="3"/>
        <v>#DIV/0!</v>
      </c>
      <c r="Q48" s="156">
        <f t="shared" si="4"/>
        <v>0</v>
      </c>
      <c r="R48" s="156">
        <f t="shared" si="5"/>
        <v>7426.24</v>
      </c>
      <c r="S48" s="129" t="e">
        <f t="shared" si="6"/>
        <v>#DIV/0!</v>
      </c>
      <c r="T48" s="60"/>
      <c r="U48" s="60"/>
      <c r="V48" s="129" t="e">
        <f t="shared" si="31"/>
        <v>#DIV/0!</v>
      </c>
      <c r="W48" s="60">
        <f t="shared" si="32"/>
        <v>0</v>
      </c>
      <c r="X48" s="60">
        <f t="shared" si="33"/>
        <v>7426.24</v>
      </c>
      <c r="Y48" s="129" t="e">
        <f t="shared" si="34"/>
        <v>#DIV/0!</v>
      </c>
      <c r="Z48" s="60"/>
      <c r="AA48" s="60"/>
      <c r="AB48" s="129" t="e">
        <f t="shared" si="0"/>
        <v>#DIV/0!</v>
      </c>
      <c r="AC48" s="60">
        <f t="shared" si="35"/>
        <v>0</v>
      </c>
      <c r="AD48" s="60">
        <f t="shared" si="36"/>
        <v>7426.24</v>
      </c>
      <c r="AE48" s="129" t="e">
        <f t="shared" si="30"/>
        <v>#DIV/0!</v>
      </c>
      <c r="AF48" s="133"/>
      <c r="AG48" s="133"/>
      <c r="AH48" s="129" t="e">
        <f t="shared" si="37"/>
        <v>#DIV/0!</v>
      </c>
      <c r="AI48" s="133">
        <f t="shared" si="38"/>
        <v>0</v>
      </c>
      <c r="AJ48" s="133">
        <f t="shared" si="39"/>
        <v>7426.24</v>
      </c>
      <c r="AK48" s="129" t="e">
        <f t="shared" si="40"/>
        <v>#DIV/0!</v>
      </c>
      <c r="AL48" s="133"/>
      <c r="AM48" s="133"/>
      <c r="AN48" s="129" t="e">
        <f t="shared" si="41"/>
        <v>#DIV/0!</v>
      </c>
      <c r="AO48" s="133">
        <f t="shared" si="42"/>
        <v>0</v>
      </c>
      <c r="AP48" s="133">
        <f t="shared" si="43"/>
        <v>7426.24</v>
      </c>
      <c r="AQ48" s="129" t="e">
        <f t="shared" si="44"/>
        <v>#DIV/0!</v>
      </c>
      <c r="AR48" s="133"/>
      <c r="AS48" s="133"/>
      <c r="AT48" s="129" t="e">
        <f t="shared" si="45"/>
        <v>#DIV/0!</v>
      </c>
      <c r="AU48" s="133">
        <f t="shared" si="46"/>
        <v>0</v>
      </c>
      <c r="AV48" s="133">
        <f t="shared" si="47"/>
        <v>7426.24</v>
      </c>
      <c r="AW48" s="129" t="e">
        <f t="shared" si="48"/>
        <v>#DIV/0!</v>
      </c>
      <c r="AX48" s="60"/>
      <c r="AY48" s="60"/>
      <c r="AZ48" s="129" t="e">
        <f t="shared" si="49"/>
        <v>#DIV/0!</v>
      </c>
      <c r="BA48" s="60">
        <f t="shared" si="50"/>
        <v>0</v>
      </c>
      <c r="BB48" s="60">
        <f t="shared" si="51"/>
        <v>7426.24</v>
      </c>
      <c r="BC48" s="129" t="e">
        <f t="shared" si="52"/>
        <v>#DIV/0!</v>
      </c>
      <c r="BD48" s="60"/>
      <c r="BE48" s="133">
        <v>1856.56</v>
      </c>
      <c r="BF48" s="133"/>
      <c r="BG48" s="133">
        <v>2139</v>
      </c>
      <c r="BH48" s="133">
        <v>3995.56</v>
      </c>
      <c r="BI48" s="159" t="e">
        <f t="shared" si="53"/>
        <v>#DIV/0!</v>
      </c>
      <c r="BJ48" s="133"/>
    </row>
    <row r="49" spans="1:62">
      <c r="A49" s="141"/>
      <c r="B49" s="141" t="s">
        <v>31</v>
      </c>
      <c r="C49" s="141" t="s">
        <v>31</v>
      </c>
      <c r="D49" s="147" t="s">
        <v>352</v>
      </c>
      <c r="E49" s="145" t="s">
        <v>60</v>
      </c>
      <c r="F49" s="126" t="s">
        <v>60</v>
      </c>
      <c r="G49" s="126" t="s">
        <v>302</v>
      </c>
      <c r="H49" s="126" t="s">
        <v>302</v>
      </c>
      <c r="I49" s="126" t="s">
        <v>303</v>
      </c>
      <c r="J49" s="126"/>
      <c r="K49" s="126"/>
      <c r="L49" s="156">
        <v>4364</v>
      </c>
      <c r="M49" s="129" t="e">
        <f t="shared" si="2"/>
        <v>#DIV/0!</v>
      </c>
      <c r="N49" s="156"/>
      <c r="O49" s="156"/>
      <c r="P49" s="129" t="e">
        <f t="shared" si="3"/>
        <v>#DIV/0!</v>
      </c>
      <c r="Q49" s="156">
        <f t="shared" si="4"/>
        <v>0</v>
      </c>
      <c r="R49" s="156">
        <f t="shared" si="5"/>
        <v>4364</v>
      </c>
      <c r="S49" s="129" t="e">
        <f t="shared" si="6"/>
        <v>#DIV/0!</v>
      </c>
      <c r="T49" s="60"/>
      <c r="U49" s="60"/>
      <c r="V49" s="129" t="e">
        <f t="shared" si="31"/>
        <v>#DIV/0!</v>
      </c>
      <c r="W49" s="60">
        <f t="shared" si="32"/>
        <v>0</v>
      </c>
      <c r="X49" s="60">
        <f t="shared" si="33"/>
        <v>4364</v>
      </c>
      <c r="Y49" s="129" t="e">
        <f t="shared" si="34"/>
        <v>#DIV/0!</v>
      </c>
      <c r="Z49" s="60"/>
      <c r="AA49" s="60"/>
      <c r="AB49" s="129" t="e">
        <f t="shared" si="0"/>
        <v>#DIV/0!</v>
      </c>
      <c r="AC49" s="60">
        <f t="shared" si="35"/>
        <v>0</v>
      </c>
      <c r="AD49" s="60">
        <f t="shared" si="36"/>
        <v>4364</v>
      </c>
      <c r="AE49" s="129" t="e">
        <f t="shared" si="30"/>
        <v>#DIV/0!</v>
      </c>
      <c r="AF49" s="133"/>
      <c r="AG49" s="133"/>
      <c r="AH49" s="129" t="e">
        <f t="shared" si="37"/>
        <v>#DIV/0!</v>
      </c>
      <c r="AI49" s="133">
        <f t="shared" si="38"/>
        <v>0</v>
      </c>
      <c r="AJ49" s="133">
        <f t="shared" si="39"/>
        <v>4364</v>
      </c>
      <c r="AK49" s="129" t="e">
        <f t="shared" si="40"/>
        <v>#DIV/0!</v>
      </c>
      <c r="AL49" s="133"/>
      <c r="AM49" s="133"/>
      <c r="AN49" s="129" t="e">
        <f t="shared" si="41"/>
        <v>#DIV/0!</v>
      </c>
      <c r="AO49" s="133">
        <f t="shared" si="42"/>
        <v>0</v>
      </c>
      <c r="AP49" s="133">
        <f t="shared" si="43"/>
        <v>4364</v>
      </c>
      <c r="AQ49" s="129" t="e">
        <f t="shared" si="44"/>
        <v>#DIV/0!</v>
      </c>
      <c r="AR49" s="133"/>
      <c r="AS49" s="133"/>
      <c r="AT49" s="129" t="e">
        <f t="shared" si="45"/>
        <v>#DIV/0!</v>
      </c>
      <c r="AU49" s="133">
        <f t="shared" si="46"/>
        <v>0</v>
      </c>
      <c r="AV49" s="133">
        <f t="shared" si="47"/>
        <v>4364</v>
      </c>
      <c r="AW49" s="129" t="e">
        <f t="shared" si="48"/>
        <v>#DIV/0!</v>
      </c>
      <c r="AX49" s="60"/>
      <c r="AY49" s="60"/>
      <c r="AZ49" s="129" t="e">
        <f t="shared" si="49"/>
        <v>#DIV/0!</v>
      </c>
      <c r="BA49" s="60">
        <f t="shared" si="50"/>
        <v>0</v>
      </c>
      <c r="BB49" s="60">
        <f t="shared" si="51"/>
        <v>4364</v>
      </c>
      <c r="BC49" s="129" t="e">
        <f t="shared" si="52"/>
        <v>#DIV/0!</v>
      </c>
      <c r="BD49" s="60"/>
      <c r="BE49" s="133"/>
      <c r="BF49" s="133"/>
      <c r="BG49" s="133">
        <v>9819</v>
      </c>
      <c r="BH49" s="133">
        <v>9819</v>
      </c>
      <c r="BI49" s="159" t="e">
        <f t="shared" si="53"/>
        <v>#DIV/0!</v>
      </c>
      <c r="BJ49" s="133"/>
    </row>
    <row r="50" spans="1:62">
      <c r="A50" s="141"/>
      <c r="B50" s="141" t="s">
        <v>31</v>
      </c>
      <c r="C50" s="141" t="s">
        <v>31</v>
      </c>
      <c r="D50" s="147" t="s">
        <v>353</v>
      </c>
      <c r="E50" s="145" t="s">
        <v>60</v>
      </c>
      <c r="F50" s="126" t="s">
        <v>60</v>
      </c>
      <c r="G50" s="126" t="s">
        <v>317</v>
      </c>
      <c r="H50" s="126" t="s">
        <v>317</v>
      </c>
      <c r="I50" s="126" t="s">
        <v>311</v>
      </c>
      <c r="J50" s="126"/>
      <c r="K50" s="126"/>
      <c r="L50" s="156">
        <v>1454</v>
      </c>
      <c r="M50" s="129" t="e">
        <f t="shared" si="2"/>
        <v>#DIV/0!</v>
      </c>
      <c r="N50" s="156"/>
      <c r="O50" s="156"/>
      <c r="P50" s="129" t="e">
        <f t="shared" si="3"/>
        <v>#DIV/0!</v>
      </c>
      <c r="Q50" s="156">
        <f t="shared" si="4"/>
        <v>0</v>
      </c>
      <c r="R50" s="156">
        <f t="shared" si="5"/>
        <v>1454</v>
      </c>
      <c r="S50" s="129" t="e">
        <f t="shared" si="6"/>
        <v>#DIV/0!</v>
      </c>
      <c r="T50" s="60"/>
      <c r="U50" s="60"/>
      <c r="V50" s="129" t="e">
        <f t="shared" si="31"/>
        <v>#DIV/0!</v>
      </c>
      <c r="W50" s="60">
        <f t="shared" si="32"/>
        <v>0</v>
      </c>
      <c r="X50" s="60">
        <f t="shared" si="33"/>
        <v>1454</v>
      </c>
      <c r="Y50" s="129" t="e">
        <f t="shared" si="34"/>
        <v>#DIV/0!</v>
      </c>
      <c r="Z50" s="60"/>
      <c r="AA50" s="60"/>
      <c r="AB50" s="129" t="e">
        <f t="shared" si="0"/>
        <v>#DIV/0!</v>
      </c>
      <c r="AC50" s="60">
        <f t="shared" si="35"/>
        <v>0</v>
      </c>
      <c r="AD50" s="60">
        <f t="shared" si="36"/>
        <v>1454</v>
      </c>
      <c r="AE50" s="129" t="e">
        <f t="shared" si="30"/>
        <v>#DIV/0!</v>
      </c>
      <c r="AF50" s="133"/>
      <c r="AG50" s="133"/>
      <c r="AH50" s="129" t="e">
        <f t="shared" si="37"/>
        <v>#DIV/0!</v>
      </c>
      <c r="AI50" s="133">
        <f t="shared" si="38"/>
        <v>0</v>
      </c>
      <c r="AJ50" s="133">
        <f t="shared" si="39"/>
        <v>1454</v>
      </c>
      <c r="AK50" s="129" t="e">
        <f t="shared" si="40"/>
        <v>#DIV/0!</v>
      </c>
      <c r="AL50" s="133"/>
      <c r="AM50" s="133"/>
      <c r="AN50" s="129" t="e">
        <f t="shared" si="41"/>
        <v>#DIV/0!</v>
      </c>
      <c r="AO50" s="133">
        <f t="shared" si="42"/>
        <v>0</v>
      </c>
      <c r="AP50" s="133">
        <f t="shared" si="43"/>
        <v>1454</v>
      </c>
      <c r="AQ50" s="129" t="e">
        <f t="shared" si="44"/>
        <v>#DIV/0!</v>
      </c>
      <c r="AR50" s="133"/>
      <c r="AS50" s="133"/>
      <c r="AT50" s="129" t="e">
        <f t="shared" si="45"/>
        <v>#DIV/0!</v>
      </c>
      <c r="AU50" s="133">
        <f t="shared" si="46"/>
        <v>0</v>
      </c>
      <c r="AV50" s="133">
        <f t="shared" si="47"/>
        <v>1454</v>
      </c>
      <c r="AW50" s="129" t="e">
        <f t="shared" si="48"/>
        <v>#DIV/0!</v>
      </c>
      <c r="AX50" s="60"/>
      <c r="AY50" s="60"/>
      <c r="AZ50" s="129" t="e">
        <f t="shared" si="49"/>
        <v>#DIV/0!</v>
      </c>
      <c r="BA50" s="60">
        <f t="shared" si="50"/>
        <v>0</v>
      </c>
      <c r="BB50" s="60">
        <f t="shared" si="51"/>
        <v>1454</v>
      </c>
      <c r="BC50" s="129" t="e">
        <f t="shared" si="52"/>
        <v>#DIV/0!</v>
      </c>
      <c r="BD50" s="60"/>
      <c r="BE50" s="133"/>
      <c r="BF50" s="133"/>
      <c r="BG50" s="133"/>
      <c r="BH50" s="133"/>
      <c r="BI50" s="159" t="e">
        <f t="shared" si="53"/>
        <v>#DIV/0!</v>
      </c>
      <c r="BJ50" s="133"/>
    </row>
    <row r="51" spans="1:62">
      <c r="A51" s="141"/>
      <c r="B51" s="141" t="s">
        <v>31</v>
      </c>
      <c r="C51" s="141" t="s">
        <v>31</v>
      </c>
      <c r="D51" s="146" t="s">
        <v>354</v>
      </c>
      <c r="E51" s="145" t="s">
        <v>60</v>
      </c>
      <c r="F51" s="126" t="s">
        <v>60</v>
      </c>
      <c r="G51" s="126" t="s">
        <v>302</v>
      </c>
      <c r="H51" s="126" t="s">
        <v>302</v>
      </c>
      <c r="I51" s="126" t="s">
        <v>303</v>
      </c>
      <c r="J51" s="126">
        <v>5</v>
      </c>
      <c r="K51" s="126"/>
      <c r="L51" s="156"/>
      <c r="M51" s="129"/>
      <c r="N51" s="156"/>
      <c r="O51" s="156"/>
      <c r="P51" s="129"/>
      <c r="Q51" s="156"/>
      <c r="R51" s="156"/>
      <c r="S51" s="129"/>
      <c r="T51" s="60"/>
      <c r="U51" s="60">
        <v>8647</v>
      </c>
      <c r="V51" s="129" t="e">
        <f t="shared" si="31"/>
        <v>#DIV/0!</v>
      </c>
      <c r="W51" s="60">
        <f t="shared" si="32"/>
        <v>0</v>
      </c>
      <c r="X51" s="60">
        <f t="shared" si="33"/>
        <v>8647</v>
      </c>
      <c r="Y51" s="129" t="e">
        <f t="shared" si="34"/>
        <v>#DIV/0!</v>
      </c>
      <c r="Z51" s="60"/>
      <c r="AA51" s="60"/>
      <c r="AB51" s="129" t="e">
        <f t="shared" si="0"/>
        <v>#DIV/0!</v>
      </c>
      <c r="AC51" s="60">
        <f t="shared" si="35"/>
        <v>0</v>
      </c>
      <c r="AD51" s="60">
        <f t="shared" si="36"/>
        <v>8647</v>
      </c>
      <c r="AE51" s="129" t="e">
        <f t="shared" si="30"/>
        <v>#DIV/0!</v>
      </c>
      <c r="AF51" s="133"/>
      <c r="AG51" s="133">
        <v>18085</v>
      </c>
      <c r="AH51" s="129" t="e">
        <f t="shared" si="37"/>
        <v>#DIV/0!</v>
      </c>
      <c r="AI51" s="133">
        <f t="shared" si="38"/>
        <v>0</v>
      </c>
      <c r="AJ51" s="133">
        <f t="shared" si="39"/>
        <v>26732</v>
      </c>
      <c r="AK51" s="129" t="e">
        <f t="shared" si="40"/>
        <v>#DIV/0!</v>
      </c>
      <c r="AL51" s="133"/>
      <c r="AM51" s="133">
        <v>10637</v>
      </c>
      <c r="AN51" s="129" t="e">
        <f t="shared" si="41"/>
        <v>#DIV/0!</v>
      </c>
      <c r="AO51" s="133">
        <f t="shared" si="42"/>
        <v>0</v>
      </c>
      <c r="AP51" s="133">
        <f t="shared" si="43"/>
        <v>37369</v>
      </c>
      <c r="AQ51" s="129" t="e">
        <f t="shared" si="44"/>
        <v>#DIV/0!</v>
      </c>
      <c r="AR51" s="133"/>
      <c r="AS51" s="133"/>
      <c r="AT51" s="129" t="e">
        <f t="shared" si="45"/>
        <v>#DIV/0!</v>
      </c>
      <c r="AU51" s="133">
        <f t="shared" si="46"/>
        <v>0</v>
      </c>
      <c r="AV51" s="133">
        <f t="shared" si="47"/>
        <v>37369</v>
      </c>
      <c r="AW51" s="129" t="e">
        <f t="shared" si="48"/>
        <v>#DIV/0!</v>
      </c>
      <c r="AX51" s="60"/>
      <c r="AY51" s="60">
        <v>17339</v>
      </c>
      <c r="AZ51" s="129" t="e">
        <f t="shared" si="49"/>
        <v>#DIV/0!</v>
      </c>
      <c r="BA51" s="60">
        <f t="shared" si="50"/>
        <v>0</v>
      </c>
      <c r="BB51" s="60">
        <f t="shared" si="51"/>
        <v>54708</v>
      </c>
      <c r="BC51" s="129" t="e">
        <f t="shared" si="52"/>
        <v>#DIV/0!</v>
      </c>
      <c r="BD51" s="60"/>
      <c r="BE51" s="133"/>
      <c r="BF51" s="133"/>
      <c r="BG51" s="133"/>
      <c r="BH51" s="133"/>
      <c r="BI51" s="159">
        <f t="shared" si="53"/>
        <v>1.09416</v>
      </c>
      <c r="BJ51" s="133"/>
    </row>
    <row r="52" spans="1:62">
      <c r="A52" s="141"/>
      <c r="B52" s="141" t="s">
        <v>31</v>
      </c>
      <c r="C52" s="141" t="s">
        <v>31</v>
      </c>
      <c r="D52" s="125" t="s">
        <v>355</v>
      </c>
      <c r="E52" s="145" t="s">
        <v>60</v>
      </c>
      <c r="F52" s="126" t="s">
        <v>60</v>
      </c>
      <c r="G52" s="126" t="s">
        <v>317</v>
      </c>
      <c r="H52" s="126" t="s">
        <v>317</v>
      </c>
      <c r="I52" s="126" t="s">
        <v>311</v>
      </c>
      <c r="J52" s="126"/>
      <c r="K52" s="126"/>
      <c r="L52" s="156"/>
      <c r="M52" s="129"/>
      <c r="N52" s="156"/>
      <c r="O52" s="156"/>
      <c r="P52" s="129"/>
      <c r="Q52" s="156"/>
      <c r="R52" s="156"/>
      <c r="S52" s="129"/>
      <c r="T52" s="60"/>
      <c r="U52" s="60"/>
      <c r="V52" s="129"/>
      <c r="W52" s="60"/>
      <c r="X52" s="60"/>
      <c r="Y52" s="129"/>
      <c r="Z52" s="60"/>
      <c r="AA52" s="60">
        <v>25206</v>
      </c>
      <c r="AB52" s="129" t="e">
        <f t="shared" si="0"/>
        <v>#DIV/0!</v>
      </c>
      <c r="AC52" s="60">
        <f t="shared" si="35"/>
        <v>0</v>
      </c>
      <c r="AD52" s="60">
        <f t="shared" si="36"/>
        <v>25206</v>
      </c>
      <c r="AE52" s="129" t="e">
        <f t="shared" si="30"/>
        <v>#DIV/0!</v>
      </c>
      <c r="AF52" s="133"/>
      <c r="AG52" s="133"/>
      <c r="AH52" s="129" t="e">
        <f t="shared" si="37"/>
        <v>#DIV/0!</v>
      </c>
      <c r="AI52" s="133">
        <f t="shared" si="38"/>
        <v>0</v>
      </c>
      <c r="AJ52" s="133">
        <f t="shared" si="39"/>
        <v>25206</v>
      </c>
      <c r="AK52" s="129" t="e">
        <f t="shared" si="40"/>
        <v>#DIV/0!</v>
      </c>
      <c r="AL52" s="133"/>
      <c r="AM52" s="133">
        <v>3149</v>
      </c>
      <c r="AN52" s="129" t="e">
        <f t="shared" si="41"/>
        <v>#DIV/0!</v>
      </c>
      <c r="AO52" s="133">
        <f t="shared" si="42"/>
        <v>0</v>
      </c>
      <c r="AP52" s="133">
        <f t="shared" si="43"/>
        <v>28355</v>
      </c>
      <c r="AQ52" s="129" t="e">
        <f t="shared" si="44"/>
        <v>#DIV/0!</v>
      </c>
      <c r="AR52" s="133"/>
      <c r="AS52" s="133">
        <v>6182</v>
      </c>
      <c r="AT52" s="129" t="e">
        <f t="shared" si="45"/>
        <v>#DIV/0!</v>
      </c>
      <c r="AU52" s="133">
        <f t="shared" si="46"/>
        <v>0</v>
      </c>
      <c r="AV52" s="133">
        <f t="shared" si="47"/>
        <v>34537</v>
      </c>
      <c r="AW52" s="129" t="e">
        <f t="shared" si="48"/>
        <v>#DIV/0!</v>
      </c>
      <c r="AX52" s="60"/>
      <c r="AY52" s="60"/>
      <c r="AZ52" s="129" t="e">
        <f t="shared" si="49"/>
        <v>#DIV/0!</v>
      </c>
      <c r="BA52" s="60">
        <f t="shared" si="50"/>
        <v>0</v>
      </c>
      <c r="BB52" s="60">
        <f t="shared" si="51"/>
        <v>34537</v>
      </c>
      <c r="BC52" s="129" t="e">
        <f t="shared" si="52"/>
        <v>#DIV/0!</v>
      </c>
      <c r="BD52" s="60"/>
      <c r="BE52" s="133"/>
      <c r="BF52" s="133"/>
      <c r="BG52" s="133"/>
      <c r="BH52" s="133"/>
      <c r="BI52" s="159" t="e">
        <f t="shared" si="53"/>
        <v>#DIV/0!</v>
      </c>
      <c r="BJ52" s="133"/>
    </row>
    <row r="53" spans="1:62">
      <c r="A53" s="141"/>
      <c r="B53" s="141" t="s">
        <v>31</v>
      </c>
      <c r="C53" s="141" t="s">
        <v>31</v>
      </c>
      <c r="D53" s="145" t="s">
        <v>356</v>
      </c>
      <c r="E53" s="145" t="s">
        <v>60</v>
      </c>
      <c r="F53" s="126" t="s">
        <v>60</v>
      </c>
      <c r="G53" s="126" t="s">
        <v>317</v>
      </c>
      <c r="H53" s="126" t="s">
        <v>317</v>
      </c>
      <c r="I53" s="126" t="s">
        <v>311</v>
      </c>
      <c r="J53" s="126">
        <v>3</v>
      </c>
      <c r="K53" s="126"/>
      <c r="L53" s="156"/>
      <c r="M53" s="129"/>
      <c r="N53" s="156"/>
      <c r="O53" s="156"/>
      <c r="P53" s="129"/>
      <c r="Q53" s="156"/>
      <c r="R53" s="156"/>
      <c r="S53" s="129"/>
      <c r="T53" s="60"/>
      <c r="U53" s="60"/>
      <c r="V53" s="129"/>
      <c r="W53" s="60"/>
      <c r="X53" s="60"/>
      <c r="Y53" s="129"/>
      <c r="Z53" s="60"/>
      <c r="AA53" s="60"/>
      <c r="AB53" s="129"/>
      <c r="AC53" s="60"/>
      <c r="AD53" s="60"/>
      <c r="AE53" s="129"/>
      <c r="AF53" s="133"/>
      <c r="AG53" s="133"/>
      <c r="AH53" s="129" t="e">
        <f t="shared" si="37"/>
        <v>#DIV/0!</v>
      </c>
      <c r="AI53" s="133">
        <f t="shared" si="38"/>
        <v>0</v>
      </c>
      <c r="AJ53" s="133">
        <f t="shared" si="39"/>
        <v>0</v>
      </c>
      <c r="AK53" s="129" t="e">
        <f t="shared" si="40"/>
        <v>#DIV/0!</v>
      </c>
      <c r="AL53" s="133"/>
      <c r="AM53" s="133"/>
      <c r="AN53" s="129" t="e">
        <f t="shared" si="41"/>
        <v>#DIV/0!</v>
      </c>
      <c r="AO53" s="133">
        <f t="shared" si="42"/>
        <v>0</v>
      </c>
      <c r="AP53" s="133">
        <f t="shared" si="43"/>
        <v>0</v>
      </c>
      <c r="AQ53" s="129" t="e">
        <f t="shared" si="44"/>
        <v>#DIV/0!</v>
      </c>
      <c r="AR53" s="133"/>
      <c r="AS53" s="133"/>
      <c r="AT53" s="129" t="e">
        <f t="shared" si="45"/>
        <v>#DIV/0!</v>
      </c>
      <c r="AU53" s="133">
        <f t="shared" si="46"/>
        <v>0</v>
      </c>
      <c r="AV53" s="133">
        <f t="shared" si="47"/>
        <v>0</v>
      </c>
      <c r="AW53" s="129" t="e">
        <f t="shared" si="48"/>
        <v>#DIV/0!</v>
      </c>
      <c r="AX53" s="60"/>
      <c r="AY53" s="60"/>
      <c r="AZ53" s="129" t="e">
        <f t="shared" si="49"/>
        <v>#DIV/0!</v>
      </c>
      <c r="BA53" s="60">
        <f t="shared" si="50"/>
        <v>0</v>
      </c>
      <c r="BB53" s="60">
        <f t="shared" si="51"/>
        <v>0</v>
      </c>
      <c r="BC53" s="129" t="e">
        <f t="shared" si="52"/>
        <v>#DIV/0!</v>
      </c>
      <c r="BD53" s="60"/>
      <c r="BE53" s="133"/>
      <c r="BF53" s="133"/>
      <c r="BG53" s="133"/>
      <c r="BH53" s="133"/>
      <c r="BI53" s="159">
        <f t="shared" si="53"/>
        <v>0</v>
      </c>
      <c r="BJ53" s="133"/>
    </row>
    <row r="54" spans="1:62">
      <c r="A54" s="141"/>
      <c r="B54" s="10" t="s">
        <v>31</v>
      </c>
      <c r="C54" s="10" t="s">
        <v>31</v>
      </c>
      <c r="D54" s="145" t="s">
        <v>357</v>
      </c>
      <c r="E54" s="145" t="s">
        <v>60</v>
      </c>
      <c r="F54" s="126" t="s">
        <v>60</v>
      </c>
      <c r="G54" s="126" t="s">
        <v>317</v>
      </c>
      <c r="H54" s="126" t="s">
        <v>317</v>
      </c>
      <c r="I54" s="126" t="s">
        <v>311</v>
      </c>
      <c r="J54" s="126">
        <v>0</v>
      </c>
      <c r="K54" s="126"/>
      <c r="L54" s="156"/>
      <c r="M54" s="129"/>
      <c r="N54" s="156"/>
      <c r="O54" s="156"/>
      <c r="P54" s="129"/>
      <c r="Q54" s="156"/>
      <c r="R54" s="156"/>
      <c r="S54" s="129"/>
      <c r="T54" s="60"/>
      <c r="U54" s="60"/>
      <c r="V54" s="129"/>
      <c r="W54" s="60"/>
      <c r="X54" s="60"/>
      <c r="Y54" s="129"/>
      <c r="Z54" s="60"/>
      <c r="AA54" s="60"/>
      <c r="AB54" s="129"/>
      <c r="AC54" s="60"/>
      <c r="AD54" s="60"/>
      <c r="AE54" s="129"/>
      <c r="AF54" s="133"/>
      <c r="AG54" s="133">
        <v>30000</v>
      </c>
      <c r="AH54" s="129" t="e">
        <f t="shared" si="37"/>
        <v>#DIV/0!</v>
      </c>
      <c r="AI54" s="133">
        <f t="shared" si="38"/>
        <v>0</v>
      </c>
      <c r="AJ54" s="133">
        <f t="shared" si="39"/>
        <v>30000</v>
      </c>
      <c r="AK54" s="129" t="e">
        <f t="shared" si="40"/>
        <v>#DIV/0!</v>
      </c>
      <c r="AL54" s="133"/>
      <c r="AM54" s="133"/>
      <c r="AN54" s="129" t="e">
        <f t="shared" si="41"/>
        <v>#DIV/0!</v>
      </c>
      <c r="AO54" s="133">
        <f t="shared" si="42"/>
        <v>0</v>
      </c>
      <c r="AP54" s="133">
        <f t="shared" si="43"/>
        <v>30000</v>
      </c>
      <c r="AQ54" s="129" t="e">
        <f t="shared" si="44"/>
        <v>#DIV/0!</v>
      </c>
      <c r="AR54" s="133"/>
      <c r="AS54" s="133">
        <v>12977</v>
      </c>
      <c r="AT54" s="129" t="e">
        <f t="shared" si="45"/>
        <v>#DIV/0!</v>
      </c>
      <c r="AU54" s="133">
        <f t="shared" si="46"/>
        <v>0</v>
      </c>
      <c r="AV54" s="133">
        <f t="shared" si="47"/>
        <v>42977</v>
      </c>
      <c r="AW54" s="129" t="e">
        <f t="shared" si="48"/>
        <v>#DIV/0!</v>
      </c>
      <c r="AX54" s="60"/>
      <c r="AY54" s="60">
        <v>12129</v>
      </c>
      <c r="AZ54" s="129" t="e">
        <f t="shared" si="49"/>
        <v>#DIV/0!</v>
      </c>
      <c r="BA54" s="60">
        <f t="shared" si="50"/>
        <v>0</v>
      </c>
      <c r="BB54" s="60">
        <f t="shared" si="51"/>
        <v>55106</v>
      </c>
      <c r="BC54" s="129" t="e">
        <f t="shared" si="52"/>
        <v>#DIV/0!</v>
      </c>
      <c r="BD54" s="60"/>
      <c r="BE54" s="133"/>
      <c r="BF54" s="133"/>
      <c r="BG54" s="133"/>
      <c r="BH54" s="133"/>
      <c r="BI54" s="159" t="e">
        <f t="shared" si="53"/>
        <v>#DIV/0!</v>
      </c>
      <c r="BJ54" s="133"/>
    </row>
    <row r="55" spans="1:62">
      <c r="A55" s="141"/>
      <c r="B55" s="10" t="s">
        <v>31</v>
      </c>
      <c r="C55" s="10" t="s">
        <v>31</v>
      </c>
      <c r="D55" s="12" t="s">
        <v>358</v>
      </c>
      <c r="E55" s="10" t="s">
        <v>60</v>
      </c>
      <c r="F55" s="10" t="s">
        <v>60</v>
      </c>
      <c r="G55" s="10" t="s">
        <v>327</v>
      </c>
      <c r="H55" s="10" t="s">
        <v>327</v>
      </c>
      <c r="I55" s="10" t="s">
        <v>311</v>
      </c>
      <c r="J55" s="126"/>
      <c r="K55" s="126"/>
      <c r="L55" s="156"/>
      <c r="M55" s="129"/>
      <c r="N55" s="156"/>
      <c r="O55" s="156"/>
      <c r="P55" s="129"/>
      <c r="Q55" s="156"/>
      <c r="R55" s="156"/>
      <c r="S55" s="129"/>
      <c r="T55" s="60"/>
      <c r="U55" s="60">
        <v>61525</v>
      </c>
      <c r="V55" s="129" t="e">
        <f>U55/T55-1</f>
        <v>#DIV/0!</v>
      </c>
      <c r="W55" s="60">
        <f>T55+Q55</f>
        <v>0</v>
      </c>
      <c r="X55" s="60">
        <f>U55+R55</f>
        <v>61525</v>
      </c>
      <c r="Y55" s="129" t="e">
        <f>X55/W55-1</f>
        <v>#DIV/0!</v>
      </c>
      <c r="Z55" s="60"/>
      <c r="AA55" s="60">
        <v>91231</v>
      </c>
      <c r="AB55" s="129" t="e">
        <f>AA55/Z55-1</f>
        <v>#DIV/0!</v>
      </c>
      <c r="AC55" s="60">
        <f>W55+Z55</f>
        <v>0</v>
      </c>
      <c r="AD55" s="60">
        <f>X55+AA55</f>
        <v>152756</v>
      </c>
      <c r="AE55" s="129" t="e">
        <f>AD55/AC55-1</f>
        <v>#DIV/0!</v>
      </c>
      <c r="AF55" s="133"/>
      <c r="AG55" s="133">
        <v>34471</v>
      </c>
      <c r="AH55" s="129" t="e">
        <f t="shared" si="37"/>
        <v>#DIV/0!</v>
      </c>
      <c r="AI55" s="133">
        <f t="shared" si="38"/>
        <v>0</v>
      </c>
      <c r="AJ55" s="133">
        <f t="shared" si="39"/>
        <v>187227</v>
      </c>
      <c r="AK55" s="129" t="e">
        <f t="shared" si="40"/>
        <v>#DIV/0!</v>
      </c>
      <c r="AL55" s="133"/>
      <c r="AM55" s="133">
        <v>56029</v>
      </c>
      <c r="AN55" s="129" t="e">
        <f t="shared" si="41"/>
        <v>#DIV/0!</v>
      </c>
      <c r="AO55" s="133">
        <f t="shared" si="42"/>
        <v>0</v>
      </c>
      <c r="AP55" s="133">
        <f t="shared" si="43"/>
        <v>243256</v>
      </c>
      <c r="AQ55" s="129" t="e">
        <f t="shared" si="44"/>
        <v>#DIV/0!</v>
      </c>
      <c r="AR55" s="133"/>
      <c r="AS55" s="133">
        <v>95427</v>
      </c>
      <c r="AT55" s="129" t="e">
        <f t="shared" si="45"/>
        <v>#DIV/0!</v>
      </c>
      <c r="AU55" s="133">
        <f t="shared" si="46"/>
        <v>0</v>
      </c>
      <c r="AV55" s="133">
        <f t="shared" si="47"/>
        <v>338683</v>
      </c>
      <c r="AW55" s="129" t="e">
        <f t="shared" si="48"/>
        <v>#DIV/0!</v>
      </c>
      <c r="AX55" s="60"/>
      <c r="AY55" s="60">
        <v>43248</v>
      </c>
      <c r="AZ55" s="129" t="e">
        <f t="shared" si="49"/>
        <v>#DIV/0!</v>
      </c>
      <c r="BA55" s="60">
        <f t="shared" si="50"/>
        <v>0</v>
      </c>
      <c r="BB55" s="60">
        <f t="shared" si="51"/>
        <v>381931</v>
      </c>
      <c r="BC55" s="129" t="e">
        <f t="shared" si="52"/>
        <v>#DIV/0!</v>
      </c>
      <c r="BD55" s="60"/>
      <c r="BE55" s="133"/>
      <c r="BF55" s="133"/>
      <c r="BG55" s="133"/>
      <c r="BH55" s="133"/>
      <c r="BI55" s="159" t="e">
        <f t="shared" si="53"/>
        <v>#DIV/0!</v>
      </c>
      <c r="BJ55" s="133"/>
    </row>
    <row r="56" spans="1:62">
      <c r="A56" s="141"/>
      <c r="B56" s="10" t="s">
        <v>31</v>
      </c>
      <c r="C56" s="10" t="s">
        <v>31</v>
      </c>
      <c r="D56" s="133" t="s">
        <v>359</v>
      </c>
      <c r="E56" s="10" t="s">
        <v>60</v>
      </c>
      <c r="F56" s="10" t="s">
        <v>60</v>
      </c>
      <c r="G56" s="126" t="s">
        <v>310</v>
      </c>
      <c r="H56" s="126" t="s">
        <v>315</v>
      </c>
      <c r="I56" s="126" t="s">
        <v>311</v>
      </c>
      <c r="J56" s="126">
        <v>10</v>
      </c>
      <c r="K56" s="126"/>
      <c r="L56" s="156"/>
      <c r="M56" s="129"/>
      <c r="N56" s="156"/>
      <c r="O56" s="156"/>
      <c r="P56" s="129"/>
      <c r="Q56" s="156"/>
      <c r="R56" s="156"/>
      <c r="S56" s="129"/>
      <c r="T56" s="60"/>
      <c r="U56" s="60"/>
      <c r="V56" s="129"/>
      <c r="W56" s="60"/>
      <c r="X56" s="60"/>
      <c r="Y56" s="129"/>
      <c r="Z56" s="60"/>
      <c r="AA56" s="60"/>
      <c r="AB56" s="129"/>
      <c r="AC56" s="60"/>
      <c r="AD56" s="60"/>
      <c r="AE56" s="129"/>
      <c r="AF56" s="133"/>
      <c r="AG56" s="133"/>
      <c r="AH56" s="129"/>
      <c r="AI56" s="133"/>
      <c r="AJ56" s="133"/>
      <c r="AK56" s="129"/>
      <c r="AL56" s="133"/>
      <c r="AM56" s="133"/>
      <c r="AN56" s="129"/>
      <c r="AO56" s="133"/>
      <c r="AP56" s="133"/>
      <c r="AQ56" s="129"/>
      <c r="AR56" s="133"/>
      <c r="AS56" s="42">
        <v>8600</v>
      </c>
      <c r="AT56" s="129" t="e">
        <f t="shared" si="45"/>
        <v>#DIV/0!</v>
      </c>
      <c r="AU56" s="133">
        <f t="shared" si="46"/>
        <v>0</v>
      </c>
      <c r="AV56" s="133">
        <f t="shared" si="47"/>
        <v>8600</v>
      </c>
      <c r="AW56" s="129" t="e">
        <f t="shared" si="48"/>
        <v>#DIV/0!</v>
      </c>
      <c r="AX56" s="60"/>
      <c r="AY56" s="60"/>
      <c r="AZ56" s="129" t="e">
        <f t="shared" si="49"/>
        <v>#DIV/0!</v>
      </c>
      <c r="BA56" s="60">
        <f t="shared" si="50"/>
        <v>0</v>
      </c>
      <c r="BB56" s="60">
        <f t="shared" si="51"/>
        <v>8600</v>
      </c>
      <c r="BC56" s="129" t="e">
        <f t="shared" si="52"/>
        <v>#DIV/0!</v>
      </c>
      <c r="BD56" s="60"/>
      <c r="BE56" s="133"/>
      <c r="BF56" s="133"/>
      <c r="BG56" s="133"/>
      <c r="BH56" s="133"/>
      <c r="BI56" s="159">
        <f t="shared" si="53"/>
        <v>0.086</v>
      </c>
      <c r="BJ56" s="133"/>
    </row>
    <row r="57" spans="1:62">
      <c r="A57" s="141"/>
      <c r="B57" s="10" t="s">
        <v>31</v>
      </c>
      <c r="C57" s="10" t="s">
        <v>31</v>
      </c>
      <c r="D57" s="133" t="s">
        <v>360</v>
      </c>
      <c r="E57" s="10" t="s">
        <v>60</v>
      </c>
      <c r="F57" s="10" t="s">
        <v>60</v>
      </c>
      <c r="G57" s="10" t="s">
        <v>302</v>
      </c>
      <c r="H57" s="126" t="s">
        <v>302</v>
      </c>
      <c r="I57" s="126" t="s">
        <v>303</v>
      </c>
      <c r="J57" s="126">
        <v>10</v>
      </c>
      <c r="K57" s="126"/>
      <c r="L57" s="156"/>
      <c r="M57" s="129"/>
      <c r="N57" s="156"/>
      <c r="O57" s="156"/>
      <c r="P57" s="129"/>
      <c r="Q57" s="156"/>
      <c r="R57" s="156"/>
      <c r="S57" s="129"/>
      <c r="T57" s="60"/>
      <c r="U57" s="60"/>
      <c r="V57" s="129"/>
      <c r="W57" s="60"/>
      <c r="X57" s="60"/>
      <c r="Y57" s="129"/>
      <c r="Z57" s="60"/>
      <c r="AA57" s="60"/>
      <c r="AB57" s="129"/>
      <c r="AC57" s="60"/>
      <c r="AD57" s="60"/>
      <c r="AE57" s="129"/>
      <c r="AF57" s="133"/>
      <c r="AG57" s="133"/>
      <c r="AH57" s="129"/>
      <c r="AI57" s="133"/>
      <c r="AJ57" s="133"/>
      <c r="AK57" s="129"/>
      <c r="AL57" s="133"/>
      <c r="AM57" s="133"/>
      <c r="AN57" s="129"/>
      <c r="AO57" s="133"/>
      <c r="AP57" s="133"/>
      <c r="AQ57" s="129"/>
      <c r="AR57" s="133"/>
      <c r="AS57" s="42">
        <v>14623</v>
      </c>
      <c r="AT57" s="129" t="e">
        <f t="shared" si="45"/>
        <v>#DIV/0!</v>
      </c>
      <c r="AU57" s="133">
        <f t="shared" si="46"/>
        <v>0</v>
      </c>
      <c r="AV57" s="133">
        <f t="shared" si="47"/>
        <v>14623</v>
      </c>
      <c r="AW57" s="129" t="e">
        <f t="shared" si="48"/>
        <v>#DIV/0!</v>
      </c>
      <c r="AX57" s="60"/>
      <c r="AY57" s="60">
        <v>11267</v>
      </c>
      <c r="AZ57" s="129" t="e">
        <f t="shared" si="49"/>
        <v>#DIV/0!</v>
      </c>
      <c r="BA57" s="60">
        <f t="shared" si="50"/>
        <v>0</v>
      </c>
      <c r="BB57" s="60">
        <f t="shared" si="51"/>
        <v>25890</v>
      </c>
      <c r="BC57" s="129" t="e">
        <f t="shared" si="52"/>
        <v>#DIV/0!</v>
      </c>
      <c r="BD57" s="60"/>
      <c r="BE57" s="133"/>
      <c r="BF57" s="133"/>
      <c r="BG57" s="133"/>
      <c r="BH57" s="133"/>
      <c r="BI57" s="159">
        <f t="shared" si="53"/>
        <v>0.2589</v>
      </c>
      <c r="BJ57" s="133"/>
    </row>
    <row r="58" spans="1:62">
      <c r="A58" s="141"/>
      <c r="B58" s="10" t="s">
        <v>31</v>
      </c>
      <c r="C58" s="10" t="s">
        <v>31</v>
      </c>
      <c r="D58" s="133" t="s">
        <v>361</v>
      </c>
      <c r="E58" s="10" t="s">
        <v>60</v>
      </c>
      <c r="F58" s="10" t="s">
        <v>60</v>
      </c>
      <c r="G58" s="126" t="s">
        <v>310</v>
      </c>
      <c r="H58" s="126" t="s">
        <v>315</v>
      </c>
      <c r="I58" s="126" t="s">
        <v>311</v>
      </c>
      <c r="J58" s="126">
        <v>10</v>
      </c>
      <c r="K58" s="126"/>
      <c r="L58" s="156"/>
      <c r="M58" s="129"/>
      <c r="N58" s="156"/>
      <c r="O58" s="156"/>
      <c r="P58" s="129"/>
      <c r="Q58" s="156"/>
      <c r="R58" s="156"/>
      <c r="S58" s="129"/>
      <c r="T58" s="60"/>
      <c r="U58" s="60"/>
      <c r="V58" s="129"/>
      <c r="W58" s="60"/>
      <c r="X58" s="60"/>
      <c r="Y58" s="129"/>
      <c r="Z58" s="60"/>
      <c r="AA58" s="60"/>
      <c r="AB58" s="129"/>
      <c r="AC58" s="60"/>
      <c r="AD58" s="60"/>
      <c r="AE58" s="129"/>
      <c r="AF58" s="133"/>
      <c r="AG58" s="133"/>
      <c r="AH58" s="129"/>
      <c r="AI58" s="133"/>
      <c r="AJ58" s="133"/>
      <c r="AK58" s="129"/>
      <c r="AL58" s="133"/>
      <c r="AM58" s="133"/>
      <c r="AN58" s="129"/>
      <c r="AO58" s="133"/>
      <c r="AP58" s="133"/>
      <c r="AQ58" s="129"/>
      <c r="AR58" s="133"/>
      <c r="AS58" s="42">
        <v>6000</v>
      </c>
      <c r="AT58" s="129" t="e">
        <f t="shared" si="45"/>
        <v>#DIV/0!</v>
      </c>
      <c r="AU58" s="133">
        <f t="shared" si="46"/>
        <v>0</v>
      </c>
      <c r="AV58" s="133">
        <f t="shared" si="47"/>
        <v>6000</v>
      </c>
      <c r="AW58" s="129" t="e">
        <f t="shared" si="48"/>
        <v>#DIV/0!</v>
      </c>
      <c r="AX58" s="60"/>
      <c r="AY58" s="60">
        <v>13570</v>
      </c>
      <c r="AZ58" s="129" t="e">
        <f t="shared" si="49"/>
        <v>#DIV/0!</v>
      </c>
      <c r="BA58" s="60">
        <f t="shared" si="50"/>
        <v>0</v>
      </c>
      <c r="BB58" s="60">
        <f t="shared" si="51"/>
        <v>19570</v>
      </c>
      <c r="BC58" s="129" t="e">
        <f t="shared" si="52"/>
        <v>#DIV/0!</v>
      </c>
      <c r="BD58" s="60"/>
      <c r="BE58" s="133"/>
      <c r="BF58" s="133"/>
      <c r="BG58" s="133"/>
      <c r="BH58" s="133"/>
      <c r="BI58" s="159">
        <f t="shared" si="53"/>
        <v>0.1957</v>
      </c>
      <c r="BJ58" s="133"/>
    </row>
    <row r="59" spans="1:62">
      <c r="A59" s="141"/>
      <c r="B59" s="10" t="s">
        <v>31</v>
      </c>
      <c r="C59" s="10" t="s">
        <v>31</v>
      </c>
      <c r="D59" s="133" t="s">
        <v>362</v>
      </c>
      <c r="E59" s="10" t="s">
        <v>60</v>
      </c>
      <c r="F59" s="10" t="s">
        <v>60</v>
      </c>
      <c r="G59" s="10" t="s">
        <v>317</v>
      </c>
      <c r="H59" s="10" t="s">
        <v>317</v>
      </c>
      <c r="I59" s="126" t="s">
        <v>311</v>
      </c>
      <c r="J59" s="126">
        <v>10</v>
      </c>
      <c r="K59" s="126"/>
      <c r="L59" s="156"/>
      <c r="M59" s="129"/>
      <c r="N59" s="156"/>
      <c r="O59" s="156"/>
      <c r="P59" s="129"/>
      <c r="Q59" s="156"/>
      <c r="R59" s="156"/>
      <c r="S59" s="129"/>
      <c r="T59" s="60"/>
      <c r="U59" s="60"/>
      <c r="V59" s="129"/>
      <c r="W59" s="60"/>
      <c r="X59" s="60"/>
      <c r="Y59" s="129"/>
      <c r="Z59" s="60"/>
      <c r="AA59" s="60"/>
      <c r="AB59" s="129"/>
      <c r="AC59" s="60"/>
      <c r="AD59" s="60"/>
      <c r="AE59" s="129"/>
      <c r="AF59" s="133"/>
      <c r="AG59" s="133"/>
      <c r="AH59" s="129"/>
      <c r="AI59" s="133"/>
      <c r="AJ59" s="133"/>
      <c r="AK59" s="129"/>
      <c r="AL59" s="133"/>
      <c r="AM59" s="133"/>
      <c r="AN59" s="129"/>
      <c r="AO59" s="133"/>
      <c r="AP59" s="133"/>
      <c r="AQ59" s="129"/>
      <c r="AR59" s="133"/>
      <c r="AS59" s="42">
        <v>4400</v>
      </c>
      <c r="AT59" s="129" t="e">
        <f t="shared" si="45"/>
        <v>#DIV/0!</v>
      </c>
      <c r="AU59" s="133">
        <f t="shared" si="46"/>
        <v>0</v>
      </c>
      <c r="AV59" s="133">
        <f t="shared" si="47"/>
        <v>4400</v>
      </c>
      <c r="AW59" s="129" t="e">
        <f t="shared" si="48"/>
        <v>#DIV/0!</v>
      </c>
      <c r="AX59" s="60"/>
      <c r="AY59" s="60">
        <v>26893</v>
      </c>
      <c r="AZ59" s="129" t="e">
        <f t="shared" si="49"/>
        <v>#DIV/0!</v>
      </c>
      <c r="BA59" s="60">
        <f t="shared" si="50"/>
        <v>0</v>
      </c>
      <c r="BB59" s="60">
        <f t="shared" si="51"/>
        <v>31293</v>
      </c>
      <c r="BC59" s="129" t="e">
        <f t="shared" si="52"/>
        <v>#DIV/0!</v>
      </c>
      <c r="BD59" s="60"/>
      <c r="BE59" s="133"/>
      <c r="BF59" s="133"/>
      <c r="BG59" s="133"/>
      <c r="BH59" s="133"/>
      <c r="BI59" s="159">
        <f t="shared" si="53"/>
        <v>0.31293</v>
      </c>
      <c r="BJ59" s="133"/>
    </row>
    <row r="60" spans="1:62">
      <c r="A60" s="141"/>
      <c r="B60" s="10" t="s">
        <v>31</v>
      </c>
      <c r="C60" s="10" t="s">
        <v>31</v>
      </c>
      <c r="D60" s="133" t="s">
        <v>363</v>
      </c>
      <c r="E60" s="10" t="s">
        <v>60</v>
      </c>
      <c r="F60" s="10" t="s">
        <v>60</v>
      </c>
      <c r="G60" s="10" t="s">
        <v>317</v>
      </c>
      <c r="H60" s="10" t="s">
        <v>317</v>
      </c>
      <c r="I60" s="126" t="s">
        <v>311</v>
      </c>
      <c r="J60" s="126">
        <v>10</v>
      </c>
      <c r="K60" s="126"/>
      <c r="L60" s="156"/>
      <c r="M60" s="129"/>
      <c r="N60" s="156"/>
      <c r="O60" s="156"/>
      <c r="P60" s="129"/>
      <c r="Q60" s="156"/>
      <c r="R60" s="156"/>
      <c r="S60" s="129"/>
      <c r="T60" s="60"/>
      <c r="U60" s="60"/>
      <c r="V60" s="129"/>
      <c r="W60" s="60"/>
      <c r="X60" s="60"/>
      <c r="Y60" s="129"/>
      <c r="Z60" s="60"/>
      <c r="AA60" s="60"/>
      <c r="AB60" s="129"/>
      <c r="AC60" s="60"/>
      <c r="AD60" s="60"/>
      <c r="AE60" s="129"/>
      <c r="AF60" s="133"/>
      <c r="AG60" s="133"/>
      <c r="AH60" s="129"/>
      <c r="AI60" s="133"/>
      <c r="AJ60" s="133"/>
      <c r="AK60" s="129"/>
      <c r="AL60" s="133"/>
      <c r="AM60" s="133"/>
      <c r="AN60" s="129"/>
      <c r="AO60" s="133"/>
      <c r="AP60" s="133"/>
      <c r="AQ60" s="129"/>
      <c r="AR60" s="133"/>
      <c r="AS60" s="42">
        <v>25421.52</v>
      </c>
      <c r="AT60" s="129" t="e">
        <f t="shared" si="45"/>
        <v>#DIV/0!</v>
      </c>
      <c r="AU60" s="133">
        <f t="shared" si="46"/>
        <v>0</v>
      </c>
      <c r="AV60" s="133">
        <f t="shared" si="47"/>
        <v>25421.52</v>
      </c>
      <c r="AW60" s="129" t="e">
        <f t="shared" si="48"/>
        <v>#DIV/0!</v>
      </c>
      <c r="AX60" s="60"/>
      <c r="AY60" s="60">
        <v>8776</v>
      </c>
      <c r="AZ60" s="129" t="e">
        <f t="shared" si="49"/>
        <v>#DIV/0!</v>
      </c>
      <c r="BA60" s="60">
        <f t="shared" si="50"/>
        <v>0</v>
      </c>
      <c r="BB60" s="60">
        <f t="shared" si="51"/>
        <v>34197.52</v>
      </c>
      <c r="BC60" s="129" t="e">
        <f t="shared" si="52"/>
        <v>#DIV/0!</v>
      </c>
      <c r="BD60" s="60"/>
      <c r="BE60" s="133"/>
      <c r="BF60" s="133"/>
      <c r="BG60" s="133"/>
      <c r="BH60" s="133"/>
      <c r="BI60" s="159">
        <f t="shared" si="53"/>
        <v>0.3419752</v>
      </c>
      <c r="BJ60" s="133"/>
    </row>
    <row r="61" spans="1:62">
      <c r="A61" s="141"/>
      <c r="B61" s="10" t="s">
        <v>31</v>
      </c>
      <c r="C61" s="10" t="s">
        <v>31</v>
      </c>
      <c r="D61" s="133" t="s">
        <v>364</v>
      </c>
      <c r="E61" s="10" t="s">
        <v>60</v>
      </c>
      <c r="F61" s="10" t="s">
        <v>60</v>
      </c>
      <c r="G61" s="276" t="s">
        <v>298</v>
      </c>
      <c r="H61" s="276" t="s">
        <v>298</v>
      </c>
      <c r="I61" s="126" t="s">
        <v>299</v>
      </c>
      <c r="J61" s="126"/>
      <c r="K61" s="126"/>
      <c r="L61" s="156"/>
      <c r="M61" s="129"/>
      <c r="N61" s="156"/>
      <c r="O61" s="156"/>
      <c r="P61" s="129"/>
      <c r="Q61" s="156"/>
      <c r="R61" s="156"/>
      <c r="S61" s="129"/>
      <c r="T61" s="60"/>
      <c r="U61" s="60"/>
      <c r="V61" s="129"/>
      <c r="W61" s="60"/>
      <c r="X61" s="60"/>
      <c r="Y61" s="129"/>
      <c r="Z61" s="60"/>
      <c r="AA61" s="60"/>
      <c r="AB61" s="129"/>
      <c r="AC61" s="60"/>
      <c r="AD61" s="60"/>
      <c r="AE61" s="129"/>
      <c r="AF61" s="133"/>
      <c r="AG61" s="133"/>
      <c r="AH61" s="129"/>
      <c r="AI61" s="133"/>
      <c r="AJ61" s="133"/>
      <c r="AK61" s="129"/>
      <c r="AL61" s="133"/>
      <c r="AM61" s="133"/>
      <c r="AN61" s="129"/>
      <c r="AO61" s="133"/>
      <c r="AP61" s="133"/>
      <c r="AQ61" s="129"/>
      <c r="AR61" s="133"/>
      <c r="AS61" s="42"/>
      <c r="AT61" s="129"/>
      <c r="AU61" s="133"/>
      <c r="AV61" s="133"/>
      <c r="AW61" s="129"/>
      <c r="AX61" s="60"/>
      <c r="AY61" s="60">
        <v>6550</v>
      </c>
      <c r="AZ61" s="129" t="e">
        <f t="shared" si="49"/>
        <v>#DIV/0!</v>
      </c>
      <c r="BA61" s="60">
        <f t="shared" si="50"/>
        <v>0</v>
      </c>
      <c r="BB61" s="60">
        <f t="shared" si="51"/>
        <v>6550</v>
      </c>
      <c r="BC61" s="129" t="e">
        <f t="shared" si="52"/>
        <v>#DIV/0!</v>
      </c>
      <c r="BD61" s="60"/>
      <c r="BE61" s="133"/>
      <c r="BF61" s="133"/>
      <c r="BG61" s="133"/>
      <c r="BH61" s="133"/>
      <c r="BI61" s="159" t="e">
        <f t="shared" si="53"/>
        <v>#DIV/0!</v>
      </c>
      <c r="BJ61" s="133"/>
    </row>
    <row r="62" spans="1:62">
      <c r="A62" s="150"/>
      <c r="B62" s="141"/>
      <c r="C62" s="141"/>
      <c r="D62" s="126" t="s">
        <v>29</v>
      </c>
      <c r="E62" s="126"/>
      <c r="F62" s="126"/>
      <c r="G62" s="126"/>
      <c r="H62" s="126"/>
      <c r="I62" s="126"/>
      <c r="J62" s="130">
        <f>SUBTOTAL(9,J3:J60)</f>
        <v>2220</v>
      </c>
      <c r="K62" s="130">
        <f>SUBTOTAL(9,K3:K55)</f>
        <v>1971859.46</v>
      </c>
      <c r="L62" s="130">
        <f>SUBTOTAL(9,L3:L55)</f>
        <v>1683228.28</v>
      </c>
      <c r="M62" s="129">
        <f>L62/K62-1</f>
        <v>-0.14637512756614</v>
      </c>
      <c r="N62" s="130">
        <f>SUBTOTAL(9,N3:N55)</f>
        <v>862585.12</v>
      </c>
      <c r="O62" s="130">
        <f>SUBTOTAL(9,O3:O55)</f>
        <v>832659.54</v>
      </c>
      <c r="P62" s="129">
        <f>O62/N62-1</f>
        <v>-0.0346929008003292</v>
      </c>
      <c r="Q62" s="130">
        <f>SUBTOTAL(9,Q3:Q55)</f>
        <v>2834444.58</v>
      </c>
      <c r="R62" s="130">
        <f>SUBTOTAL(9,R3:R55)</f>
        <v>2515887.82</v>
      </c>
      <c r="S62" s="129">
        <f>R62/Q62-1</f>
        <v>-0.112387718654919</v>
      </c>
      <c r="T62" s="130">
        <f>SUBTOTAL(9,T3:T55)</f>
        <v>1454016.01</v>
      </c>
      <c r="U62" s="130">
        <f>SUBTOTAL(9,U3:U55)</f>
        <v>2188918.41</v>
      </c>
      <c r="V62" s="129">
        <f>U62/T62-1</f>
        <v>0.505429372816879</v>
      </c>
      <c r="W62" s="130">
        <f>SUBTOTAL(9,W3:W55)</f>
        <v>4288460.59</v>
      </c>
      <c r="X62" s="130">
        <f>SUBTOTAL(9,X3:X55)</f>
        <v>4704806.23</v>
      </c>
      <c r="Y62" s="129">
        <f>X62/W62-1</f>
        <v>0.0970851034450104</v>
      </c>
      <c r="Z62" s="130">
        <f>SUBTOTAL(9,Z3:Z55)</f>
        <v>1189993.77</v>
      </c>
      <c r="AA62" s="130">
        <f t="shared" ref="AA62:AG62" si="54">SUBTOTAL(9,AA3:AA55)</f>
        <v>1508708.25</v>
      </c>
      <c r="AB62" s="129">
        <f>AA62/Z62-1</f>
        <v>0.267828696279645</v>
      </c>
      <c r="AC62" s="130">
        <f t="shared" si="54"/>
        <v>5478454.36</v>
      </c>
      <c r="AD62" s="130">
        <f t="shared" si="54"/>
        <v>6213514.48</v>
      </c>
      <c r="AE62" s="129">
        <f>AD62/AC62-1</f>
        <v>0.134172902008076</v>
      </c>
      <c r="AF62" s="130">
        <f t="shared" si="54"/>
        <v>1649605.21</v>
      </c>
      <c r="AG62" s="130">
        <f t="shared" si="54"/>
        <v>1736224.19</v>
      </c>
      <c r="AH62" s="129">
        <f>AG62/AF62-1</f>
        <v>0.0525089151482494</v>
      </c>
      <c r="AI62" s="130">
        <f t="shared" ref="AI62:AM62" si="55">SUBTOTAL(9,AI3:AI55)</f>
        <v>7128059.57</v>
      </c>
      <c r="AJ62" s="130">
        <f t="shared" si="55"/>
        <v>7949738.67</v>
      </c>
      <c r="AK62" s="129">
        <f>AJ62/AI62-1</f>
        <v>0.11527388231409</v>
      </c>
      <c r="AL62" s="130">
        <f t="shared" si="55"/>
        <v>1202502.84</v>
      </c>
      <c r="AM62" s="130">
        <f t="shared" si="55"/>
        <v>2136560.09</v>
      </c>
      <c r="AN62" s="129">
        <f>AM62/AL62-1</f>
        <v>0.776760951350435</v>
      </c>
      <c r="AO62" s="130">
        <f t="shared" ref="AO62:AS62" si="56">SUBTOTAL(9,AO3:AO55)</f>
        <v>8330562.41</v>
      </c>
      <c r="AP62" s="130">
        <f t="shared" si="56"/>
        <v>10086298.76</v>
      </c>
      <c r="AQ62" s="129">
        <f>AP62/AO62-1</f>
        <v>0.210758441457976</v>
      </c>
      <c r="AR62" s="130">
        <f t="shared" ref="AR62:AV62" si="57">SUBTOTAL(9,AR3:AR60)</f>
        <v>1775233.87</v>
      </c>
      <c r="AS62" s="130">
        <f t="shared" si="57"/>
        <v>1520600.24</v>
      </c>
      <c r="AT62" s="129">
        <f>AS62/AR62-1</f>
        <v>-0.143436667305137</v>
      </c>
      <c r="AU62" s="130">
        <f t="shared" si="57"/>
        <v>10105796.28</v>
      </c>
      <c r="AV62" s="130">
        <f t="shared" si="57"/>
        <v>11606899</v>
      </c>
      <c r="AW62" s="129">
        <f>AV62/AU62-1</f>
        <v>0.148538786891121</v>
      </c>
      <c r="AX62" s="130">
        <f t="shared" ref="AX62:BB62" si="58">SUBTOTAL(9,AX3:AX61)</f>
        <v>1110802.6</v>
      </c>
      <c r="AY62" s="130">
        <f t="shared" si="58"/>
        <v>748570.86</v>
      </c>
      <c r="AZ62" s="129">
        <f t="shared" si="49"/>
        <v>-0.326099110679071</v>
      </c>
      <c r="BA62" s="130">
        <f t="shared" si="58"/>
        <v>11216598.88</v>
      </c>
      <c r="BB62" s="130">
        <f t="shared" si="58"/>
        <v>12355469.86</v>
      </c>
      <c r="BC62" s="129">
        <f t="shared" si="52"/>
        <v>0.101534430551019</v>
      </c>
      <c r="BD62" s="158">
        <v>2053571.01</v>
      </c>
      <c r="BE62" s="158">
        <v>2117929.23</v>
      </c>
      <c r="BF62" s="158">
        <v>3533210.09</v>
      </c>
      <c r="BG62" s="158">
        <v>3045871.87</v>
      </c>
      <c r="BH62" s="158">
        <v>21967181.08</v>
      </c>
      <c r="BI62" s="159">
        <f t="shared" si="53"/>
        <v>0.556552696396396</v>
      </c>
      <c r="BJ62" s="133"/>
    </row>
    <row r="63" spans="1:60">
      <c r="A63" s="151"/>
      <c r="B63" s="151"/>
      <c r="C63" s="151"/>
      <c r="D63" s="152"/>
      <c r="E63" s="151"/>
      <c r="F63" s="151"/>
      <c r="G63" s="151"/>
      <c r="H63" s="151"/>
      <c r="I63" s="151"/>
      <c r="J63" s="151"/>
      <c r="K63" s="157"/>
      <c r="L63" s="157"/>
      <c r="M63" s="157"/>
      <c r="N63" s="157"/>
      <c r="O63" s="157"/>
      <c r="P63" s="157"/>
      <c r="Q63" s="157"/>
      <c r="R63" s="157"/>
      <c r="S63" s="157"/>
      <c r="T63" s="151"/>
      <c r="U63" s="151"/>
      <c r="V63" s="151"/>
      <c r="W63" s="151"/>
      <c r="X63" s="151"/>
      <c r="Y63" s="151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</row>
  </sheetData>
  <mergeCells count="39">
    <mergeCell ref="K1:L1"/>
    <mergeCell ref="N1:O1"/>
    <mergeCell ref="Q1:R1"/>
    <mergeCell ref="T1:U1"/>
    <mergeCell ref="W1:X1"/>
    <mergeCell ref="Z1:AA1"/>
    <mergeCell ref="AC1:AD1"/>
    <mergeCell ref="AF1:AG1"/>
    <mergeCell ref="AI1:AJ1"/>
    <mergeCell ref="AL1:AM1"/>
    <mergeCell ref="AO1:AP1"/>
    <mergeCell ref="AR1:AS1"/>
    <mergeCell ref="AU1:AV1"/>
    <mergeCell ref="AX1:AY1"/>
    <mergeCell ref="BA1:BB1"/>
    <mergeCell ref="A1:A2"/>
    <mergeCell ref="D1:D2"/>
    <mergeCell ref="E1:E2"/>
    <mergeCell ref="F1:F2"/>
    <mergeCell ref="G1:G2"/>
    <mergeCell ref="H1:H2"/>
    <mergeCell ref="I1:I2"/>
    <mergeCell ref="J1:J2"/>
    <mergeCell ref="M1:M2"/>
    <mergeCell ref="P1:P2"/>
    <mergeCell ref="S1:S2"/>
    <mergeCell ref="V1:V2"/>
    <mergeCell ref="Y1:Y2"/>
    <mergeCell ref="AB1:AB2"/>
    <mergeCell ref="AE1:AE2"/>
    <mergeCell ref="AH1:AH2"/>
    <mergeCell ref="AK1:AK2"/>
    <mergeCell ref="AN1:AN2"/>
    <mergeCell ref="AQ1:AQ2"/>
    <mergeCell ref="AT1:AT2"/>
    <mergeCell ref="AW1:AW2"/>
    <mergeCell ref="AZ1:AZ2"/>
    <mergeCell ref="BC1:BC2"/>
    <mergeCell ref="BI1:BI2"/>
  </mergeCell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rgb="FFFFC000"/>
  </sheetPr>
  <dimension ref="A1:BJ34"/>
  <sheetViews>
    <sheetView workbookViewId="0">
      <pane xSplit="9" ySplit="2" topLeftCell="AV24" activePane="bottomRight" state="frozen"/>
      <selection/>
      <selection pane="topRight"/>
      <selection pane="bottomLeft"/>
      <selection pane="bottomRight" activeCell="AZ34" sqref="AZ34:BA34"/>
    </sheetView>
  </sheetViews>
  <sheetFormatPr defaultColWidth="9" defaultRowHeight="14"/>
  <cols>
    <col min="1" max="1" width="5.12727272727273" style="67" customWidth="1"/>
    <col min="2" max="2" width="5.25454545454545" customWidth="1"/>
    <col min="3" max="3" width="25.3727272727273" style="109" customWidth="1"/>
    <col min="4" max="5" width="8.87272727272727" style="40" customWidth="1"/>
    <col min="6" max="6" width="7.50909090909091" style="40" customWidth="1"/>
    <col min="7" max="7" width="7.12727272727273" style="40" hidden="1" customWidth="1"/>
    <col min="8" max="8" width="7.12727272727273" style="40" customWidth="1"/>
    <col min="9" max="9" width="11.1272727272727" style="40" customWidth="1"/>
    <col min="10" max="12" width="10.8727272727273" style="38" customWidth="1"/>
    <col min="13" max="14" width="9.50909090909091" style="110" customWidth="1"/>
    <col min="15" max="15" width="9.50909090909091" style="39" customWidth="1"/>
    <col min="16" max="17" width="9.50909090909091" style="2" customWidth="1"/>
    <col min="18" max="18" width="9.50909090909091" style="39" customWidth="1"/>
    <col min="19" max="24" width="9.87272727272727" style="39" customWidth="1"/>
    <col min="25" max="30" width="9.25454545454545" style="39" customWidth="1"/>
    <col min="31" max="35" width="11.6272727272727" style="39" customWidth="1"/>
    <col min="36" max="36" width="7.50909090909091" style="39" customWidth="1"/>
    <col min="37" max="38" width="11.8727272727273" style="111" customWidth="1"/>
    <col min="39" max="39" width="7.50909090909091" style="112" customWidth="1"/>
    <col min="40" max="42" width="11.8727272727273" style="112" customWidth="1"/>
    <col min="43" max="45" width="9.75454545454545" style="39" customWidth="1"/>
    <col min="46" max="47" width="11.1272727272727" style="39" customWidth="1"/>
    <col min="48" max="48" width="9.75454545454545" style="39" customWidth="1"/>
    <col min="49" max="50" width="9.62727272727273" style="110" customWidth="1"/>
    <col min="51" max="51" width="9.62727272727273" style="39" customWidth="1"/>
    <col min="52" max="53" width="9.62727272727273" style="110" customWidth="1"/>
    <col min="54" max="54" width="9.62727272727273" style="39" customWidth="1"/>
    <col min="55" max="55" width="11.1272727272727" style="112" hidden="1" customWidth="1"/>
    <col min="56" max="56" width="11.7545454545455" style="113" hidden="1" customWidth="1"/>
    <col min="57" max="59" width="11.7545454545455" style="39" hidden="1" customWidth="1"/>
    <col min="60" max="60" width="9.25454545454545" style="39" customWidth="1"/>
    <col min="61" max="61" width="9" style="39" customWidth="1"/>
  </cols>
  <sheetData>
    <row r="1" ht="14.25" customHeight="1" spans="2:60">
      <c r="B1" s="114" t="s">
        <v>44</v>
      </c>
      <c r="C1" s="115" t="s">
        <v>249</v>
      </c>
      <c r="D1" s="116" t="s">
        <v>46</v>
      </c>
      <c r="E1" s="117" t="s">
        <v>47</v>
      </c>
      <c r="F1" s="117" t="s">
        <v>48</v>
      </c>
      <c r="G1" s="118" t="s">
        <v>49</v>
      </c>
      <c r="H1" s="119" t="s">
        <v>50</v>
      </c>
      <c r="I1" s="127" t="s">
        <v>36</v>
      </c>
      <c r="J1" s="87" t="s">
        <v>3</v>
      </c>
      <c r="K1" s="88"/>
      <c r="L1" s="89" t="s">
        <v>4</v>
      </c>
      <c r="M1" s="55" t="s">
        <v>5</v>
      </c>
      <c r="N1" s="55"/>
      <c r="O1" s="56" t="s">
        <v>4</v>
      </c>
      <c r="P1" s="90" t="s">
        <v>37</v>
      </c>
      <c r="Q1" s="90"/>
      <c r="R1" s="56" t="s">
        <v>4</v>
      </c>
      <c r="S1" s="55" t="s">
        <v>6</v>
      </c>
      <c r="T1" s="55"/>
      <c r="U1" s="56" t="s">
        <v>4</v>
      </c>
      <c r="V1" s="55" t="s">
        <v>7</v>
      </c>
      <c r="W1" s="55"/>
      <c r="X1" s="56" t="s">
        <v>4</v>
      </c>
      <c r="Y1" s="55" t="s">
        <v>8</v>
      </c>
      <c r="Z1" s="55"/>
      <c r="AA1" s="56" t="s">
        <v>4</v>
      </c>
      <c r="AB1" s="55" t="s">
        <v>9</v>
      </c>
      <c r="AC1" s="55"/>
      <c r="AD1" s="56" t="s">
        <v>4</v>
      </c>
      <c r="AE1" s="55" t="s">
        <v>10</v>
      </c>
      <c r="AF1" s="55"/>
      <c r="AG1" s="56" t="s">
        <v>4</v>
      </c>
      <c r="AH1" s="55" t="s">
        <v>11</v>
      </c>
      <c r="AI1" s="55"/>
      <c r="AJ1" s="56" t="s">
        <v>4</v>
      </c>
      <c r="AK1" s="55" t="s">
        <v>12</v>
      </c>
      <c r="AL1" s="55"/>
      <c r="AM1" s="56" t="s">
        <v>4</v>
      </c>
      <c r="AN1" s="55" t="s">
        <v>13</v>
      </c>
      <c r="AO1" s="55"/>
      <c r="AP1" s="56" t="s">
        <v>4</v>
      </c>
      <c r="AQ1" s="55" t="s">
        <v>14</v>
      </c>
      <c r="AR1" s="55"/>
      <c r="AS1" s="56" t="s">
        <v>4</v>
      </c>
      <c r="AT1" s="55" t="s">
        <v>15</v>
      </c>
      <c r="AU1" s="55"/>
      <c r="AV1" s="99" t="s">
        <v>4</v>
      </c>
      <c r="AW1" s="55" t="s">
        <v>16</v>
      </c>
      <c r="AX1" s="55"/>
      <c r="AY1" s="56" t="s">
        <v>4</v>
      </c>
      <c r="AZ1" s="55" t="s">
        <v>17</v>
      </c>
      <c r="BA1" s="55"/>
      <c r="BB1" s="99" t="s">
        <v>4</v>
      </c>
      <c r="BC1" s="137" t="s">
        <v>38</v>
      </c>
      <c r="BD1" s="137" t="s">
        <v>39</v>
      </c>
      <c r="BE1" s="137" t="s">
        <v>40</v>
      </c>
      <c r="BF1" s="137" t="s">
        <v>41</v>
      </c>
      <c r="BG1" s="137" t="s">
        <v>132</v>
      </c>
      <c r="BH1" s="102" t="s">
        <v>161</v>
      </c>
    </row>
    <row r="2" ht="14.25" customHeight="1" spans="2:62">
      <c r="B2" s="114"/>
      <c r="C2" s="115"/>
      <c r="D2" s="116"/>
      <c r="E2" s="120"/>
      <c r="F2" s="120"/>
      <c r="G2" s="118"/>
      <c r="H2" s="121"/>
      <c r="I2" s="128"/>
      <c r="J2" s="88" t="s">
        <v>19</v>
      </c>
      <c r="K2" s="93" t="s">
        <v>20</v>
      </c>
      <c r="L2" s="94"/>
      <c r="M2" s="57" t="s">
        <v>19</v>
      </c>
      <c r="N2" s="57" t="s">
        <v>20</v>
      </c>
      <c r="O2" s="56"/>
      <c r="P2" s="95" t="s">
        <v>19</v>
      </c>
      <c r="Q2" s="95" t="s">
        <v>20</v>
      </c>
      <c r="R2" s="56"/>
      <c r="S2" s="57" t="s">
        <v>19</v>
      </c>
      <c r="T2" s="57" t="s">
        <v>20</v>
      </c>
      <c r="U2" s="56"/>
      <c r="V2" s="57" t="s">
        <v>19</v>
      </c>
      <c r="W2" s="57" t="s">
        <v>20</v>
      </c>
      <c r="X2" s="56"/>
      <c r="Y2" s="57" t="s">
        <v>19</v>
      </c>
      <c r="Z2" s="57" t="s">
        <v>20</v>
      </c>
      <c r="AA2" s="56"/>
      <c r="AB2" s="57" t="s">
        <v>19</v>
      </c>
      <c r="AC2" s="57" t="s">
        <v>20</v>
      </c>
      <c r="AD2" s="56"/>
      <c r="AE2" s="57" t="s">
        <v>19</v>
      </c>
      <c r="AF2" s="57" t="s">
        <v>20</v>
      </c>
      <c r="AG2" s="56"/>
      <c r="AH2" s="57" t="s">
        <v>19</v>
      </c>
      <c r="AI2" s="57" t="s">
        <v>20</v>
      </c>
      <c r="AJ2" s="56"/>
      <c r="AK2" s="57" t="s">
        <v>19</v>
      </c>
      <c r="AL2" s="57" t="s">
        <v>20</v>
      </c>
      <c r="AM2" s="56"/>
      <c r="AN2" s="57" t="s">
        <v>19</v>
      </c>
      <c r="AO2" s="57" t="s">
        <v>20</v>
      </c>
      <c r="AP2" s="56"/>
      <c r="AQ2" s="57" t="s">
        <v>19</v>
      </c>
      <c r="AR2" s="57" t="s">
        <v>20</v>
      </c>
      <c r="AS2" s="56"/>
      <c r="AT2" s="57" t="s">
        <v>19</v>
      </c>
      <c r="AU2" s="57" t="s">
        <v>20</v>
      </c>
      <c r="AV2" s="99"/>
      <c r="AW2" s="57" t="s">
        <v>19</v>
      </c>
      <c r="AX2" s="57" t="s">
        <v>20</v>
      </c>
      <c r="AY2" s="56"/>
      <c r="AZ2" s="57" t="s">
        <v>19</v>
      </c>
      <c r="BA2" s="57" t="s">
        <v>20</v>
      </c>
      <c r="BB2" s="99"/>
      <c r="BC2" s="42" t="s">
        <v>19</v>
      </c>
      <c r="BD2" s="42" t="s">
        <v>19</v>
      </c>
      <c r="BE2" s="42" t="s">
        <v>19</v>
      </c>
      <c r="BF2" s="42" t="s">
        <v>19</v>
      </c>
      <c r="BG2" s="42" t="s">
        <v>19</v>
      </c>
      <c r="BH2" s="103"/>
      <c r="BI2" s="39" t="s">
        <v>51</v>
      </c>
      <c r="BJ2" t="s">
        <v>52</v>
      </c>
    </row>
    <row r="3" ht="14.25" customHeight="1" spans="1:60">
      <c r="A3" s="68" t="s">
        <v>28</v>
      </c>
      <c r="B3" s="114" t="s">
        <v>28</v>
      </c>
      <c r="C3" s="280" t="s">
        <v>365</v>
      </c>
      <c r="D3" s="116" t="s">
        <v>60</v>
      </c>
      <c r="E3" s="116" t="s">
        <v>60</v>
      </c>
      <c r="F3" s="116" t="s">
        <v>366</v>
      </c>
      <c r="G3" s="116" t="s">
        <v>367</v>
      </c>
      <c r="H3" s="116" t="s">
        <v>368</v>
      </c>
      <c r="I3" s="116">
        <v>40</v>
      </c>
      <c r="J3" s="42">
        <v>32537</v>
      </c>
      <c r="K3" s="42"/>
      <c r="L3" s="129">
        <f>K3/J3-1</f>
        <v>-1</v>
      </c>
      <c r="M3" s="42">
        <v>22586</v>
      </c>
      <c r="N3" s="42">
        <v>32655</v>
      </c>
      <c r="O3" s="129">
        <f>N3/M3-1</f>
        <v>0.445807137164615</v>
      </c>
      <c r="P3" s="4">
        <f>M3+J3</f>
        <v>55123</v>
      </c>
      <c r="Q3" s="4">
        <f>N3+K3</f>
        <v>32655</v>
      </c>
      <c r="R3" s="129">
        <f>Q3/P3-1</f>
        <v>-0.407597554559803</v>
      </c>
      <c r="S3" s="61">
        <v>37044</v>
      </c>
      <c r="T3" s="61">
        <v>44580</v>
      </c>
      <c r="U3" s="129">
        <f>T3/S3-1</f>
        <v>0.203433754454163</v>
      </c>
      <c r="V3" s="60">
        <f>S3+P3</f>
        <v>92167</v>
      </c>
      <c r="W3" s="60">
        <f>T3+Q3</f>
        <v>77235</v>
      </c>
      <c r="X3" s="129">
        <f>W3/V3-1</f>
        <v>-0.162010263977346</v>
      </c>
      <c r="Y3" s="61">
        <v>10726</v>
      </c>
      <c r="Z3" s="61">
        <v>10654</v>
      </c>
      <c r="AA3" s="129">
        <f>Z3/Y3-1</f>
        <v>-0.00671266082416555</v>
      </c>
      <c r="AB3" s="61">
        <f>V3+Y3</f>
        <v>102893</v>
      </c>
      <c r="AC3" s="61">
        <f>W3+Z3</f>
        <v>87889</v>
      </c>
      <c r="AD3" s="129">
        <f>AC3/AB3-1</f>
        <v>-0.145821387266383</v>
      </c>
      <c r="AE3" s="132"/>
      <c r="AF3" s="132">
        <v>21384</v>
      </c>
      <c r="AG3" s="129" t="e">
        <f>AF3/AE3-1</f>
        <v>#DIV/0!</v>
      </c>
      <c r="AH3" s="132">
        <f>AE3+AB3</f>
        <v>102893</v>
      </c>
      <c r="AI3" s="132">
        <f>AF3+AC3</f>
        <v>109273</v>
      </c>
      <c r="AJ3" s="129">
        <f>AI3/AH3-1</f>
        <v>0.0620061617408376</v>
      </c>
      <c r="AK3" s="133">
        <v>10055</v>
      </c>
      <c r="AL3" s="133">
        <v>32633</v>
      </c>
      <c r="AM3" s="129">
        <f>AL3/AK3-1</f>
        <v>2.24545002486325</v>
      </c>
      <c r="AN3" s="134">
        <f>AK3+AH3</f>
        <v>112948</v>
      </c>
      <c r="AO3" s="134">
        <f>AL3+AI3</f>
        <v>141906</v>
      </c>
      <c r="AP3" s="129">
        <f>AO3/AN3-1</f>
        <v>0.256383468498778</v>
      </c>
      <c r="AQ3" s="42">
        <v>35569</v>
      </c>
      <c r="AR3" s="42">
        <v>26738</v>
      </c>
      <c r="AS3" s="129">
        <f>AR3/AQ3-1</f>
        <v>-0.248277994883185</v>
      </c>
      <c r="AT3" s="42">
        <f>AQ3+AN3</f>
        <v>148517</v>
      </c>
      <c r="AU3" s="42">
        <f>AR3+AO3</f>
        <v>168644</v>
      </c>
      <c r="AV3" s="129">
        <f>AU3/AT3-1</f>
        <v>0.135519839479656</v>
      </c>
      <c r="AW3" s="42">
        <v>22906</v>
      </c>
      <c r="AX3" s="42"/>
      <c r="AY3" s="129">
        <f>AX3/AW3-1</f>
        <v>-1</v>
      </c>
      <c r="AZ3" s="42">
        <f>AW3+AT3</f>
        <v>171423</v>
      </c>
      <c r="BA3" s="42">
        <f>AX3+AU3</f>
        <v>168644</v>
      </c>
      <c r="BB3" s="129">
        <f>BA3/AZ3-1</f>
        <v>-0.0162113602025399</v>
      </c>
      <c r="BC3" s="134">
        <v>45152</v>
      </c>
      <c r="BD3" s="61">
        <v>106673</v>
      </c>
      <c r="BE3" s="48">
        <v>87898</v>
      </c>
      <c r="BF3" s="132">
        <v>71108</v>
      </c>
      <c r="BG3" s="42">
        <v>482254</v>
      </c>
      <c r="BH3" s="49">
        <f>BA3/10000/I3</f>
        <v>0.42161</v>
      </c>
    </row>
    <row r="4" ht="14.25" customHeight="1" spans="1:60">
      <c r="A4" s="68" t="s">
        <v>28</v>
      </c>
      <c r="B4" s="114" t="s">
        <v>28</v>
      </c>
      <c r="C4" s="280" t="s">
        <v>369</v>
      </c>
      <c r="D4" s="116" t="s">
        <v>60</v>
      </c>
      <c r="E4" s="116" t="s">
        <v>60</v>
      </c>
      <c r="F4" s="116" t="s">
        <v>366</v>
      </c>
      <c r="G4" s="116" t="s">
        <v>367</v>
      </c>
      <c r="H4" s="116" t="s">
        <v>368</v>
      </c>
      <c r="I4" s="116">
        <v>30</v>
      </c>
      <c r="J4" s="42">
        <v>10000</v>
      </c>
      <c r="K4" s="42">
        <v>10000</v>
      </c>
      <c r="L4" s="129">
        <f t="shared" ref="L4:L34" si="0">K4/J4-1</f>
        <v>0</v>
      </c>
      <c r="M4" s="42">
        <v>20000</v>
      </c>
      <c r="N4" s="42">
        <v>10000</v>
      </c>
      <c r="O4" s="129">
        <f t="shared" ref="O4:O34" si="1">N4/M4-1</f>
        <v>-0.5</v>
      </c>
      <c r="P4" s="4">
        <f t="shared" ref="P4:P33" si="2">M4+J4</f>
        <v>30000</v>
      </c>
      <c r="Q4" s="4">
        <f t="shared" ref="Q4:Q33" si="3">N4+K4</f>
        <v>20000</v>
      </c>
      <c r="R4" s="129">
        <f t="shared" ref="R4:R34" si="4">Q4/P4-1</f>
        <v>-0.333333333333333</v>
      </c>
      <c r="S4" s="61"/>
      <c r="T4" s="61">
        <v>10000</v>
      </c>
      <c r="U4" s="129" t="e">
        <f t="shared" ref="U4:U34" si="5">T4/S4-1</f>
        <v>#DIV/0!</v>
      </c>
      <c r="V4" s="60">
        <f t="shared" ref="V4:V34" si="6">S4+P4</f>
        <v>30000</v>
      </c>
      <c r="W4" s="60">
        <f t="shared" ref="W4:W34" si="7">T4+Q4</f>
        <v>30000</v>
      </c>
      <c r="X4" s="129">
        <f t="shared" ref="X4:X34" si="8">W4/V4-1</f>
        <v>0</v>
      </c>
      <c r="Y4" s="61">
        <v>10000</v>
      </c>
      <c r="Z4" s="61">
        <v>5763</v>
      </c>
      <c r="AA4" s="129">
        <f t="shared" ref="AA4:AA34" si="9">Z4/Y4-1</f>
        <v>-0.4237</v>
      </c>
      <c r="AB4" s="61">
        <f t="shared" ref="AB4:AB33" si="10">V4+Y4</f>
        <v>40000</v>
      </c>
      <c r="AC4" s="61">
        <f t="shared" ref="AC4:AC33" si="11">W4+Z4</f>
        <v>35763</v>
      </c>
      <c r="AD4" s="129">
        <f t="shared" ref="AD4:AD34" si="12">AC4/AB4-1</f>
        <v>-0.105925</v>
      </c>
      <c r="AE4" s="132"/>
      <c r="AF4" s="132">
        <v>2159</v>
      </c>
      <c r="AG4" s="129" t="e">
        <f t="shared" ref="AG4:AG34" si="13">AF4/AE4-1</f>
        <v>#DIV/0!</v>
      </c>
      <c r="AH4" s="132">
        <f t="shared" ref="AH4:AH34" si="14">AE4+AB4</f>
        <v>40000</v>
      </c>
      <c r="AI4" s="132">
        <f t="shared" ref="AI4:AI34" si="15">AF4+AC4</f>
        <v>37922</v>
      </c>
      <c r="AJ4" s="129">
        <f t="shared" ref="AJ4:AJ34" si="16">AI4/AH4-1</f>
        <v>-0.0519500000000001</v>
      </c>
      <c r="AK4" s="133"/>
      <c r="AL4" s="133"/>
      <c r="AM4" s="129" t="e">
        <f t="shared" ref="AM4:AM34" si="17">AL4/AK4-1</f>
        <v>#DIV/0!</v>
      </c>
      <c r="AN4" s="134">
        <f t="shared" ref="AN4:AN34" si="18">AK4+AH4</f>
        <v>40000</v>
      </c>
      <c r="AO4" s="134">
        <f t="shared" ref="AO4:AO34" si="19">AL4+AI4</f>
        <v>37922</v>
      </c>
      <c r="AP4" s="129">
        <f t="shared" ref="AP4:AP34" si="20">AO4/AN4-1</f>
        <v>-0.0519500000000001</v>
      </c>
      <c r="AQ4" s="42">
        <v>30000</v>
      </c>
      <c r="AR4" s="42">
        <v>14886</v>
      </c>
      <c r="AS4" s="129">
        <f t="shared" ref="AS4:AS34" si="21">AR4/AQ4-1</f>
        <v>-0.5038</v>
      </c>
      <c r="AT4" s="42">
        <f t="shared" ref="AT4:AT34" si="22">AQ4+AN4</f>
        <v>70000</v>
      </c>
      <c r="AU4" s="42">
        <f t="shared" ref="AU4:AU34" si="23">AR4+AO4</f>
        <v>52808</v>
      </c>
      <c r="AV4" s="129">
        <f t="shared" ref="AV4:AV34" si="24">AU4/AT4-1</f>
        <v>-0.2456</v>
      </c>
      <c r="AW4" s="42">
        <v>20000</v>
      </c>
      <c r="AX4" s="42">
        <v>5654</v>
      </c>
      <c r="AY4" s="129">
        <f t="shared" ref="AY4:AY34" si="25">AX4/AW4-1</f>
        <v>-0.7173</v>
      </c>
      <c r="AZ4" s="42">
        <f t="shared" ref="AZ4:AZ34" si="26">AW4+AT4</f>
        <v>90000</v>
      </c>
      <c r="BA4" s="42">
        <f t="shared" ref="BA4:BA34" si="27">AX4+AU4</f>
        <v>58462</v>
      </c>
      <c r="BB4" s="129">
        <f t="shared" ref="BB4:BB34" si="28">BA4/AZ4-1</f>
        <v>-0.350422222222222</v>
      </c>
      <c r="BC4" s="134"/>
      <c r="BD4" s="61">
        <v>60000</v>
      </c>
      <c r="BE4" s="48">
        <v>20000</v>
      </c>
      <c r="BF4" s="132"/>
      <c r="BG4" s="42">
        <v>170000</v>
      </c>
      <c r="BH4" s="49">
        <f t="shared" ref="BH4:BH34" si="29">BA4/10000/I4</f>
        <v>0.194873333333333</v>
      </c>
    </row>
    <row r="5" ht="14.25" customHeight="1" spans="1:62">
      <c r="A5" s="68" t="s">
        <v>28</v>
      </c>
      <c r="B5" s="114" t="s">
        <v>28</v>
      </c>
      <c r="C5" s="115" t="s">
        <v>370</v>
      </c>
      <c r="D5" s="116" t="s">
        <v>60</v>
      </c>
      <c r="E5" s="116" t="s">
        <v>55</v>
      </c>
      <c r="F5" s="116" t="s">
        <v>371</v>
      </c>
      <c r="G5" s="116" t="s">
        <v>371</v>
      </c>
      <c r="H5" s="116" t="s">
        <v>372</v>
      </c>
      <c r="I5" s="116">
        <v>100</v>
      </c>
      <c r="J5" s="42"/>
      <c r="K5" s="42">
        <v>200000</v>
      </c>
      <c r="L5" s="129" t="e">
        <f t="shared" si="0"/>
        <v>#DIV/0!</v>
      </c>
      <c r="M5" s="42"/>
      <c r="N5" s="42"/>
      <c r="O5" s="129" t="e">
        <f t="shared" si="1"/>
        <v>#DIV/0!</v>
      </c>
      <c r="P5" s="4">
        <f t="shared" si="2"/>
        <v>0</v>
      </c>
      <c r="Q5" s="4">
        <f t="shared" si="3"/>
        <v>200000</v>
      </c>
      <c r="R5" s="129" t="e">
        <f t="shared" si="4"/>
        <v>#DIV/0!</v>
      </c>
      <c r="S5" s="61">
        <v>250000</v>
      </c>
      <c r="T5" s="61">
        <f>200000+20000</f>
        <v>220000</v>
      </c>
      <c r="U5" s="129">
        <f t="shared" si="5"/>
        <v>-0.12</v>
      </c>
      <c r="V5" s="60">
        <f t="shared" si="6"/>
        <v>250000</v>
      </c>
      <c r="W5" s="60">
        <f t="shared" si="7"/>
        <v>420000</v>
      </c>
      <c r="X5" s="129">
        <f t="shared" si="8"/>
        <v>0.68</v>
      </c>
      <c r="Y5" s="61"/>
      <c r="Z5" s="61">
        <v>250000</v>
      </c>
      <c r="AA5" s="129" t="e">
        <f t="shared" si="9"/>
        <v>#DIV/0!</v>
      </c>
      <c r="AB5" s="61">
        <f t="shared" si="10"/>
        <v>250000</v>
      </c>
      <c r="AC5" s="61">
        <f t="shared" si="11"/>
        <v>670000</v>
      </c>
      <c r="AD5" s="129">
        <f t="shared" si="12"/>
        <v>1.68</v>
      </c>
      <c r="AE5" s="132"/>
      <c r="AF5" s="132"/>
      <c r="AG5" s="129" t="e">
        <f t="shared" si="13"/>
        <v>#DIV/0!</v>
      </c>
      <c r="AH5" s="132">
        <f t="shared" si="14"/>
        <v>250000</v>
      </c>
      <c r="AI5" s="132">
        <f t="shared" si="15"/>
        <v>670000</v>
      </c>
      <c r="AJ5" s="129">
        <f t="shared" si="16"/>
        <v>1.68</v>
      </c>
      <c r="AK5" s="133"/>
      <c r="AL5" s="133">
        <f>200000+20000</f>
        <v>220000</v>
      </c>
      <c r="AM5" s="129" t="e">
        <f t="shared" si="17"/>
        <v>#DIV/0!</v>
      </c>
      <c r="AN5" s="134">
        <f t="shared" si="18"/>
        <v>250000</v>
      </c>
      <c r="AO5" s="134">
        <f t="shared" si="19"/>
        <v>890000</v>
      </c>
      <c r="AP5" s="129">
        <f t="shared" si="20"/>
        <v>2.56</v>
      </c>
      <c r="AQ5" s="42"/>
      <c r="AR5" s="42"/>
      <c r="AS5" s="129" t="e">
        <f t="shared" si="21"/>
        <v>#DIV/0!</v>
      </c>
      <c r="AT5" s="42">
        <f t="shared" si="22"/>
        <v>250000</v>
      </c>
      <c r="AU5" s="42">
        <f t="shared" si="23"/>
        <v>890000</v>
      </c>
      <c r="AV5" s="129">
        <f t="shared" si="24"/>
        <v>2.56</v>
      </c>
      <c r="AW5" s="42">
        <v>250000</v>
      </c>
      <c r="AX5" s="42"/>
      <c r="AY5" s="129">
        <f t="shared" si="25"/>
        <v>-1</v>
      </c>
      <c r="AZ5" s="42">
        <f t="shared" si="26"/>
        <v>500000</v>
      </c>
      <c r="BA5" s="42">
        <f t="shared" si="27"/>
        <v>890000</v>
      </c>
      <c r="BB5" s="129">
        <f t="shared" si="28"/>
        <v>0.78</v>
      </c>
      <c r="BC5" s="134">
        <v>250000</v>
      </c>
      <c r="BD5" s="61"/>
      <c r="BE5" s="48">
        <v>250000</v>
      </c>
      <c r="BF5" s="132"/>
      <c r="BG5" s="42">
        <v>1000000</v>
      </c>
      <c r="BH5" s="49">
        <f t="shared" si="29"/>
        <v>0.89</v>
      </c>
      <c r="BJ5">
        <v>40000</v>
      </c>
    </row>
    <row r="6" ht="14.25" customHeight="1" spans="1:60">
      <c r="A6" s="68" t="s">
        <v>28</v>
      </c>
      <c r="B6" s="114" t="s">
        <v>28</v>
      </c>
      <c r="C6" s="280" t="s">
        <v>373</v>
      </c>
      <c r="D6" s="116" t="s">
        <v>60</v>
      </c>
      <c r="E6" s="116" t="s">
        <v>60</v>
      </c>
      <c r="F6" s="116" t="s">
        <v>371</v>
      </c>
      <c r="G6" s="116" t="s">
        <v>371</v>
      </c>
      <c r="H6" s="116" t="s">
        <v>372</v>
      </c>
      <c r="I6" s="116">
        <v>30</v>
      </c>
      <c r="J6" s="42">
        <v>12244</v>
      </c>
      <c r="K6" s="42">
        <v>8690</v>
      </c>
      <c r="L6" s="129">
        <f t="shared" si="0"/>
        <v>-0.290264619405423</v>
      </c>
      <c r="M6" s="42"/>
      <c r="N6" s="42"/>
      <c r="O6" s="129" t="e">
        <f t="shared" si="1"/>
        <v>#DIV/0!</v>
      </c>
      <c r="P6" s="4">
        <f t="shared" si="2"/>
        <v>12244</v>
      </c>
      <c r="Q6" s="4">
        <f t="shared" si="3"/>
        <v>8690</v>
      </c>
      <c r="R6" s="129">
        <f t="shared" si="4"/>
        <v>-0.290264619405423</v>
      </c>
      <c r="S6" s="61"/>
      <c r="T6" s="61">
        <v>5307</v>
      </c>
      <c r="U6" s="129" t="e">
        <f t="shared" si="5"/>
        <v>#DIV/0!</v>
      </c>
      <c r="V6" s="60">
        <f t="shared" si="6"/>
        <v>12244</v>
      </c>
      <c r="W6" s="60">
        <f t="shared" si="7"/>
        <v>13997</v>
      </c>
      <c r="X6" s="129">
        <f t="shared" si="8"/>
        <v>0.143172165958837</v>
      </c>
      <c r="Y6" s="61"/>
      <c r="Z6" s="61"/>
      <c r="AA6" s="129" t="e">
        <f t="shared" si="9"/>
        <v>#DIV/0!</v>
      </c>
      <c r="AB6" s="61">
        <f t="shared" si="10"/>
        <v>12244</v>
      </c>
      <c r="AC6" s="61">
        <f t="shared" si="11"/>
        <v>13997</v>
      </c>
      <c r="AD6" s="129">
        <f t="shared" si="12"/>
        <v>0.143172165958837</v>
      </c>
      <c r="AE6" s="132">
        <v>5295</v>
      </c>
      <c r="AF6" s="132">
        <v>1701</v>
      </c>
      <c r="AG6" s="129">
        <f t="shared" si="13"/>
        <v>-0.678753541076487</v>
      </c>
      <c r="AH6" s="132">
        <f t="shared" si="14"/>
        <v>17539</v>
      </c>
      <c r="AI6" s="132">
        <f t="shared" si="15"/>
        <v>15698</v>
      </c>
      <c r="AJ6" s="129">
        <f t="shared" si="16"/>
        <v>-0.104966075602942</v>
      </c>
      <c r="AK6" s="133">
        <v>5337</v>
      </c>
      <c r="AL6" s="133">
        <v>9051</v>
      </c>
      <c r="AM6" s="129">
        <f t="shared" si="17"/>
        <v>0.695896571107364</v>
      </c>
      <c r="AN6" s="134">
        <f t="shared" si="18"/>
        <v>22876</v>
      </c>
      <c r="AO6" s="134">
        <f t="shared" si="19"/>
        <v>24749</v>
      </c>
      <c r="AP6" s="129">
        <f t="shared" si="20"/>
        <v>0.08187620213324</v>
      </c>
      <c r="AQ6" s="42"/>
      <c r="AR6" s="42">
        <v>5556</v>
      </c>
      <c r="AS6" s="129" t="e">
        <f t="shared" si="21"/>
        <v>#DIV/0!</v>
      </c>
      <c r="AT6" s="42">
        <f t="shared" si="22"/>
        <v>22876</v>
      </c>
      <c r="AU6" s="42">
        <f t="shared" si="23"/>
        <v>30305</v>
      </c>
      <c r="AV6" s="129">
        <f t="shared" si="24"/>
        <v>0.324750830564784</v>
      </c>
      <c r="AW6" s="42"/>
      <c r="AX6" s="42"/>
      <c r="AY6" s="129" t="e">
        <f t="shared" si="25"/>
        <v>#DIV/0!</v>
      </c>
      <c r="AZ6" s="42">
        <f t="shared" si="26"/>
        <v>22876</v>
      </c>
      <c r="BA6" s="42">
        <f t="shared" si="27"/>
        <v>30305</v>
      </c>
      <c r="BB6" s="129">
        <f t="shared" si="28"/>
        <v>0.324750830564784</v>
      </c>
      <c r="BC6" s="134">
        <v>11878</v>
      </c>
      <c r="BD6" s="61"/>
      <c r="BE6" s="48">
        <v>6702</v>
      </c>
      <c r="BF6" s="132"/>
      <c r="BG6" s="42">
        <v>41456</v>
      </c>
      <c r="BH6" s="49">
        <f t="shared" si="29"/>
        <v>0.101016666666667</v>
      </c>
    </row>
    <row r="7" ht="14.25" customHeight="1" spans="1:60">
      <c r="A7" s="68" t="s">
        <v>28</v>
      </c>
      <c r="B7" s="114" t="s">
        <v>28</v>
      </c>
      <c r="C7" s="115" t="s">
        <v>374</v>
      </c>
      <c r="D7" s="116" t="s">
        <v>60</v>
      </c>
      <c r="E7" s="116" t="s">
        <v>60</v>
      </c>
      <c r="F7" s="116" t="s">
        <v>375</v>
      </c>
      <c r="G7" s="116" t="s">
        <v>375</v>
      </c>
      <c r="H7" s="116" t="s">
        <v>372</v>
      </c>
      <c r="I7" s="116">
        <v>20</v>
      </c>
      <c r="J7" s="42"/>
      <c r="K7" s="42">
        <v>49260</v>
      </c>
      <c r="L7" s="129" t="e">
        <f t="shared" si="0"/>
        <v>#DIV/0!</v>
      </c>
      <c r="M7" s="42"/>
      <c r="N7" s="42"/>
      <c r="O7" s="129" t="e">
        <f t="shared" si="1"/>
        <v>#DIV/0!</v>
      </c>
      <c r="P7" s="4">
        <f t="shared" si="2"/>
        <v>0</v>
      </c>
      <c r="Q7" s="4">
        <f t="shared" si="3"/>
        <v>49260</v>
      </c>
      <c r="R7" s="129" t="e">
        <f t="shared" si="4"/>
        <v>#DIV/0!</v>
      </c>
      <c r="S7" s="61"/>
      <c r="T7" s="61">
        <v>16510</v>
      </c>
      <c r="U7" s="129" t="e">
        <f t="shared" si="5"/>
        <v>#DIV/0!</v>
      </c>
      <c r="V7" s="60">
        <f t="shared" si="6"/>
        <v>0</v>
      </c>
      <c r="W7" s="60">
        <f t="shared" si="7"/>
        <v>65770</v>
      </c>
      <c r="X7" s="129" t="e">
        <f t="shared" si="8"/>
        <v>#DIV/0!</v>
      </c>
      <c r="Y7" s="61">
        <v>12370</v>
      </c>
      <c r="Z7" s="61"/>
      <c r="AA7" s="129">
        <f t="shared" si="9"/>
        <v>-1</v>
      </c>
      <c r="AB7" s="61">
        <f t="shared" si="10"/>
        <v>12370</v>
      </c>
      <c r="AC7" s="61">
        <f t="shared" si="11"/>
        <v>65770</v>
      </c>
      <c r="AD7" s="129">
        <f t="shared" si="12"/>
        <v>4.31689571544058</v>
      </c>
      <c r="AE7" s="132">
        <v>4996</v>
      </c>
      <c r="AF7" s="132">
        <v>16510</v>
      </c>
      <c r="AG7" s="129">
        <f t="shared" si="13"/>
        <v>2.30464371497198</v>
      </c>
      <c r="AH7" s="132">
        <f t="shared" si="14"/>
        <v>17366</v>
      </c>
      <c r="AI7" s="132">
        <f t="shared" si="15"/>
        <v>82280</v>
      </c>
      <c r="AJ7" s="129">
        <f t="shared" si="16"/>
        <v>3.73799378095128</v>
      </c>
      <c r="AK7" s="133"/>
      <c r="AL7" s="133"/>
      <c r="AM7" s="129" t="e">
        <f t="shared" si="17"/>
        <v>#DIV/0!</v>
      </c>
      <c r="AN7" s="134">
        <f t="shared" si="18"/>
        <v>17366</v>
      </c>
      <c r="AO7" s="134">
        <f t="shared" si="19"/>
        <v>82280</v>
      </c>
      <c r="AP7" s="129">
        <f t="shared" si="20"/>
        <v>3.73799378095128</v>
      </c>
      <c r="AQ7" s="42"/>
      <c r="AR7" s="42"/>
      <c r="AS7" s="129" t="e">
        <f t="shared" si="21"/>
        <v>#DIV/0!</v>
      </c>
      <c r="AT7" s="42">
        <f t="shared" si="22"/>
        <v>17366</v>
      </c>
      <c r="AU7" s="42">
        <f t="shared" si="23"/>
        <v>82280</v>
      </c>
      <c r="AV7" s="129">
        <f t="shared" si="24"/>
        <v>3.73799378095128</v>
      </c>
      <c r="AW7" s="42"/>
      <c r="AX7" s="42"/>
      <c r="AY7" s="129" t="e">
        <f t="shared" si="25"/>
        <v>#DIV/0!</v>
      </c>
      <c r="AZ7" s="42">
        <f t="shared" si="26"/>
        <v>17366</v>
      </c>
      <c r="BA7" s="42">
        <f t="shared" si="27"/>
        <v>82280</v>
      </c>
      <c r="BB7" s="129">
        <f t="shared" si="28"/>
        <v>3.73799378095128</v>
      </c>
      <c r="BC7" s="134"/>
      <c r="BD7" s="61">
        <v>26066</v>
      </c>
      <c r="BE7" s="48">
        <v>10065</v>
      </c>
      <c r="BF7" s="132"/>
      <c r="BG7" s="42">
        <v>53497</v>
      </c>
      <c r="BH7" s="49">
        <f t="shared" si="29"/>
        <v>0.4114</v>
      </c>
    </row>
    <row r="8" ht="14.25" customHeight="1" spans="1:60">
      <c r="A8" s="68" t="s">
        <v>28</v>
      </c>
      <c r="B8" s="114" t="s">
        <v>28</v>
      </c>
      <c r="C8" s="115" t="s">
        <v>376</v>
      </c>
      <c r="D8" s="116" t="s">
        <v>60</v>
      </c>
      <c r="E8" s="116" t="s">
        <v>55</v>
      </c>
      <c r="F8" s="116" t="s">
        <v>366</v>
      </c>
      <c r="G8" s="116" t="s">
        <v>377</v>
      </c>
      <c r="H8" s="116" t="s">
        <v>378</v>
      </c>
      <c r="I8" s="116">
        <v>40</v>
      </c>
      <c r="J8" s="42">
        <v>20000</v>
      </c>
      <c r="K8" s="42">
        <f>30000+30000</f>
        <v>60000</v>
      </c>
      <c r="L8" s="129">
        <f t="shared" si="0"/>
        <v>2</v>
      </c>
      <c r="M8" s="42">
        <v>30000</v>
      </c>
      <c r="N8" s="42">
        <v>60000</v>
      </c>
      <c r="O8" s="129">
        <f t="shared" si="1"/>
        <v>1</v>
      </c>
      <c r="P8" s="4">
        <f t="shared" si="2"/>
        <v>50000</v>
      </c>
      <c r="Q8" s="4">
        <f t="shared" si="3"/>
        <v>120000</v>
      </c>
      <c r="R8" s="129">
        <f t="shared" si="4"/>
        <v>1.4</v>
      </c>
      <c r="S8" s="61"/>
      <c r="T8" s="61">
        <f>11533+80000</f>
        <v>91533</v>
      </c>
      <c r="U8" s="129" t="e">
        <f t="shared" si="5"/>
        <v>#DIV/0!</v>
      </c>
      <c r="V8" s="60">
        <f t="shared" si="6"/>
        <v>50000</v>
      </c>
      <c r="W8" s="60">
        <f t="shared" si="7"/>
        <v>211533</v>
      </c>
      <c r="X8" s="129">
        <f t="shared" si="8"/>
        <v>3.23066</v>
      </c>
      <c r="Y8" s="61">
        <v>30000</v>
      </c>
      <c r="Z8" s="61">
        <v>40000</v>
      </c>
      <c r="AA8" s="129">
        <f t="shared" si="9"/>
        <v>0.333333333333333</v>
      </c>
      <c r="AB8" s="61">
        <f t="shared" si="10"/>
        <v>80000</v>
      </c>
      <c r="AC8" s="61">
        <f t="shared" si="11"/>
        <v>251533</v>
      </c>
      <c r="AD8" s="129">
        <f t="shared" si="12"/>
        <v>2.1441625</v>
      </c>
      <c r="AE8" s="132">
        <v>20000</v>
      </c>
      <c r="AF8" s="132">
        <v>40000</v>
      </c>
      <c r="AG8" s="129">
        <f t="shared" si="13"/>
        <v>1</v>
      </c>
      <c r="AH8" s="132">
        <f t="shared" si="14"/>
        <v>100000</v>
      </c>
      <c r="AI8" s="132">
        <f t="shared" si="15"/>
        <v>291533</v>
      </c>
      <c r="AJ8" s="129">
        <f t="shared" si="16"/>
        <v>1.91533</v>
      </c>
      <c r="AK8" s="133"/>
      <c r="AL8" s="133">
        <v>50000</v>
      </c>
      <c r="AM8" s="129" t="e">
        <f t="shared" si="17"/>
        <v>#DIV/0!</v>
      </c>
      <c r="AN8" s="134">
        <f t="shared" si="18"/>
        <v>100000</v>
      </c>
      <c r="AO8" s="134">
        <f t="shared" si="19"/>
        <v>341533</v>
      </c>
      <c r="AP8" s="129">
        <f t="shared" si="20"/>
        <v>2.41533</v>
      </c>
      <c r="AQ8" s="42"/>
      <c r="AR8" s="42">
        <v>20000</v>
      </c>
      <c r="AS8" s="129" t="e">
        <f t="shared" si="21"/>
        <v>#DIV/0!</v>
      </c>
      <c r="AT8" s="42">
        <f t="shared" si="22"/>
        <v>100000</v>
      </c>
      <c r="AU8" s="42">
        <f t="shared" si="23"/>
        <v>361533</v>
      </c>
      <c r="AV8" s="129">
        <f t="shared" si="24"/>
        <v>2.61533</v>
      </c>
      <c r="AW8" s="42"/>
      <c r="AX8" s="42">
        <v>30000</v>
      </c>
      <c r="AY8" s="129" t="e">
        <f t="shared" si="25"/>
        <v>#DIV/0!</v>
      </c>
      <c r="AZ8" s="42">
        <f t="shared" si="26"/>
        <v>100000</v>
      </c>
      <c r="BA8" s="42">
        <f t="shared" si="27"/>
        <v>391533</v>
      </c>
      <c r="BB8" s="129">
        <f t="shared" si="28"/>
        <v>2.91533</v>
      </c>
      <c r="BC8" s="134">
        <v>91900</v>
      </c>
      <c r="BD8" s="61">
        <v>70000</v>
      </c>
      <c r="BE8" s="48">
        <v>110000</v>
      </c>
      <c r="BF8" s="132">
        <v>120000</v>
      </c>
      <c r="BG8" s="42">
        <v>491900</v>
      </c>
      <c r="BH8" s="49">
        <f t="shared" si="29"/>
        <v>0.9788325</v>
      </c>
    </row>
    <row r="9" ht="14.25" customHeight="1" spans="1:60">
      <c r="A9" s="68" t="s">
        <v>28</v>
      </c>
      <c r="B9" s="114" t="s">
        <v>28</v>
      </c>
      <c r="C9" s="115" t="s">
        <v>379</v>
      </c>
      <c r="D9" s="116" t="s">
        <v>60</v>
      </c>
      <c r="E9" s="116" t="s">
        <v>60</v>
      </c>
      <c r="F9" s="116" t="s">
        <v>371</v>
      </c>
      <c r="G9" s="116" t="s">
        <v>371</v>
      </c>
      <c r="H9" s="116" t="s">
        <v>378</v>
      </c>
      <c r="I9" s="116">
        <v>10</v>
      </c>
      <c r="J9" s="42">
        <v>10000</v>
      </c>
      <c r="K9" s="42"/>
      <c r="L9" s="129">
        <f t="shared" si="0"/>
        <v>-1</v>
      </c>
      <c r="M9" s="42"/>
      <c r="N9" s="42">
        <v>12145</v>
      </c>
      <c r="O9" s="129" t="e">
        <f t="shared" si="1"/>
        <v>#DIV/0!</v>
      </c>
      <c r="P9" s="4">
        <f t="shared" si="2"/>
        <v>10000</v>
      </c>
      <c r="Q9" s="4">
        <f t="shared" si="3"/>
        <v>12145</v>
      </c>
      <c r="R9" s="129">
        <f t="shared" si="4"/>
        <v>0.2145</v>
      </c>
      <c r="S9" s="61">
        <v>20000</v>
      </c>
      <c r="T9" s="61">
        <v>15398</v>
      </c>
      <c r="U9" s="129">
        <f t="shared" si="5"/>
        <v>-0.2301</v>
      </c>
      <c r="V9" s="60">
        <f t="shared" si="6"/>
        <v>30000</v>
      </c>
      <c r="W9" s="60">
        <f t="shared" si="7"/>
        <v>27543</v>
      </c>
      <c r="X9" s="129">
        <f t="shared" si="8"/>
        <v>-0.0819</v>
      </c>
      <c r="Y9" s="61"/>
      <c r="Z9" s="61"/>
      <c r="AA9" s="129" t="e">
        <f t="shared" si="9"/>
        <v>#DIV/0!</v>
      </c>
      <c r="AB9" s="61">
        <f t="shared" si="10"/>
        <v>30000</v>
      </c>
      <c r="AC9" s="61">
        <f t="shared" si="11"/>
        <v>27543</v>
      </c>
      <c r="AD9" s="129">
        <f t="shared" si="12"/>
        <v>-0.0819</v>
      </c>
      <c r="AE9" s="132">
        <v>10000</v>
      </c>
      <c r="AF9" s="132">
        <v>6777</v>
      </c>
      <c r="AG9" s="129">
        <f t="shared" si="13"/>
        <v>-0.3223</v>
      </c>
      <c r="AH9" s="132">
        <f t="shared" si="14"/>
        <v>40000</v>
      </c>
      <c r="AI9" s="132">
        <f t="shared" si="15"/>
        <v>34320</v>
      </c>
      <c r="AJ9" s="129">
        <f t="shared" si="16"/>
        <v>-0.142</v>
      </c>
      <c r="AK9" s="133"/>
      <c r="AL9" s="133"/>
      <c r="AM9" s="129" t="e">
        <f t="shared" si="17"/>
        <v>#DIV/0!</v>
      </c>
      <c r="AN9" s="134">
        <f t="shared" si="18"/>
        <v>40000</v>
      </c>
      <c r="AO9" s="134">
        <f t="shared" si="19"/>
        <v>34320</v>
      </c>
      <c r="AP9" s="129">
        <f t="shared" si="20"/>
        <v>-0.142</v>
      </c>
      <c r="AQ9" s="42"/>
      <c r="AR9" s="42">
        <v>4441</v>
      </c>
      <c r="AS9" s="129" t="e">
        <f t="shared" si="21"/>
        <v>#DIV/0!</v>
      </c>
      <c r="AT9" s="42">
        <f t="shared" si="22"/>
        <v>40000</v>
      </c>
      <c r="AU9" s="42">
        <f t="shared" si="23"/>
        <v>38761</v>
      </c>
      <c r="AV9" s="129">
        <f t="shared" si="24"/>
        <v>-0.030975</v>
      </c>
      <c r="AW9" s="42"/>
      <c r="AX9" s="42">
        <v>2259</v>
      </c>
      <c r="AY9" s="129" t="e">
        <f t="shared" si="25"/>
        <v>#DIV/0!</v>
      </c>
      <c r="AZ9" s="42">
        <f t="shared" si="26"/>
        <v>40000</v>
      </c>
      <c r="BA9" s="42">
        <f t="shared" si="27"/>
        <v>41020</v>
      </c>
      <c r="BB9" s="129">
        <f t="shared" si="28"/>
        <v>0.0255000000000001</v>
      </c>
      <c r="BC9" s="134"/>
      <c r="BD9" s="61"/>
      <c r="BE9" s="48"/>
      <c r="BF9" s="132"/>
      <c r="BG9" s="42">
        <v>40000</v>
      </c>
      <c r="BH9" s="49">
        <f t="shared" si="29"/>
        <v>0.4102</v>
      </c>
    </row>
    <row r="10" ht="14.25" customHeight="1" spans="1:62">
      <c r="A10" s="68" t="s">
        <v>28</v>
      </c>
      <c r="B10" s="114" t="s">
        <v>28</v>
      </c>
      <c r="C10" s="115" t="s">
        <v>380</v>
      </c>
      <c r="D10" s="116" t="s">
        <v>55</v>
      </c>
      <c r="E10" s="116" t="s">
        <v>55</v>
      </c>
      <c r="F10" s="116" t="s">
        <v>366</v>
      </c>
      <c r="G10" s="116" t="s">
        <v>381</v>
      </c>
      <c r="H10" s="116" t="s">
        <v>378</v>
      </c>
      <c r="I10" s="116">
        <v>180</v>
      </c>
      <c r="J10" s="42"/>
      <c r="K10" s="42">
        <v>179439</v>
      </c>
      <c r="L10" s="129" t="e">
        <f t="shared" si="0"/>
        <v>#DIV/0!</v>
      </c>
      <c r="M10" s="42">
        <v>246787</v>
      </c>
      <c r="N10" s="42"/>
      <c r="O10" s="129">
        <f t="shared" si="1"/>
        <v>-1</v>
      </c>
      <c r="P10" s="4">
        <f t="shared" si="2"/>
        <v>246787</v>
      </c>
      <c r="Q10" s="4">
        <f t="shared" si="3"/>
        <v>179439</v>
      </c>
      <c r="R10" s="129">
        <f t="shared" si="4"/>
        <v>-0.272899301827082</v>
      </c>
      <c r="S10" s="61"/>
      <c r="T10" s="61">
        <v>185346</v>
      </c>
      <c r="U10" s="129" t="e">
        <f t="shared" si="5"/>
        <v>#DIV/0!</v>
      </c>
      <c r="V10" s="60">
        <f t="shared" si="6"/>
        <v>246787</v>
      </c>
      <c r="W10" s="60">
        <f t="shared" si="7"/>
        <v>364785</v>
      </c>
      <c r="X10" s="129">
        <f t="shared" si="8"/>
        <v>0.478137016941735</v>
      </c>
      <c r="Y10" s="61">
        <v>188927</v>
      </c>
      <c r="Z10" s="61">
        <v>428097</v>
      </c>
      <c r="AA10" s="129">
        <f t="shared" si="9"/>
        <v>1.26593869589842</v>
      </c>
      <c r="AB10" s="61">
        <f t="shared" si="10"/>
        <v>435714</v>
      </c>
      <c r="AC10" s="61">
        <f t="shared" si="11"/>
        <v>792882</v>
      </c>
      <c r="AD10" s="129">
        <f t="shared" si="12"/>
        <v>0.819730373593688</v>
      </c>
      <c r="AE10" s="132">
        <v>97716</v>
      </c>
      <c r="AF10" s="132">
        <v>312244</v>
      </c>
      <c r="AG10" s="129">
        <f t="shared" si="13"/>
        <v>2.19542347210283</v>
      </c>
      <c r="AH10" s="132">
        <f t="shared" si="14"/>
        <v>533430</v>
      </c>
      <c r="AI10" s="132">
        <f t="shared" si="15"/>
        <v>1105126</v>
      </c>
      <c r="AJ10" s="129">
        <f t="shared" si="16"/>
        <v>1.07173574789569</v>
      </c>
      <c r="AK10" s="133">
        <v>80416</v>
      </c>
      <c r="AL10" s="133">
        <f>146030+50000</f>
        <v>196030</v>
      </c>
      <c r="AM10" s="129">
        <f t="shared" si="17"/>
        <v>1.43769896538002</v>
      </c>
      <c r="AN10" s="134">
        <f t="shared" si="18"/>
        <v>613846</v>
      </c>
      <c r="AO10" s="134">
        <f t="shared" si="19"/>
        <v>1301156</v>
      </c>
      <c r="AP10" s="129">
        <f t="shared" si="20"/>
        <v>1.11967822548326</v>
      </c>
      <c r="AQ10" s="42">
        <v>106060</v>
      </c>
      <c r="AR10" s="42">
        <v>162621</v>
      </c>
      <c r="AS10" s="129">
        <f t="shared" si="21"/>
        <v>0.533292475957005</v>
      </c>
      <c r="AT10" s="42">
        <f t="shared" si="22"/>
        <v>719906</v>
      </c>
      <c r="AU10" s="42">
        <f t="shared" si="23"/>
        <v>1463777</v>
      </c>
      <c r="AV10" s="129">
        <f t="shared" si="24"/>
        <v>1.03328906829503</v>
      </c>
      <c r="AW10" s="42">
        <v>101699</v>
      </c>
      <c r="AX10" s="42">
        <v>147977</v>
      </c>
      <c r="AY10" s="129">
        <f t="shared" si="25"/>
        <v>0.455048722209658</v>
      </c>
      <c r="AZ10" s="42">
        <f t="shared" si="26"/>
        <v>821605</v>
      </c>
      <c r="BA10" s="42">
        <f t="shared" si="27"/>
        <v>1611754</v>
      </c>
      <c r="BB10" s="129">
        <f t="shared" si="28"/>
        <v>0.961713962305487</v>
      </c>
      <c r="BC10" s="134">
        <v>457030</v>
      </c>
      <c r="BD10" s="61"/>
      <c r="BE10" s="48">
        <v>389940</v>
      </c>
      <c r="BF10" s="132">
        <v>350334</v>
      </c>
      <c r="BG10" s="42">
        <v>2018909</v>
      </c>
      <c r="BH10" s="49">
        <f t="shared" si="29"/>
        <v>0.895418888888889</v>
      </c>
      <c r="BJ10">
        <v>50000</v>
      </c>
    </row>
    <row r="11" ht="14.25" customHeight="1" spans="1:60">
      <c r="A11" s="68" t="s">
        <v>28</v>
      </c>
      <c r="B11" s="114" t="s">
        <v>28</v>
      </c>
      <c r="C11" s="115" t="s">
        <v>382</v>
      </c>
      <c r="D11" s="116" t="s">
        <v>83</v>
      </c>
      <c r="E11" s="116" t="s">
        <v>83</v>
      </c>
      <c r="F11" s="116" t="s">
        <v>366</v>
      </c>
      <c r="G11" s="116" t="s">
        <v>381</v>
      </c>
      <c r="H11" s="116" t="s">
        <v>378</v>
      </c>
      <c r="I11" s="116">
        <v>60</v>
      </c>
      <c r="J11" s="42">
        <v>38390</v>
      </c>
      <c r="K11" s="42">
        <f>8920+-4500</f>
        <v>4420</v>
      </c>
      <c r="L11" s="129">
        <f t="shared" si="0"/>
        <v>-0.884865850481896</v>
      </c>
      <c r="M11" s="42">
        <v>30026</v>
      </c>
      <c r="N11" s="42">
        <f>9790+23840</f>
        <v>33630</v>
      </c>
      <c r="O11" s="129">
        <f t="shared" si="1"/>
        <v>0.120029307933125</v>
      </c>
      <c r="P11" s="4">
        <f t="shared" si="2"/>
        <v>68416</v>
      </c>
      <c r="Q11" s="4">
        <f t="shared" si="3"/>
        <v>38050</v>
      </c>
      <c r="R11" s="129">
        <f t="shared" si="4"/>
        <v>-0.443843545369504</v>
      </c>
      <c r="S11" s="61">
        <v>43778</v>
      </c>
      <c r="T11" s="61">
        <v>82867</v>
      </c>
      <c r="U11" s="129">
        <f t="shared" si="5"/>
        <v>0.892891406642606</v>
      </c>
      <c r="V11" s="60">
        <f t="shared" si="6"/>
        <v>112194</v>
      </c>
      <c r="W11" s="60">
        <f t="shared" si="7"/>
        <v>120917</v>
      </c>
      <c r="X11" s="129">
        <f t="shared" si="8"/>
        <v>0.0777492557534272</v>
      </c>
      <c r="Y11" s="61">
        <v>22130</v>
      </c>
      <c r="Z11" s="61">
        <v>41129.25</v>
      </c>
      <c r="AA11" s="129">
        <f t="shared" si="9"/>
        <v>0.858529145955716</v>
      </c>
      <c r="AB11" s="61">
        <f t="shared" si="10"/>
        <v>134324</v>
      </c>
      <c r="AC11" s="61">
        <f t="shared" si="11"/>
        <v>162046.25</v>
      </c>
      <c r="AD11" s="129">
        <f t="shared" si="12"/>
        <v>0.206383445996248</v>
      </c>
      <c r="AE11" s="132">
        <v>67490</v>
      </c>
      <c r="AF11" s="132">
        <v>28685.2</v>
      </c>
      <c r="AG11" s="129">
        <f t="shared" si="13"/>
        <v>-0.574971106830642</v>
      </c>
      <c r="AH11" s="132">
        <f t="shared" si="14"/>
        <v>201814</v>
      </c>
      <c r="AI11" s="132">
        <f t="shared" si="15"/>
        <v>190731.45</v>
      </c>
      <c r="AJ11" s="129">
        <f t="shared" si="16"/>
        <v>-0.0549146739076575</v>
      </c>
      <c r="AK11" s="133">
        <v>45250</v>
      </c>
      <c r="AL11" s="133">
        <f>25600+40505.7</f>
        <v>66105.7</v>
      </c>
      <c r="AM11" s="129">
        <f t="shared" si="17"/>
        <v>0.460899447513812</v>
      </c>
      <c r="AN11" s="134">
        <f t="shared" si="18"/>
        <v>247064</v>
      </c>
      <c r="AO11" s="134">
        <f t="shared" si="19"/>
        <v>256837.15</v>
      </c>
      <c r="AP11" s="129">
        <f t="shared" si="20"/>
        <v>0.0395571592785675</v>
      </c>
      <c r="AQ11" s="42">
        <v>19180</v>
      </c>
      <c r="AR11" s="42">
        <f>34206+13421</f>
        <v>47627</v>
      </c>
      <c r="AS11" s="129">
        <f t="shared" si="21"/>
        <v>1.48315954118874</v>
      </c>
      <c r="AT11" s="42">
        <f t="shared" si="22"/>
        <v>266244</v>
      </c>
      <c r="AU11" s="42">
        <f t="shared" si="23"/>
        <v>304464.15</v>
      </c>
      <c r="AV11" s="129">
        <f t="shared" si="24"/>
        <v>0.143553094154234</v>
      </c>
      <c r="AW11" s="42">
        <v>53110</v>
      </c>
      <c r="AX11" s="42">
        <f>16880+2625</f>
        <v>19505</v>
      </c>
      <c r="AY11" s="129">
        <f t="shared" si="25"/>
        <v>-0.632743362831858</v>
      </c>
      <c r="AZ11" s="42">
        <f t="shared" si="26"/>
        <v>319354</v>
      </c>
      <c r="BA11" s="42">
        <f t="shared" si="27"/>
        <v>323969.15</v>
      </c>
      <c r="BB11" s="129">
        <f t="shared" si="28"/>
        <v>0.0144515177514608</v>
      </c>
      <c r="BC11" s="134">
        <v>49884</v>
      </c>
      <c r="BD11" s="61">
        <v>70019</v>
      </c>
      <c r="BE11" s="48">
        <v>21875</v>
      </c>
      <c r="BF11" s="132">
        <v>76406</v>
      </c>
      <c r="BG11" s="42">
        <v>537538</v>
      </c>
      <c r="BH11" s="49">
        <f t="shared" si="29"/>
        <v>0.539948583333333</v>
      </c>
    </row>
    <row r="12" ht="14.25" customHeight="1" spans="1:60">
      <c r="A12" s="68" t="s">
        <v>28</v>
      </c>
      <c r="B12" s="114" t="s">
        <v>28</v>
      </c>
      <c r="C12" s="122" t="s">
        <v>383</v>
      </c>
      <c r="D12" s="116" t="s">
        <v>83</v>
      </c>
      <c r="E12" s="116" t="s">
        <v>83</v>
      </c>
      <c r="F12" s="116" t="s">
        <v>366</v>
      </c>
      <c r="G12" s="116" t="s">
        <v>381</v>
      </c>
      <c r="H12" s="116" t="s">
        <v>378</v>
      </c>
      <c r="I12" s="116"/>
      <c r="J12" s="42"/>
      <c r="K12" s="42"/>
      <c r="L12" s="129" t="e">
        <f t="shared" si="0"/>
        <v>#DIV/0!</v>
      </c>
      <c r="M12" s="42">
        <v>-4100</v>
      </c>
      <c r="N12" s="42"/>
      <c r="O12" s="129">
        <f t="shared" si="1"/>
        <v>-1</v>
      </c>
      <c r="P12" s="4">
        <f t="shared" si="2"/>
        <v>-4100</v>
      </c>
      <c r="Q12" s="4">
        <f t="shared" si="3"/>
        <v>0</v>
      </c>
      <c r="R12" s="129">
        <f t="shared" si="4"/>
        <v>-1</v>
      </c>
      <c r="S12" s="61"/>
      <c r="T12" s="61"/>
      <c r="U12" s="129" t="e">
        <f t="shared" si="5"/>
        <v>#DIV/0!</v>
      </c>
      <c r="V12" s="60">
        <f t="shared" si="6"/>
        <v>-4100</v>
      </c>
      <c r="W12" s="60">
        <f t="shared" si="7"/>
        <v>0</v>
      </c>
      <c r="X12" s="129">
        <f t="shared" si="8"/>
        <v>-1</v>
      </c>
      <c r="Y12" s="61"/>
      <c r="Z12" s="61"/>
      <c r="AA12" s="129" t="e">
        <f t="shared" si="9"/>
        <v>#DIV/0!</v>
      </c>
      <c r="AB12" s="61">
        <f t="shared" si="10"/>
        <v>-4100</v>
      </c>
      <c r="AC12" s="61">
        <f t="shared" si="11"/>
        <v>0</v>
      </c>
      <c r="AD12" s="129">
        <f t="shared" si="12"/>
        <v>-1</v>
      </c>
      <c r="AE12" s="132"/>
      <c r="AF12" s="132"/>
      <c r="AG12" s="129" t="e">
        <f t="shared" si="13"/>
        <v>#DIV/0!</v>
      </c>
      <c r="AH12" s="132">
        <f t="shared" si="14"/>
        <v>-4100</v>
      </c>
      <c r="AI12" s="132">
        <f t="shared" si="15"/>
        <v>0</v>
      </c>
      <c r="AJ12" s="129">
        <f t="shared" si="16"/>
        <v>-1</v>
      </c>
      <c r="AK12" s="133"/>
      <c r="AL12" s="133"/>
      <c r="AM12" s="129" t="e">
        <f t="shared" si="17"/>
        <v>#DIV/0!</v>
      </c>
      <c r="AN12" s="134">
        <f t="shared" si="18"/>
        <v>-4100</v>
      </c>
      <c r="AO12" s="134">
        <f t="shared" si="19"/>
        <v>0</v>
      </c>
      <c r="AP12" s="129">
        <f t="shared" si="20"/>
        <v>-1</v>
      </c>
      <c r="AQ12" s="42"/>
      <c r="AR12" s="42"/>
      <c r="AS12" s="129" t="e">
        <f t="shared" si="21"/>
        <v>#DIV/0!</v>
      </c>
      <c r="AT12" s="42">
        <f t="shared" si="22"/>
        <v>-4100</v>
      </c>
      <c r="AU12" s="42">
        <f t="shared" si="23"/>
        <v>0</v>
      </c>
      <c r="AV12" s="129">
        <f t="shared" si="24"/>
        <v>-1</v>
      </c>
      <c r="AW12" s="42"/>
      <c r="AX12" s="42"/>
      <c r="AY12" s="129" t="e">
        <f t="shared" si="25"/>
        <v>#DIV/0!</v>
      </c>
      <c r="AZ12" s="42">
        <f t="shared" si="26"/>
        <v>-4100</v>
      </c>
      <c r="BA12" s="42">
        <f t="shared" si="27"/>
        <v>0</v>
      </c>
      <c r="BB12" s="129">
        <f t="shared" si="28"/>
        <v>-1</v>
      </c>
      <c r="BC12" s="134"/>
      <c r="BD12" s="61"/>
      <c r="BE12" s="48"/>
      <c r="BF12" s="132"/>
      <c r="BG12" s="42">
        <v>-4100</v>
      </c>
      <c r="BH12" s="49" t="e">
        <f t="shared" si="29"/>
        <v>#DIV/0!</v>
      </c>
    </row>
    <row r="13" ht="14.25" customHeight="1" spans="1:62">
      <c r="A13" s="68" t="s">
        <v>28</v>
      </c>
      <c r="B13" s="114" t="s">
        <v>28</v>
      </c>
      <c r="C13" s="115" t="s">
        <v>384</v>
      </c>
      <c r="D13" s="116" t="s">
        <v>64</v>
      </c>
      <c r="E13" s="116" t="s">
        <v>64</v>
      </c>
      <c r="F13" s="116" t="s">
        <v>385</v>
      </c>
      <c r="G13" s="116" t="s">
        <v>385</v>
      </c>
      <c r="H13" s="116" t="s">
        <v>372</v>
      </c>
      <c r="I13" s="116">
        <v>80</v>
      </c>
      <c r="J13" s="42">
        <v>80326</v>
      </c>
      <c r="K13" s="42">
        <v>23324</v>
      </c>
      <c r="L13" s="129">
        <f t="shared" si="0"/>
        <v>-0.709633244528546</v>
      </c>
      <c r="M13" s="42">
        <v>5033</v>
      </c>
      <c r="N13" s="42">
        <v>21751</v>
      </c>
      <c r="O13" s="129">
        <f t="shared" si="1"/>
        <v>3.32167693224717</v>
      </c>
      <c r="P13" s="4">
        <f t="shared" si="2"/>
        <v>85359</v>
      </c>
      <c r="Q13" s="4">
        <f t="shared" si="3"/>
        <v>45075</v>
      </c>
      <c r="R13" s="129">
        <f t="shared" si="4"/>
        <v>-0.471936175447229</v>
      </c>
      <c r="S13" s="61">
        <v>50000</v>
      </c>
      <c r="T13" s="61">
        <v>23844</v>
      </c>
      <c r="U13" s="129">
        <f t="shared" si="5"/>
        <v>-0.52312</v>
      </c>
      <c r="V13" s="60">
        <f t="shared" si="6"/>
        <v>135359</v>
      </c>
      <c r="W13" s="60">
        <f t="shared" si="7"/>
        <v>68919</v>
      </c>
      <c r="X13" s="129">
        <f t="shared" si="8"/>
        <v>-0.490842869702052</v>
      </c>
      <c r="Y13" s="61"/>
      <c r="Z13" s="61"/>
      <c r="AA13" s="129" t="e">
        <f t="shared" si="9"/>
        <v>#DIV/0!</v>
      </c>
      <c r="AB13" s="61">
        <f t="shared" si="10"/>
        <v>135359</v>
      </c>
      <c r="AC13" s="61">
        <f t="shared" si="11"/>
        <v>68919</v>
      </c>
      <c r="AD13" s="129">
        <f t="shared" si="12"/>
        <v>-0.490842869702052</v>
      </c>
      <c r="AE13" s="132">
        <v>18721</v>
      </c>
      <c r="AF13" s="132">
        <v>34862</v>
      </c>
      <c r="AG13" s="129">
        <f t="shared" si="13"/>
        <v>0.862186848993109</v>
      </c>
      <c r="AH13" s="132">
        <f t="shared" si="14"/>
        <v>154080</v>
      </c>
      <c r="AI13" s="132">
        <f t="shared" si="15"/>
        <v>103781</v>
      </c>
      <c r="AJ13" s="129">
        <f t="shared" si="16"/>
        <v>-0.326447300103842</v>
      </c>
      <c r="AK13" s="133"/>
      <c r="AL13" s="133"/>
      <c r="AM13" s="129" t="e">
        <f t="shared" si="17"/>
        <v>#DIV/0!</v>
      </c>
      <c r="AN13" s="134">
        <f t="shared" si="18"/>
        <v>154080</v>
      </c>
      <c r="AO13" s="134">
        <f t="shared" si="19"/>
        <v>103781</v>
      </c>
      <c r="AP13" s="129">
        <f t="shared" si="20"/>
        <v>-0.326447300103842</v>
      </c>
      <c r="AQ13" s="42">
        <v>25918</v>
      </c>
      <c r="AR13" s="42">
        <v>10900</v>
      </c>
      <c r="AS13" s="129">
        <f t="shared" si="21"/>
        <v>-0.579442858245235</v>
      </c>
      <c r="AT13" s="42">
        <f t="shared" si="22"/>
        <v>179998</v>
      </c>
      <c r="AU13" s="42">
        <f t="shared" si="23"/>
        <v>114681</v>
      </c>
      <c r="AV13" s="129">
        <f t="shared" si="24"/>
        <v>-0.362876254180602</v>
      </c>
      <c r="AW13" s="42">
        <v>50000</v>
      </c>
      <c r="AX13" s="42">
        <v>17800</v>
      </c>
      <c r="AY13" s="129">
        <f t="shared" si="25"/>
        <v>-0.644</v>
      </c>
      <c r="AZ13" s="42">
        <f t="shared" si="26"/>
        <v>229998</v>
      </c>
      <c r="BA13" s="42">
        <f t="shared" si="27"/>
        <v>132481</v>
      </c>
      <c r="BB13" s="129">
        <f t="shared" si="28"/>
        <v>-0.423990643396899</v>
      </c>
      <c r="BC13" s="134">
        <v>13006</v>
      </c>
      <c r="BD13" s="61"/>
      <c r="BE13" s="48">
        <v>110000</v>
      </c>
      <c r="BF13" s="132">
        <v>100023</v>
      </c>
      <c r="BG13" s="42">
        <v>453027</v>
      </c>
      <c r="BH13" s="49">
        <f t="shared" si="29"/>
        <v>0.16560125</v>
      </c>
      <c r="BJ13">
        <v>34862</v>
      </c>
    </row>
    <row r="14" ht="14.25" customHeight="1" spans="1:60">
      <c r="A14" s="68" t="s">
        <v>28</v>
      </c>
      <c r="B14" s="114" t="s">
        <v>28</v>
      </c>
      <c r="C14" s="122" t="s">
        <v>386</v>
      </c>
      <c r="D14" s="116" t="s">
        <v>60</v>
      </c>
      <c r="E14" s="116" t="s">
        <v>60</v>
      </c>
      <c r="F14" s="116" t="s">
        <v>371</v>
      </c>
      <c r="G14" s="116" t="s">
        <v>371</v>
      </c>
      <c r="H14" s="116" t="s">
        <v>372</v>
      </c>
      <c r="I14" s="116">
        <v>30</v>
      </c>
      <c r="J14" s="42">
        <v>11054</v>
      </c>
      <c r="K14" s="42"/>
      <c r="L14" s="129">
        <f t="shared" si="0"/>
        <v>-1</v>
      </c>
      <c r="M14" s="42"/>
      <c r="N14" s="42"/>
      <c r="O14" s="129" t="e">
        <f t="shared" si="1"/>
        <v>#DIV/0!</v>
      </c>
      <c r="P14" s="4">
        <f t="shared" si="2"/>
        <v>11054</v>
      </c>
      <c r="Q14" s="4">
        <f t="shared" si="3"/>
        <v>0</v>
      </c>
      <c r="R14" s="129">
        <f t="shared" si="4"/>
        <v>-1</v>
      </c>
      <c r="S14" s="61"/>
      <c r="T14" s="61"/>
      <c r="U14" s="129" t="e">
        <f t="shared" si="5"/>
        <v>#DIV/0!</v>
      </c>
      <c r="V14" s="60">
        <f t="shared" si="6"/>
        <v>11054</v>
      </c>
      <c r="W14" s="60">
        <f t="shared" si="7"/>
        <v>0</v>
      </c>
      <c r="X14" s="129">
        <f t="shared" si="8"/>
        <v>-1</v>
      </c>
      <c r="Y14" s="61">
        <v>9650</v>
      </c>
      <c r="Z14" s="61"/>
      <c r="AA14" s="129">
        <f t="shared" si="9"/>
        <v>-1</v>
      </c>
      <c r="AB14" s="61">
        <f t="shared" si="10"/>
        <v>20704</v>
      </c>
      <c r="AC14" s="61">
        <f t="shared" si="11"/>
        <v>0</v>
      </c>
      <c r="AD14" s="129">
        <f t="shared" si="12"/>
        <v>-1</v>
      </c>
      <c r="AE14" s="132"/>
      <c r="AF14" s="132"/>
      <c r="AG14" s="129" t="e">
        <f t="shared" si="13"/>
        <v>#DIV/0!</v>
      </c>
      <c r="AH14" s="132">
        <f t="shared" si="14"/>
        <v>20704</v>
      </c>
      <c r="AI14" s="132">
        <f t="shared" si="15"/>
        <v>0</v>
      </c>
      <c r="AJ14" s="129">
        <f t="shared" si="16"/>
        <v>-1</v>
      </c>
      <c r="AK14" s="133"/>
      <c r="AL14" s="133"/>
      <c r="AM14" s="129" t="e">
        <f t="shared" si="17"/>
        <v>#DIV/0!</v>
      </c>
      <c r="AN14" s="134">
        <f t="shared" si="18"/>
        <v>20704</v>
      </c>
      <c r="AO14" s="134">
        <f t="shared" si="19"/>
        <v>0</v>
      </c>
      <c r="AP14" s="129">
        <f t="shared" si="20"/>
        <v>-1</v>
      </c>
      <c r="AQ14" s="42"/>
      <c r="AR14" s="42"/>
      <c r="AS14" s="129" t="e">
        <f t="shared" si="21"/>
        <v>#DIV/0!</v>
      </c>
      <c r="AT14" s="42">
        <f t="shared" si="22"/>
        <v>20704</v>
      </c>
      <c r="AU14" s="42">
        <f t="shared" si="23"/>
        <v>0</v>
      </c>
      <c r="AV14" s="129">
        <f t="shared" si="24"/>
        <v>-1</v>
      </c>
      <c r="AW14" s="42"/>
      <c r="AX14" s="42"/>
      <c r="AY14" s="129" t="e">
        <f t="shared" si="25"/>
        <v>#DIV/0!</v>
      </c>
      <c r="AZ14" s="42">
        <f t="shared" si="26"/>
        <v>20704</v>
      </c>
      <c r="BA14" s="42">
        <f t="shared" si="27"/>
        <v>0</v>
      </c>
      <c r="BB14" s="129">
        <f t="shared" si="28"/>
        <v>-1</v>
      </c>
      <c r="BC14" s="134"/>
      <c r="BD14" s="61"/>
      <c r="BE14" s="48"/>
      <c r="BF14" s="132"/>
      <c r="BG14" s="42">
        <v>20704</v>
      </c>
      <c r="BH14" s="49">
        <f t="shared" si="29"/>
        <v>0</v>
      </c>
    </row>
    <row r="15" ht="14.25" customHeight="1" spans="1:60">
      <c r="A15" s="68" t="s">
        <v>28</v>
      </c>
      <c r="B15" s="114" t="s">
        <v>28</v>
      </c>
      <c r="C15" s="123" t="s">
        <v>387</v>
      </c>
      <c r="D15" s="116" t="s">
        <v>87</v>
      </c>
      <c r="E15" s="116" t="s">
        <v>87</v>
      </c>
      <c r="F15" s="116" t="s">
        <v>366</v>
      </c>
      <c r="G15" s="116" t="s">
        <v>381</v>
      </c>
      <c r="H15" s="116"/>
      <c r="I15" s="116"/>
      <c r="J15" s="42">
        <v>106482</v>
      </c>
      <c r="K15" s="42">
        <v>179573.4</v>
      </c>
      <c r="L15" s="129">
        <f t="shared" si="0"/>
        <v>0.68642024004057</v>
      </c>
      <c r="M15" s="42">
        <v>47216</v>
      </c>
      <c r="N15" s="42">
        <v>105249</v>
      </c>
      <c r="O15" s="129">
        <f t="shared" si="1"/>
        <v>1.22909606912911</v>
      </c>
      <c r="P15" s="4">
        <f t="shared" si="2"/>
        <v>153698</v>
      </c>
      <c r="Q15" s="4">
        <f t="shared" si="3"/>
        <v>284822.4</v>
      </c>
      <c r="R15" s="129">
        <f t="shared" si="4"/>
        <v>0.853130164348268</v>
      </c>
      <c r="S15" s="61">
        <v>137272</v>
      </c>
      <c r="T15" s="61">
        <f>84087+13980.32</f>
        <v>98067.32</v>
      </c>
      <c r="U15" s="129">
        <f t="shared" si="5"/>
        <v>-0.285598519727257</v>
      </c>
      <c r="V15" s="60">
        <f t="shared" si="6"/>
        <v>290970</v>
      </c>
      <c r="W15" s="60">
        <f t="shared" si="7"/>
        <v>382889.72</v>
      </c>
      <c r="X15" s="129">
        <f t="shared" si="8"/>
        <v>0.315907894284634</v>
      </c>
      <c r="Y15" s="61">
        <v>106839</v>
      </c>
      <c r="Z15" s="61">
        <v>26001</v>
      </c>
      <c r="AA15" s="129">
        <f t="shared" si="9"/>
        <v>-0.756633813495072</v>
      </c>
      <c r="AB15" s="61">
        <f t="shared" si="10"/>
        <v>397809</v>
      </c>
      <c r="AC15" s="61">
        <f t="shared" si="11"/>
        <v>408890.72</v>
      </c>
      <c r="AD15" s="129">
        <f t="shared" si="12"/>
        <v>0.0278568860935775</v>
      </c>
      <c r="AE15" s="132">
        <v>104179</v>
      </c>
      <c r="AF15" s="132">
        <v>145162</v>
      </c>
      <c r="AG15" s="129">
        <f t="shared" si="13"/>
        <v>0.393390222597644</v>
      </c>
      <c r="AH15" s="132">
        <f t="shared" si="14"/>
        <v>501988</v>
      </c>
      <c r="AI15" s="132">
        <f t="shared" si="15"/>
        <v>554052.72</v>
      </c>
      <c r="AJ15" s="129">
        <f t="shared" si="16"/>
        <v>0.103717060965601</v>
      </c>
      <c r="AK15" s="133">
        <v>94199.4</v>
      </c>
      <c r="AL15" s="133">
        <v>117019.56</v>
      </c>
      <c r="AM15" s="129">
        <f t="shared" si="17"/>
        <v>0.242253772317021</v>
      </c>
      <c r="AN15" s="134">
        <f t="shared" si="18"/>
        <v>596187.4</v>
      </c>
      <c r="AO15" s="134">
        <f t="shared" si="19"/>
        <v>671072.28</v>
      </c>
      <c r="AP15" s="129">
        <f t="shared" si="20"/>
        <v>0.125606277489259</v>
      </c>
      <c r="AQ15" s="42">
        <v>85550</v>
      </c>
      <c r="AR15" s="42">
        <v>92805</v>
      </c>
      <c r="AS15" s="129">
        <f t="shared" si="21"/>
        <v>0.0848042080654587</v>
      </c>
      <c r="AT15" s="42">
        <f t="shared" si="22"/>
        <v>681737.4</v>
      </c>
      <c r="AU15" s="42">
        <f t="shared" si="23"/>
        <v>763877.28</v>
      </c>
      <c r="AV15" s="129">
        <f t="shared" si="24"/>
        <v>0.120486099193032</v>
      </c>
      <c r="AW15" s="42">
        <v>113437.2</v>
      </c>
      <c r="AX15" s="42">
        <v>201219.76</v>
      </c>
      <c r="AY15" s="129">
        <f t="shared" si="25"/>
        <v>0.773842795837697</v>
      </c>
      <c r="AZ15" s="42">
        <f t="shared" si="26"/>
        <v>795174.6</v>
      </c>
      <c r="BA15" s="42">
        <f t="shared" si="27"/>
        <v>965097.04</v>
      </c>
      <c r="BB15" s="129">
        <f t="shared" si="28"/>
        <v>0.213691986640418</v>
      </c>
      <c r="BC15" s="134">
        <v>137063</v>
      </c>
      <c r="BD15" s="61">
        <v>172689</v>
      </c>
      <c r="BE15" s="48">
        <v>124406.7</v>
      </c>
      <c r="BF15" s="132">
        <v>253098.7</v>
      </c>
      <c r="BG15" s="42">
        <v>1482432</v>
      </c>
      <c r="BH15" s="49" t="e">
        <f t="shared" si="29"/>
        <v>#DIV/0!</v>
      </c>
    </row>
    <row r="16" ht="14.25" customHeight="1" spans="1:62">
      <c r="A16" s="68" t="s">
        <v>28</v>
      </c>
      <c r="B16" s="114" t="s">
        <v>28</v>
      </c>
      <c r="C16" s="123" t="s">
        <v>388</v>
      </c>
      <c r="D16" s="116" t="s">
        <v>64</v>
      </c>
      <c r="E16" s="116" t="s">
        <v>64</v>
      </c>
      <c r="F16" s="116" t="s">
        <v>375</v>
      </c>
      <c r="G16" s="116" t="s">
        <v>375</v>
      </c>
      <c r="H16" s="116" t="s">
        <v>372</v>
      </c>
      <c r="I16" s="116">
        <v>80</v>
      </c>
      <c r="J16" s="42">
        <v>199467</v>
      </c>
      <c r="K16" s="42">
        <v>33384</v>
      </c>
      <c r="L16" s="129">
        <f t="shared" si="0"/>
        <v>-0.832633969528794</v>
      </c>
      <c r="M16" s="42">
        <v>16962</v>
      </c>
      <c r="N16" s="42">
        <v>18012</v>
      </c>
      <c r="O16" s="129">
        <f t="shared" si="1"/>
        <v>0.0619030774672797</v>
      </c>
      <c r="P16" s="4">
        <f t="shared" si="2"/>
        <v>216429</v>
      </c>
      <c r="Q16" s="4">
        <f t="shared" si="3"/>
        <v>51396</v>
      </c>
      <c r="R16" s="129">
        <f t="shared" si="4"/>
        <v>-0.76252720291643</v>
      </c>
      <c r="S16" s="61">
        <v>21823</v>
      </c>
      <c r="T16" s="61">
        <v>12509</v>
      </c>
      <c r="U16" s="129">
        <f t="shared" si="5"/>
        <v>-0.426797415570728</v>
      </c>
      <c r="V16" s="60">
        <f t="shared" si="6"/>
        <v>238252</v>
      </c>
      <c r="W16" s="60">
        <f t="shared" si="7"/>
        <v>63905</v>
      </c>
      <c r="X16" s="129">
        <f t="shared" si="8"/>
        <v>-0.731775598945654</v>
      </c>
      <c r="Y16" s="61">
        <v>37539</v>
      </c>
      <c r="Z16" s="61">
        <v>14479</v>
      </c>
      <c r="AA16" s="129">
        <f t="shared" si="9"/>
        <v>-0.614294467087562</v>
      </c>
      <c r="AB16" s="61">
        <f t="shared" si="10"/>
        <v>275791</v>
      </c>
      <c r="AC16" s="61">
        <f t="shared" si="11"/>
        <v>78384</v>
      </c>
      <c r="AD16" s="129">
        <f t="shared" si="12"/>
        <v>-0.715784779053704</v>
      </c>
      <c r="AE16" s="132">
        <v>98292</v>
      </c>
      <c r="AF16" s="132">
        <f>17747+33866</f>
        <v>51613</v>
      </c>
      <c r="AG16" s="129">
        <f t="shared" si="13"/>
        <v>-0.47490131445082</v>
      </c>
      <c r="AH16" s="132">
        <f t="shared" si="14"/>
        <v>374083</v>
      </c>
      <c r="AI16" s="132">
        <f t="shared" si="15"/>
        <v>129997</v>
      </c>
      <c r="AJ16" s="129">
        <f t="shared" si="16"/>
        <v>-0.652491559359821</v>
      </c>
      <c r="AK16" s="133"/>
      <c r="AL16" s="133">
        <v>12263</v>
      </c>
      <c r="AM16" s="129" t="e">
        <f t="shared" si="17"/>
        <v>#DIV/0!</v>
      </c>
      <c r="AN16" s="134">
        <f t="shared" si="18"/>
        <v>374083</v>
      </c>
      <c r="AO16" s="134">
        <f t="shared" si="19"/>
        <v>142260</v>
      </c>
      <c r="AP16" s="129">
        <f t="shared" si="20"/>
        <v>-0.619710064344009</v>
      </c>
      <c r="AQ16" s="42">
        <v>21043</v>
      </c>
      <c r="AR16" s="42">
        <v>53011</v>
      </c>
      <c r="AS16" s="129">
        <f t="shared" si="21"/>
        <v>1.51917502257283</v>
      </c>
      <c r="AT16" s="42">
        <f t="shared" si="22"/>
        <v>395126</v>
      </c>
      <c r="AU16" s="42">
        <f t="shared" si="23"/>
        <v>195271</v>
      </c>
      <c r="AV16" s="129">
        <f t="shared" si="24"/>
        <v>-0.505800681301661</v>
      </c>
      <c r="AW16" s="42">
        <v>28974</v>
      </c>
      <c r="AX16" s="42">
        <v>58711</v>
      </c>
      <c r="AY16" s="129">
        <f t="shared" si="25"/>
        <v>1.02633395457997</v>
      </c>
      <c r="AZ16" s="42">
        <f t="shared" si="26"/>
        <v>424100</v>
      </c>
      <c r="BA16" s="42">
        <f t="shared" si="27"/>
        <v>253982</v>
      </c>
      <c r="BB16" s="129">
        <f t="shared" si="28"/>
        <v>-0.401127092666824</v>
      </c>
      <c r="BC16" s="134">
        <v>55387</v>
      </c>
      <c r="BD16" s="61">
        <v>1903</v>
      </c>
      <c r="BE16" s="48">
        <v>102468</v>
      </c>
      <c r="BF16" s="132">
        <v>297008</v>
      </c>
      <c r="BG16" s="42">
        <v>880866</v>
      </c>
      <c r="BH16" s="49">
        <f t="shared" si="29"/>
        <v>0.3174775</v>
      </c>
      <c r="BI16" s="39">
        <v>45659</v>
      </c>
      <c r="BJ16">
        <v>33866</v>
      </c>
    </row>
    <row r="17" ht="14.25" customHeight="1" spans="1:60">
      <c r="A17" s="68" t="s">
        <v>28</v>
      </c>
      <c r="B17" s="114" t="s">
        <v>28</v>
      </c>
      <c r="C17" s="123" t="s">
        <v>389</v>
      </c>
      <c r="D17" s="116" t="s">
        <v>101</v>
      </c>
      <c r="E17" s="116" t="s">
        <v>101</v>
      </c>
      <c r="F17" s="116" t="s">
        <v>375</v>
      </c>
      <c r="G17" s="116" t="s">
        <v>375</v>
      </c>
      <c r="H17" s="116" t="s">
        <v>372</v>
      </c>
      <c r="I17" s="116">
        <v>30</v>
      </c>
      <c r="J17" s="42">
        <v>17565</v>
      </c>
      <c r="K17" s="42"/>
      <c r="L17" s="129">
        <f t="shared" si="0"/>
        <v>-1</v>
      </c>
      <c r="M17" s="42">
        <v>11220</v>
      </c>
      <c r="N17" s="42"/>
      <c r="O17" s="129">
        <f t="shared" si="1"/>
        <v>-1</v>
      </c>
      <c r="P17" s="4">
        <f t="shared" si="2"/>
        <v>28785</v>
      </c>
      <c r="Q17" s="4">
        <f t="shared" si="3"/>
        <v>0</v>
      </c>
      <c r="R17" s="129">
        <f t="shared" si="4"/>
        <v>-1</v>
      </c>
      <c r="S17" s="61"/>
      <c r="T17" s="61"/>
      <c r="U17" s="129" t="e">
        <f t="shared" si="5"/>
        <v>#DIV/0!</v>
      </c>
      <c r="V17" s="60">
        <f t="shared" si="6"/>
        <v>28785</v>
      </c>
      <c r="W17" s="60">
        <f t="shared" si="7"/>
        <v>0</v>
      </c>
      <c r="X17" s="129">
        <f t="shared" si="8"/>
        <v>-1</v>
      </c>
      <c r="Y17" s="61"/>
      <c r="Z17" s="61"/>
      <c r="AA17" s="129" t="e">
        <f t="shared" si="9"/>
        <v>#DIV/0!</v>
      </c>
      <c r="AB17" s="61">
        <f t="shared" si="10"/>
        <v>28785</v>
      </c>
      <c r="AC17" s="61">
        <f t="shared" si="11"/>
        <v>0</v>
      </c>
      <c r="AD17" s="129">
        <f t="shared" si="12"/>
        <v>-1</v>
      </c>
      <c r="AE17" s="132">
        <v>24500</v>
      </c>
      <c r="AF17" s="132"/>
      <c r="AG17" s="129">
        <f t="shared" si="13"/>
        <v>-1</v>
      </c>
      <c r="AH17" s="132">
        <f t="shared" si="14"/>
        <v>53285</v>
      </c>
      <c r="AI17" s="132">
        <f t="shared" si="15"/>
        <v>0</v>
      </c>
      <c r="AJ17" s="129">
        <f t="shared" si="16"/>
        <v>-1</v>
      </c>
      <c r="AK17" s="133">
        <v>5320</v>
      </c>
      <c r="AL17" s="133">
        <v>5700</v>
      </c>
      <c r="AM17" s="129">
        <f t="shared" si="17"/>
        <v>0.0714285714285714</v>
      </c>
      <c r="AN17" s="134">
        <f t="shared" si="18"/>
        <v>58605</v>
      </c>
      <c r="AO17" s="134">
        <f t="shared" si="19"/>
        <v>5700</v>
      </c>
      <c r="AP17" s="129">
        <f t="shared" si="20"/>
        <v>-0.902738674174558</v>
      </c>
      <c r="AQ17" s="42"/>
      <c r="AR17" s="42"/>
      <c r="AS17" s="129" t="e">
        <f t="shared" si="21"/>
        <v>#DIV/0!</v>
      </c>
      <c r="AT17" s="42">
        <f t="shared" si="22"/>
        <v>58605</v>
      </c>
      <c r="AU17" s="42">
        <f t="shared" si="23"/>
        <v>5700</v>
      </c>
      <c r="AV17" s="129">
        <f t="shared" si="24"/>
        <v>-0.902738674174558</v>
      </c>
      <c r="AW17" s="42"/>
      <c r="AX17" s="42">
        <v>10808</v>
      </c>
      <c r="AY17" s="129" t="e">
        <f t="shared" si="25"/>
        <v>#DIV/0!</v>
      </c>
      <c r="AZ17" s="42">
        <f t="shared" si="26"/>
        <v>58605</v>
      </c>
      <c r="BA17" s="42">
        <f t="shared" si="27"/>
        <v>16508</v>
      </c>
      <c r="BB17" s="129">
        <f t="shared" si="28"/>
        <v>-0.718317549697125</v>
      </c>
      <c r="BC17" s="134">
        <v>10808</v>
      </c>
      <c r="BD17" s="61">
        <v>19050</v>
      </c>
      <c r="BE17" s="48">
        <v>27500</v>
      </c>
      <c r="BF17" s="132">
        <v>31561</v>
      </c>
      <c r="BG17" s="42">
        <v>147524</v>
      </c>
      <c r="BH17" s="49">
        <f t="shared" si="29"/>
        <v>0.0550266666666667</v>
      </c>
    </row>
    <row r="18" ht="14.25" customHeight="1" spans="1:60">
      <c r="A18" s="68" t="s">
        <v>28</v>
      </c>
      <c r="B18" s="114" t="s">
        <v>28</v>
      </c>
      <c r="C18" s="124" t="s">
        <v>390</v>
      </c>
      <c r="D18" s="116" t="s">
        <v>101</v>
      </c>
      <c r="E18" s="116" t="s">
        <v>101</v>
      </c>
      <c r="F18" s="116" t="s">
        <v>371</v>
      </c>
      <c r="G18" s="116" t="s">
        <v>371</v>
      </c>
      <c r="H18" s="116" t="s">
        <v>378</v>
      </c>
      <c r="I18" s="116">
        <v>30</v>
      </c>
      <c r="J18" s="42">
        <v>10000</v>
      </c>
      <c r="K18" s="42">
        <v>20000</v>
      </c>
      <c r="L18" s="129">
        <f t="shared" si="0"/>
        <v>1</v>
      </c>
      <c r="M18" s="42">
        <v>20000</v>
      </c>
      <c r="N18" s="42"/>
      <c r="O18" s="129">
        <f t="shared" si="1"/>
        <v>-1</v>
      </c>
      <c r="P18" s="4">
        <f t="shared" si="2"/>
        <v>30000</v>
      </c>
      <c r="Q18" s="4">
        <f t="shared" si="3"/>
        <v>20000</v>
      </c>
      <c r="R18" s="129">
        <f t="shared" si="4"/>
        <v>-0.333333333333333</v>
      </c>
      <c r="S18" s="61">
        <v>10000</v>
      </c>
      <c r="T18" s="61">
        <v>10000</v>
      </c>
      <c r="U18" s="129">
        <f t="shared" si="5"/>
        <v>0</v>
      </c>
      <c r="V18" s="60">
        <f t="shared" si="6"/>
        <v>40000</v>
      </c>
      <c r="W18" s="60">
        <f t="shared" si="7"/>
        <v>30000</v>
      </c>
      <c r="X18" s="129">
        <f t="shared" si="8"/>
        <v>-0.25</v>
      </c>
      <c r="Y18" s="61"/>
      <c r="Z18" s="61"/>
      <c r="AA18" s="129" t="e">
        <f t="shared" si="9"/>
        <v>#DIV/0!</v>
      </c>
      <c r="AB18" s="61">
        <f t="shared" si="10"/>
        <v>40000</v>
      </c>
      <c r="AC18" s="61">
        <f t="shared" si="11"/>
        <v>30000</v>
      </c>
      <c r="AD18" s="129">
        <f t="shared" si="12"/>
        <v>-0.25</v>
      </c>
      <c r="AE18" s="132">
        <v>20000</v>
      </c>
      <c r="AF18" s="132">
        <v>20000</v>
      </c>
      <c r="AG18" s="129">
        <f t="shared" si="13"/>
        <v>0</v>
      </c>
      <c r="AH18" s="132">
        <f t="shared" si="14"/>
        <v>60000</v>
      </c>
      <c r="AI18" s="132">
        <f t="shared" si="15"/>
        <v>50000</v>
      </c>
      <c r="AJ18" s="129">
        <f t="shared" si="16"/>
        <v>-0.166666666666667</v>
      </c>
      <c r="AK18" s="133"/>
      <c r="AL18" s="133">
        <v>10000</v>
      </c>
      <c r="AM18" s="129" t="e">
        <f t="shared" si="17"/>
        <v>#DIV/0!</v>
      </c>
      <c r="AN18" s="134">
        <f t="shared" si="18"/>
        <v>60000</v>
      </c>
      <c r="AO18" s="134">
        <f t="shared" si="19"/>
        <v>60000</v>
      </c>
      <c r="AP18" s="129">
        <f t="shared" si="20"/>
        <v>0</v>
      </c>
      <c r="AQ18" s="42">
        <v>20000</v>
      </c>
      <c r="AR18" s="42"/>
      <c r="AS18" s="129">
        <f t="shared" si="21"/>
        <v>-1</v>
      </c>
      <c r="AT18" s="42">
        <f t="shared" si="22"/>
        <v>80000</v>
      </c>
      <c r="AU18" s="42">
        <f t="shared" si="23"/>
        <v>60000</v>
      </c>
      <c r="AV18" s="129">
        <f t="shared" si="24"/>
        <v>-0.25</v>
      </c>
      <c r="AW18" s="42"/>
      <c r="AX18" s="42"/>
      <c r="AY18" s="129" t="e">
        <f t="shared" si="25"/>
        <v>#DIV/0!</v>
      </c>
      <c r="AZ18" s="42">
        <f t="shared" si="26"/>
        <v>80000</v>
      </c>
      <c r="BA18" s="42">
        <f t="shared" si="27"/>
        <v>60000</v>
      </c>
      <c r="BB18" s="129">
        <f t="shared" si="28"/>
        <v>-0.25</v>
      </c>
      <c r="BC18" s="134"/>
      <c r="BD18" s="61"/>
      <c r="BE18" s="48"/>
      <c r="BF18" s="132">
        <v>10000</v>
      </c>
      <c r="BG18" s="42">
        <v>90000</v>
      </c>
      <c r="BH18" s="49">
        <f t="shared" si="29"/>
        <v>0.2</v>
      </c>
    </row>
    <row r="19" ht="14.25" customHeight="1" spans="1:60">
      <c r="A19" s="68" t="s">
        <v>28</v>
      </c>
      <c r="B19" s="114" t="s">
        <v>28</v>
      </c>
      <c r="C19" s="124" t="s">
        <v>391</v>
      </c>
      <c r="D19" s="116" t="s">
        <v>101</v>
      </c>
      <c r="E19" s="116" t="s">
        <v>101</v>
      </c>
      <c r="F19" s="116" t="s">
        <v>366</v>
      </c>
      <c r="G19" s="116" t="s">
        <v>381</v>
      </c>
      <c r="H19" s="116" t="s">
        <v>378</v>
      </c>
      <c r="I19" s="116">
        <v>30</v>
      </c>
      <c r="J19" s="42">
        <v>40000</v>
      </c>
      <c r="K19" s="42">
        <v>20000</v>
      </c>
      <c r="L19" s="129">
        <f t="shared" si="0"/>
        <v>-0.5</v>
      </c>
      <c r="M19" s="42"/>
      <c r="N19" s="42">
        <v>40000</v>
      </c>
      <c r="O19" s="129" t="e">
        <f t="shared" si="1"/>
        <v>#DIV/0!</v>
      </c>
      <c r="P19" s="4">
        <f t="shared" si="2"/>
        <v>40000</v>
      </c>
      <c r="Q19" s="4">
        <f t="shared" si="3"/>
        <v>60000</v>
      </c>
      <c r="R19" s="129">
        <f t="shared" si="4"/>
        <v>0.5</v>
      </c>
      <c r="S19" s="61">
        <v>20000</v>
      </c>
      <c r="T19" s="61"/>
      <c r="U19" s="129">
        <f t="shared" si="5"/>
        <v>-1</v>
      </c>
      <c r="V19" s="60">
        <f t="shared" si="6"/>
        <v>60000</v>
      </c>
      <c r="W19" s="60">
        <f t="shared" si="7"/>
        <v>60000</v>
      </c>
      <c r="X19" s="129">
        <f t="shared" si="8"/>
        <v>0</v>
      </c>
      <c r="Y19" s="61">
        <v>10000</v>
      </c>
      <c r="Z19" s="61">
        <v>30000</v>
      </c>
      <c r="AA19" s="129">
        <f t="shared" si="9"/>
        <v>2</v>
      </c>
      <c r="AB19" s="61">
        <f t="shared" si="10"/>
        <v>70000</v>
      </c>
      <c r="AC19" s="61">
        <f t="shared" si="11"/>
        <v>90000</v>
      </c>
      <c r="AD19" s="129">
        <f t="shared" si="12"/>
        <v>0.285714285714286</v>
      </c>
      <c r="AE19" s="132"/>
      <c r="AF19" s="132">
        <v>60568</v>
      </c>
      <c r="AG19" s="129" t="e">
        <f t="shared" si="13"/>
        <v>#DIV/0!</v>
      </c>
      <c r="AH19" s="132">
        <f t="shared" si="14"/>
        <v>70000</v>
      </c>
      <c r="AI19" s="132">
        <f t="shared" si="15"/>
        <v>150568</v>
      </c>
      <c r="AJ19" s="129">
        <f t="shared" si="16"/>
        <v>1.15097142857143</v>
      </c>
      <c r="AK19" s="133"/>
      <c r="AL19" s="133"/>
      <c r="AM19" s="129" t="e">
        <f t="shared" si="17"/>
        <v>#DIV/0!</v>
      </c>
      <c r="AN19" s="134">
        <f t="shared" si="18"/>
        <v>70000</v>
      </c>
      <c r="AO19" s="134">
        <f t="shared" si="19"/>
        <v>150568</v>
      </c>
      <c r="AP19" s="129">
        <f t="shared" si="20"/>
        <v>1.15097142857143</v>
      </c>
      <c r="AQ19" s="42">
        <v>20000</v>
      </c>
      <c r="AR19" s="42"/>
      <c r="AS19" s="129">
        <f t="shared" si="21"/>
        <v>-1</v>
      </c>
      <c r="AT19" s="42">
        <f t="shared" si="22"/>
        <v>90000</v>
      </c>
      <c r="AU19" s="42">
        <f t="shared" si="23"/>
        <v>150568</v>
      </c>
      <c r="AV19" s="129">
        <f t="shared" si="24"/>
        <v>0.672977777777778</v>
      </c>
      <c r="AW19" s="42">
        <v>20000</v>
      </c>
      <c r="AX19" s="42"/>
      <c r="AY19" s="129">
        <f t="shared" si="25"/>
        <v>-1</v>
      </c>
      <c r="AZ19" s="42">
        <f t="shared" si="26"/>
        <v>110000</v>
      </c>
      <c r="BA19" s="42">
        <f t="shared" si="27"/>
        <v>150568</v>
      </c>
      <c r="BB19" s="129">
        <f t="shared" si="28"/>
        <v>0.3688</v>
      </c>
      <c r="BC19" s="134"/>
      <c r="BD19" s="61"/>
      <c r="BE19" s="48">
        <v>21000</v>
      </c>
      <c r="BF19" s="132">
        <v>45000</v>
      </c>
      <c r="BG19" s="42">
        <v>176000</v>
      </c>
      <c r="BH19" s="49">
        <f t="shared" si="29"/>
        <v>0.501893333333333</v>
      </c>
    </row>
    <row r="20" ht="14.25" customHeight="1" spans="1:62">
      <c r="A20" s="68" t="s">
        <v>28</v>
      </c>
      <c r="B20" s="114" t="s">
        <v>28</v>
      </c>
      <c r="C20" s="124" t="s">
        <v>392</v>
      </c>
      <c r="D20" s="116" t="s">
        <v>78</v>
      </c>
      <c r="E20" s="116" t="s">
        <v>78</v>
      </c>
      <c r="F20" s="116" t="s">
        <v>366</v>
      </c>
      <c r="G20" s="116" t="s">
        <v>381</v>
      </c>
      <c r="H20" s="116" t="s">
        <v>378</v>
      </c>
      <c r="I20" s="116"/>
      <c r="J20" s="42"/>
      <c r="K20" s="42">
        <v>54440.36</v>
      </c>
      <c r="L20" s="129" t="e">
        <f t="shared" si="0"/>
        <v>#DIV/0!</v>
      </c>
      <c r="M20" s="42">
        <v>10797.73</v>
      </c>
      <c r="N20" s="42">
        <v>29508.02</v>
      </c>
      <c r="O20" s="129">
        <f t="shared" si="1"/>
        <v>1.73279846782611</v>
      </c>
      <c r="P20" s="4">
        <f t="shared" si="2"/>
        <v>10797.73</v>
      </c>
      <c r="Q20" s="4">
        <f t="shared" si="3"/>
        <v>83948.38</v>
      </c>
      <c r="R20" s="129">
        <f t="shared" si="4"/>
        <v>6.7746322606696</v>
      </c>
      <c r="S20" s="61">
        <v>56823.31</v>
      </c>
      <c r="T20" s="61">
        <v>3457.13</v>
      </c>
      <c r="U20" s="129">
        <f t="shared" si="5"/>
        <v>-0.939160003174753</v>
      </c>
      <c r="V20" s="60">
        <f t="shared" si="6"/>
        <v>67621.04</v>
      </c>
      <c r="W20" s="60">
        <f t="shared" si="7"/>
        <v>87405.51</v>
      </c>
      <c r="X20" s="129">
        <f t="shared" si="8"/>
        <v>0.292578611627387</v>
      </c>
      <c r="Y20" s="61">
        <v>14596</v>
      </c>
      <c r="Z20" s="61">
        <v>11403.76</v>
      </c>
      <c r="AA20" s="129">
        <f t="shared" si="9"/>
        <v>-0.218706494930118</v>
      </c>
      <c r="AB20" s="61">
        <f t="shared" si="10"/>
        <v>82217.04</v>
      </c>
      <c r="AC20" s="61">
        <f t="shared" si="11"/>
        <v>98809.27</v>
      </c>
      <c r="AD20" s="129">
        <f t="shared" si="12"/>
        <v>0.201810111383236</v>
      </c>
      <c r="AE20" s="132">
        <v>41660.41</v>
      </c>
      <c r="AF20" s="132">
        <f>51243.95+10000</f>
        <v>61243.95</v>
      </c>
      <c r="AG20" s="129">
        <f t="shared" si="13"/>
        <v>0.470075546544069</v>
      </c>
      <c r="AH20" s="132">
        <f t="shared" si="14"/>
        <v>123877.45</v>
      </c>
      <c r="AI20" s="132">
        <f t="shared" si="15"/>
        <v>160053.22</v>
      </c>
      <c r="AJ20" s="129">
        <f t="shared" si="16"/>
        <v>0.29202869448798</v>
      </c>
      <c r="AK20" s="133">
        <v>92552.98</v>
      </c>
      <c r="AL20" s="133">
        <v>46338.06</v>
      </c>
      <c r="AM20" s="129">
        <f t="shared" si="17"/>
        <v>-0.499334759399427</v>
      </c>
      <c r="AN20" s="134">
        <f t="shared" si="18"/>
        <v>216430.43</v>
      </c>
      <c r="AO20" s="134">
        <f t="shared" si="19"/>
        <v>206391.28</v>
      </c>
      <c r="AP20" s="129">
        <f t="shared" si="20"/>
        <v>-0.0463851132209089</v>
      </c>
      <c r="AQ20" s="42">
        <v>79159.98</v>
      </c>
      <c r="AR20" s="42">
        <v>161520.61</v>
      </c>
      <c r="AS20" s="129">
        <f t="shared" si="21"/>
        <v>1.04043267822958</v>
      </c>
      <c r="AT20" s="42">
        <f t="shared" si="22"/>
        <v>295590.41</v>
      </c>
      <c r="AU20" s="42">
        <f t="shared" si="23"/>
        <v>367911.89</v>
      </c>
      <c r="AV20" s="129">
        <f t="shared" si="24"/>
        <v>0.244667883508129</v>
      </c>
      <c r="AW20" s="42"/>
      <c r="AX20" s="42"/>
      <c r="AY20" s="129" t="e">
        <f t="shared" si="25"/>
        <v>#DIV/0!</v>
      </c>
      <c r="AZ20" s="42">
        <f t="shared" si="26"/>
        <v>295590.41</v>
      </c>
      <c r="BA20" s="42">
        <f t="shared" si="27"/>
        <v>367911.89</v>
      </c>
      <c r="BB20" s="129">
        <f t="shared" si="28"/>
        <v>0.244667883508129</v>
      </c>
      <c r="BC20" s="134">
        <v>37043.76</v>
      </c>
      <c r="BD20" s="61">
        <v>78063.57</v>
      </c>
      <c r="BE20" s="48">
        <v>186738.72</v>
      </c>
      <c r="BF20" s="132">
        <v>130096.34</v>
      </c>
      <c r="BG20" s="42">
        <v>727532.8</v>
      </c>
      <c r="BH20" s="49" t="e">
        <f t="shared" si="29"/>
        <v>#DIV/0!</v>
      </c>
      <c r="BI20" s="39">
        <v>10000</v>
      </c>
      <c r="BJ20">
        <v>10000</v>
      </c>
    </row>
    <row r="21" s="40" customFormat="1" ht="14.25" customHeight="1" spans="1:61">
      <c r="A21" s="68" t="s">
        <v>28</v>
      </c>
      <c r="B21" s="114" t="s">
        <v>28</v>
      </c>
      <c r="C21" s="125" t="s">
        <v>393</v>
      </c>
      <c r="D21" s="116" t="s">
        <v>64</v>
      </c>
      <c r="E21" s="116" t="s">
        <v>64</v>
      </c>
      <c r="F21" s="116" t="s">
        <v>385</v>
      </c>
      <c r="G21" s="116" t="s">
        <v>385</v>
      </c>
      <c r="H21" s="116" t="s">
        <v>372</v>
      </c>
      <c r="I21" s="116">
        <v>0</v>
      </c>
      <c r="J21" s="42"/>
      <c r="K21" s="42"/>
      <c r="L21" s="129" t="e">
        <f t="shared" si="0"/>
        <v>#DIV/0!</v>
      </c>
      <c r="M21" s="42"/>
      <c r="N21" s="42"/>
      <c r="O21" s="129" t="e">
        <f t="shared" si="1"/>
        <v>#DIV/0!</v>
      </c>
      <c r="P21" s="4">
        <f t="shared" si="2"/>
        <v>0</v>
      </c>
      <c r="Q21" s="4">
        <f t="shared" si="3"/>
        <v>0</v>
      </c>
      <c r="R21" s="129" t="e">
        <f t="shared" si="4"/>
        <v>#DIV/0!</v>
      </c>
      <c r="S21" s="61"/>
      <c r="T21" s="61"/>
      <c r="U21" s="129" t="e">
        <f t="shared" si="5"/>
        <v>#DIV/0!</v>
      </c>
      <c r="V21" s="60">
        <f t="shared" si="6"/>
        <v>0</v>
      </c>
      <c r="W21" s="60">
        <f t="shared" si="7"/>
        <v>0</v>
      </c>
      <c r="X21" s="129" t="e">
        <f t="shared" si="8"/>
        <v>#DIV/0!</v>
      </c>
      <c r="Y21" s="61"/>
      <c r="Z21" s="61"/>
      <c r="AA21" s="129" t="e">
        <f t="shared" si="9"/>
        <v>#DIV/0!</v>
      </c>
      <c r="AB21" s="61">
        <f t="shared" si="10"/>
        <v>0</v>
      </c>
      <c r="AC21" s="61">
        <f t="shared" si="11"/>
        <v>0</v>
      </c>
      <c r="AD21" s="129" t="e">
        <f t="shared" si="12"/>
        <v>#DIV/0!</v>
      </c>
      <c r="AE21" s="132">
        <v>48949</v>
      </c>
      <c r="AF21" s="132"/>
      <c r="AG21" s="129">
        <f t="shared" si="13"/>
        <v>-1</v>
      </c>
      <c r="AH21" s="132">
        <f t="shared" si="14"/>
        <v>48949</v>
      </c>
      <c r="AI21" s="132">
        <f t="shared" si="15"/>
        <v>0</v>
      </c>
      <c r="AJ21" s="129">
        <f t="shared" si="16"/>
        <v>-1</v>
      </c>
      <c r="AK21" s="133"/>
      <c r="AL21" s="133"/>
      <c r="AM21" s="129" t="e">
        <f t="shared" si="17"/>
        <v>#DIV/0!</v>
      </c>
      <c r="AN21" s="134">
        <f t="shared" si="18"/>
        <v>48949</v>
      </c>
      <c r="AO21" s="134">
        <f t="shared" si="19"/>
        <v>0</v>
      </c>
      <c r="AP21" s="129">
        <f t="shared" si="20"/>
        <v>-1</v>
      </c>
      <c r="AQ21" s="42"/>
      <c r="AR21" s="42"/>
      <c r="AS21" s="129" t="e">
        <f t="shared" si="21"/>
        <v>#DIV/0!</v>
      </c>
      <c r="AT21" s="42">
        <f t="shared" si="22"/>
        <v>48949</v>
      </c>
      <c r="AU21" s="42">
        <f t="shared" si="23"/>
        <v>0</v>
      </c>
      <c r="AV21" s="129">
        <f t="shared" si="24"/>
        <v>-1</v>
      </c>
      <c r="AW21" s="42"/>
      <c r="AX21" s="42"/>
      <c r="AY21" s="129" t="e">
        <f t="shared" si="25"/>
        <v>#DIV/0!</v>
      </c>
      <c r="AZ21" s="42">
        <f t="shared" si="26"/>
        <v>48949</v>
      </c>
      <c r="BA21" s="42">
        <f t="shared" si="27"/>
        <v>0</v>
      </c>
      <c r="BB21" s="129">
        <f t="shared" si="28"/>
        <v>-1</v>
      </c>
      <c r="BC21" s="134"/>
      <c r="BD21" s="61"/>
      <c r="BE21" s="48"/>
      <c r="BF21" s="132"/>
      <c r="BG21" s="42">
        <v>48949</v>
      </c>
      <c r="BH21" s="49" t="e">
        <f t="shared" si="29"/>
        <v>#DIV/0!</v>
      </c>
      <c r="BI21" s="112">
        <v>48949</v>
      </c>
    </row>
    <row r="22" s="40" customFormat="1" ht="14.25" customHeight="1" spans="1:62">
      <c r="A22" s="68" t="s">
        <v>28</v>
      </c>
      <c r="B22" s="114" t="s">
        <v>28</v>
      </c>
      <c r="C22" s="125" t="s">
        <v>394</v>
      </c>
      <c r="D22" s="116" t="s">
        <v>64</v>
      </c>
      <c r="E22" s="116" t="s">
        <v>64</v>
      </c>
      <c r="F22" s="116" t="s">
        <v>395</v>
      </c>
      <c r="G22" s="116" t="s">
        <v>395</v>
      </c>
      <c r="H22" s="116" t="s">
        <v>368</v>
      </c>
      <c r="I22" s="116">
        <v>80</v>
      </c>
      <c r="J22" s="42">
        <v>198197</v>
      </c>
      <c r="K22" s="42">
        <v>57653</v>
      </c>
      <c r="L22" s="129">
        <f t="shared" si="0"/>
        <v>-0.70911265054466</v>
      </c>
      <c r="M22" s="42">
        <v>22955</v>
      </c>
      <c r="N22" s="42">
        <v>38882</v>
      </c>
      <c r="O22" s="129">
        <f t="shared" si="1"/>
        <v>0.693835765628403</v>
      </c>
      <c r="P22" s="4">
        <f t="shared" si="2"/>
        <v>221152</v>
      </c>
      <c r="Q22" s="4">
        <f t="shared" si="3"/>
        <v>96535</v>
      </c>
      <c r="R22" s="129">
        <f t="shared" si="4"/>
        <v>-0.56349026913616</v>
      </c>
      <c r="S22" s="61">
        <v>13490</v>
      </c>
      <c r="T22" s="61">
        <v>55448</v>
      </c>
      <c r="U22" s="129">
        <f t="shared" si="5"/>
        <v>3.11030392883617</v>
      </c>
      <c r="V22" s="60">
        <f t="shared" si="6"/>
        <v>234642</v>
      </c>
      <c r="W22" s="60">
        <f t="shared" si="7"/>
        <v>151983</v>
      </c>
      <c r="X22" s="129">
        <f t="shared" si="8"/>
        <v>-0.352277085943693</v>
      </c>
      <c r="Y22" s="61">
        <v>37102</v>
      </c>
      <c r="Z22" s="61">
        <v>26004</v>
      </c>
      <c r="AA22" s="129">
        <f t="shared" si="9"/>
        <v>-0.299121341167592</v>
      </c>
      <c r="AB22" s="61">
        <f t="shared" si="10"/>
        <v>271744</v>
      </c>
      <c r="AC22" s="61">
        <f t="shared" si="11"/>
        <v>177987</v>
      </c>
      <c r="AD22" s="129">
        <f t="shared" si="12"/>
        <v>-0.345019577249176</v>
      </c>
      <c r="AE22" s="132">
        <v>92010</v>
      </c>
      <c r="AF22" s="132">
        <f>3441+51497+26151</f>
        <v>81089</v>
      </c>
      <c r="AG22" s="129">
        <f t="shared" si="13"/>
        <v>-0.118693620258668</v>
      </c>
      <c r="AH22" s="132">
        <f t="shared" si="14"/>
        <v>363754</v>
      </c>
      <c r="AI22" s="132">
        <f t="shared" si="15"/>
        <v>259076</v>
      </c>
      <c r="AJ22" s="129">
        <f t="shared" si="16"/>
        <v>-0.287771405950175</v>
      </c>
      <c r="AK22" s="133">
        <v>3173</v>
      </c>
      <c r="AL22" s="133">
        <f>4480+152569</f>
        <v>157049</v>
      </c>
      <c r="AM22" s="129">
        <f t="shared" si="17"/>
        <v>48.4954301922471</v>
      </c>
      <c r="AN22" s="134">
        <f t="shared" si="18"/>
        <v>366927</v>
      </c>
      <c r="AO22" s="134">
        <f t="shared" si="19"/>
        <v>416125</v>
      </c>
      <c r="AP22" s="129">
        <f t="shared" si="20"/>
        <v>0.134081166008498</v>
      </c>
      <c r="AQ22" s="42">
        <v>50791</v>
      </c>
      <c r="AR22" s="42">
        <v>2560</v>
      </c>
      <c r="AS22" s="129">
        <f t="shared" si="21"/>
        <v>-0.949597369612727</v>
      </c>
      <c r="AT22" s="42">
        <f t="shared" si="22"/>
        <v>417718</v>
      </c>
      <c r="AU22" s="42">
        <f t="shared" si="23"/>
        <v>418685</v>
      </c>
      <c r="AV22" s="129">
        <f t="shared" si="24"/>
        <v>0.00231495889571431</v>
      </c>
      <c r="AW22" s="42">
        <v>46822</v>
      </c>
      <c r="AX22" s="42">
        <f>21040+27726</f>
        <v>48766</v>
      </c>
      <c r="AY22" s="129">
        <f t="shared" si="25"/>
        <v>0.0415189440861135</v>
      </c>
      <c r="AZ22" s="42">
        <f t="shared" si="26"/>
        <v>464540</v>
      </c>
      <c r="BA22" s="42">
        <f t="shared" si="27"/>
        <v>467451</v>
      </c>
      <c r="BB22" s="129">
        <f t="shared" si="28"/>
        <v>0.00626641408705386</v>
      </c>
      <c r="BC22" s="134">
        <v>42696</v>
      </c>
      <c r="BD22" s="61">
        <v>139827</v>
      </c>
      <c r="BE22" s="48">
        <v>55709</v>
      </c>
      <c r="BF22" s="132">
        <v>155422</v>
      </c>
      <c r="BG22" s="42">
        <v>858194</v>
      </c>
      <c r="BH22" s="49">
        <f t="shared" si="29"/>
        <v>0.58431375</v>
      </c>
      <c r="BI22" s="112">
        <v>34635</v>
      </c>
      <c r="BJ22" s="40">
        <v>26151</v>
      </c>
    </row>
    <row r="23" s="40" customFormat="1" ht="14.25" customHeight="1" spans="1:61">
      <c r="A23" s="68" t="s">
        <v>28</v>
      </c>
      <c r="B23" s="114" t="s">
        <v>28</v>
      </c>
      <c r="C23" s="124" t="s">
        <v>396</v>
      </c>
      <c r="D23" s="116" t="s">
        <v>60</v>
      </c>
      <c r="E23" s="116" t="s">
        <v>60</v>
      </c>
      <c r="F23" s="116" t="s">
        <v>371</v>
      </c>
      <c r="G23" s="116" t="s">
        <v>371</v>
      </c>
      <c r="H23" s="116" t="s">
        <v>372</v>
      </c>
      <c r="I23" s="116">
        <v>30</v>
      </c>
      <c r="J23" s="42">
        <v>25253</v>
      </c>
      <c r="K23" s="42"/>
      <c r="L23" s="129">
        <f t="shared" si="0"/>
        <v>-1</v>
      </c>
      <c r="M23" s="42"/>
      <c r="N23" s="42">
        <v>8054</v>
      </c>
      <c r="O23" s="129" t="e">
        <f t="shared" si="1"/>
        <v>#DIV/0!</v>
      </c>
      <c r="P23" s="4">
        <f t="shared" si="2"/>
        <v>25253</v>
      </c>
      <c r="Q23" s="4">
        <f t="shared" si="3"/>
        <v>8054</v>
      </c>
      <c r="R23" s="129">
        <f t="shared" si="4"/>
        <v>-0.681067595929197</v>
      </c>
      <c r="S23" s="61">
        <v>10166</v>
      </c>
      <c r="T23" s="61"/>
      <c r="U23" s="129">
        <f t="shared" si="5"/>
        <v>-1</v>
      </c>
      <c r="V23" s="60">
        <f t="shared" si="6"/>
        <v>35419</v>
      </c>
      <c r="W23" s="60">
        <f t="shared" si="7"/>
        <v>8054</v>
      </c>
      <c r="X23" s="129">
        <f t="shared" si="8"/>
        <v>-0.77260792230159</v>
      </c>
      <c r="Y23" s="61">
        <v>9194</v>
      </c>
      <c r="Z23" s="61"/>
      <c r="AA23" s="129">
        <f t="shared" si="9"/>
        <v>-1</v>
      </c>
      <c r="AB23" s="61">
        <f t="shared" si="10"/>
        <v>44613</v>
      </c>
      <c r="AC23" s="61">
        <f t="shared" si="11"/>
        <v>8054</v>
      </c>
      <c r="AD23" s="129">
        <f t="shared" si="12"/>
        <v>-0.819469661309484</v>
      </c>
      <c r="AE23" s="132">
        <v>16472</v>
      </c>
      <c r="AF23" s="132"/>
      <c r="AG23" s="129">
        <f t="shared" si="13"/>
        <v>-1</v>
      </c>
      <c r="AH23" s="132">
        <f t="shared" si="14"/>
        <v>61085</v>
      </c>
      <c r="AI23" s="132">
        <f t="shared" si="15"/>
        <v>8054</v>
      </c>
      <c r="AJ23" s="129">
        <f t="shared" si="16"/>
        <v>-0.86815093721863</v>
      </c>
      <c r="AK23" s="133">
        <v>23766</v>
      </c>
      <c r="AL23" s="133"/>
      <c r="AM23" s="129">
        <f t="shared" si="17"/>
        <v>-1</v>
      </c>
      <c r="AN23" s="134">
        <f t="shared" si="18"/>
        <v>84851</v>
      </c>
      <c r="AO23" s="134">
        <f t="shared" si="19"/>
        <v>8054</v>
      </c>
      <c r="AP23" s="129">
        <f t="shared" si="20"/>
        <v>-0.905080670822972</v>
      </c>
      <c r="AQ23" s="42">
        <v>19411</v>
      </c>
      <c r="AR23" s="42">
        <v>4303</v>
      </c>
      <c r="AS23" s="129">
        <f t="shared" si="21"/>
        <v>-0.778321570243676</v>
      </c>
      <c r="AT23" s="42">
        <f t="shared" si="22"/>
        <v>104262</v>
      </c>
      <c r="AU23" s="42">
        <f t="shared" si="23"/>
        <v>12357</v>
      </c>
      <c r="AV23" s="129">
        <f t="shared" si="24"/>
        <v>-0.881481268343212</v>
      </c>
      <c r="AW23" s="42"/>
      <c r="AX23" s="42"/>
      <c r="AY23" s="129" t="e">
        <f t="shared" si="25"/>
        <v>#DIV/0!</v>
      </c>
      <c r="AZ23" s="42">
        <f t="shared" si="26"/>
        <v>104262</v>
      </c>
      <c r="BA23" s="42">
        <f t="shared" si="27"/>
        <v>12357</v>
      </c>
      <c r="BB23" s="129">
        <f t="shared" si="28"/>
        <v>-0.881481268343212</v>
      </c>
      <c r="BC23" s="134">
        <v>2358</v>
      </c>
      <c r="BD23" s="61">
        <v>4176</v>
      </c>
      <c r="BE23" s="48">
        <v>17786</v>
      </c>
      <c r="BF23" s="132">
        <v>1859</v>
      </c>
      <c r="BG23" s="42">
        <v>130441</v>
      </c>
      <c r="BH23" s="49">
        <f t="shared" si="29"/>
        <v>0.04119</v>
      </c>
      <c r="BI23" s="112"/>
    </row>
    <row r="24" s="40" customFormat="1" ht="14.25" customHeight="1" spans="1:61">
      <c r="A24" s="68" t="s">
        <v>28</v>
      </c>
      <c r="B24" s="114" t="s">
        <v>28</v>
      </c>
      <c r="C24" s="124" t="s">
        <v>397</v>
      </c>
      <c r="D24" s="116" t="s">
        <v>60</v>
      </c>
      <c r="E24" s="116" t="s">
        <v>60</v>
      </c>
      <c r="F24" s="116" t="s">
        <v>371</v>
      </c>
      <c r="G24" s="116" t="s">
        <v>371</v>
      </c>
      <c r="H24" s="116" t="s">
        <v>372</v>
      </c>
      <c r="I24" s="116">
        <v>30</v>
      </c>
      <c r="J24" s="42">
        <v>44290</v>
      </c>
      <c r="K24" s="42"/>
      <c r="L24" s="129">
        <f t="shared" si="0"/>
        <v>-1</v>
      </c>
      <c r="M24" s="42"/>
      <c r="N24" s="42"/>
      <c r="O24" s="129" t="e">
        <f t="shared" si="1"/>
        <v>#DIV/0!</v>
      </c>
      <c r="P24" s="4">
        <f t="shared" si="2"/>
        <v>44290</v>
      </c>
      <c r="Q24" s="4">
        <f t="shared" si="3"/>
        <v>0</v>
      </c>
      <c r="R24" s="129">
        <f t="shared" si="4"/>
        <v>-1</v>
      </c>
      <c r="S24" s="61">
        <v>11484</v>
      </c>
      <c r="T24" s="61">
        <v>9000</v>
      </c>
      <c r="U24" s="129">
        <f t="shared" si="5"/>
        <v>-0.216300940438871</v>
      </c>
      <c r="V24" s="60">
        <f t="shared" si="6"/>
        <v>55774</v>
      </c>
      <c r="W24" s="60">
        <f t="shared" si="7"/>
        <v>9000</v>
      </c>
      <c r="X24" s="129">
        <f t="shared" si="8"/>
        <v>-0.838634489188511</v>
      </c>
      <c r="Y24" s="61">
        <v>3652</v>
      </c>
      <c r="Z24" s="61"/>
      <c r="AA24" s="129">
        <f t="shared" si="9"/>
        <v>-1</v>
      </c>
      <c r="AB24" s="61">
        <f t="shared" si="10"/>
        <v>59426</v>
      </c>
      <c r="AC24" s="61">
        <f t="shared" si="11"/>
        <v>9000</v>
      </c>
      <c r="AD24" s="129">
        <f t="shared" si="12"/>
        <v>-0.848551139231986</v>
      </c>
      <c r="AE24" s="132"/>
      <c r="AF24" s="132">
        <v>17704</v>
      </c>
      <c r="AG24" s="129" t="e">
        <f t="shared" si="13"/>
        <v>#DIV/0!</v>
      </c>
      <c r="AH24" s="132">
        <f t="shared" si="14"/>
        <v>59426</v>
      </c>
      <c r="AI24" s="132">
        <f t="shared" si="15"/>
        <v>26704</v>
      </c>
      <c r="AJ24" s="129">
        <f t="shared" si="16"/>
        <v>-0.550634402450106</v>
      </c>
      <c r="AK24" s="133">
        <v>6319</v>
      </c>
      <c r="AL24" s="133"/>
      <c r="AM24" s="129">
        <f t="shared" si="17"/>
        <v>-1</v>
      </c>
      <c r="AN24" s="134">
        <f t="shared" si="18"/>
        <v>65745</v>
      </c>
      <c r="AO24" s="134">
        <f t="shared" si="19"/>
        <v>26704</v>
      </c>
      <c r="AP24" s="129">
        <f t="shared" si="20"/>
        <v>-0.593824625446802</v>
      </c>
      <c r="AQ24" s="42"/>
      <c r="AR24" s="42"/>
      <c r="AS24" s="129" t="e">
        <f t="shared" si="21"/>
        <v>#DIV/0!</v>
      </c>
      <c r="AT24" s="42">
        <f t="shared" si="22"/>
        <v>65745</v>
      </c>
      <c r="AU24" s="42">
        <f t="shared" si="23"/>
        <v>26704</v>
      </c>
      <c r="AV24" s="129">
        <f t="shared" si="24"/>
        <v>-0.593824625446802</v>
      </c>
      <c r="AW24" s="42">
        <v>11439</v>
      </c>
      <c r="AX24" s="42">
        <v>5927</v>
      </c>
      <c r="AY24" s="129">
        <f t="shared" si="25"/>
        <v>-0.481860302473992</v>
      </c>
      <c r="AZ24" s="42">
        <f t="shared" si="26"/>
        <v>77184</v>
      </c>
      <c r="BA24" s="42">
        <f t="shared" si="27"/>
        <v>32631</v>
      </c>
      <c r="BB24" s="129">
        <f t="shared" si="28"/>
        <v>-0.577231032338309</v>
      </c>
      <c r="BC24" s="134">
        <v>20000</v>
      </c>
      <c r="BD24" s="61"/>
      <c r="BE24" s="48"/>
      <c r="BF24" s="132">
        <v>18807</v>
      </c>
      <c r="BG24" s="42">
        <v>115991</v>
      </c>
      <c r="BH24" s="49">
        <f t="shared" si="29"/>
        <v>0.10877</v>
      </c>
      <c r="BI24" s="112"/>
    </row>
    <row r="25" s="40" customFormat="1" ht="14.25" customHeight="1" spans="1:62">
      <c r="A25" s="68" t="s">
        <v>28</v>
      </c>
      <c r="B25" s="114" t="s">
        <v>28</v>
      </c>
      <c r="C25" s="124" t="s">
        <v>398</v>
      </c>
      <c r="D25" s="116" t="s">
        <v>64</v>
      </c>
      <c r="E25" s="116" t="s">
        <v>64</v>
      </c>
      <c r="F25" s="116" t="s">
        <v>366</v>
      </c>
      <c r="G25" s="116" t="s">
        <v>367</v>
      </c>
      <c r="H25" s="116" t="s">
        <v>378</v>
      </c>
      <c r="I25" s="116">
        <v>30</v>
      </c>
      <c r="J25" s="42">
        <v>13315</v>
      </c>
      <c r="K25" s="42">
        <v>8525</v>
      </c>
      <c r="L25" s="129">
        <f t="shared" si="0"/>
        <v>-0.359744648892227</v>
      </c>
      <c r="M25" s="42">
        <v>4203</v>
      </c>
      <c r="N25" s="42">
        <v>5014</v>
      </c>
      <c r="O25" s="129">
        <f t="shared" si="1"/>
        <v>0.192957411372829</v>
      </c>
      <c r="P25" s="4">
        <f t="shared" si="2"/>
        <v>17518</v>
      </c>
      <c r="Q25" s="4">
        <f t="shared" si="3"/>
        <v>13539</v>
      </c>
      <c r="R25" s="129">
        <f t="shared" si="4"/>
        <v>-0.227137801118849</v>
      </c>
      <c r="S25" s="61">
        <v>17227</v>
      </c>
      <c r="T25" s="61">
        <v>8116</v>
      </c>
      <c r="U25" s="129">
        <f t="shared" si="5"/>
        <v>-0.528879085157021</v>
      </c>
      <c r="V25" s="60">
        <f t="shared" si="6"/>
        <v>34745</v>
      </c>
      <c r="W25" s="60">
        <f t="shared" si="7"/>
        <v>21655</v>
      </c>
      <c r="X25" s="129">
        <f t="shared" si="8"/>
        <v>-0.376744855374874</v>
      </c>
      <c r="Y25" s="61">
        <v>5384</v>
      </c>
      <c r="Z25" s="61">
        <v>13951</v>
      </c>
      <c r="AA25" s="129">
        <f t="shared" si="9"/>
        <v>1.59119613670134</v>
      </c>
      <c r="AB25" s="61">
        <f t="shared" si="10"/>
        <v>40129</v>
      </c>
      <c r="AC25" s="61">
        <f t="shared" si="11"/>
        <v>35606</v>
      </c>
      <c r="AD25" s="129">
        <f t="shared" si="12"/>
        <v>-0.112711505395101</v>
      </c>
      <c r="AE25" s="132">
        <v>29220</v>
      </c>
      <c r="AF25" s="132">
        <f>20450+33725</f>
        <v>54175</v>
      </c>
      <c r="AG25" s="129">
        <f t="shared" si="13"/>
        <v>0.85403832991102</v>
      </c>
      <c r="AH25" s="132">
        <f t="shared" si="14"/>
        <v>69349</v>
      </c>
      <c r="AI25" s="132">
        <f t="shared" si="15"/>
        <v>89781</v>
      </c>
      <c r="AJ25" s="129">
        <f t="shared" si="16"/>
        <v>0.294625733608271</v>
      </c>
      <c r="AK25" s="133">
        <v>18804</v>
      </c>
      <c r="AL25" s="133">
        <v>42855</v>
      </c>
      <c r="AM25" s="129">
        <f t="shared" si="17"/>
        <v>1.27903637523931</v>
      </c>
      <c r="AN25" s="134">
        <f t="shared" si="18"/>
        <v>88153</v>
      </c>
      <c r="AO25" s="134">
        <f t="shared" si="19"/>
        <v>132636</v>
      </c>
      <c r="AP25" s="129">
        <f t="shared" si="20"/>
        <v>0.504611300806552</v>
      </c>
      <c r="AQ25" s="42">
        <v>12513</v>
      </c>
      <c r="AR25" s="42">
        <v>38045</v>
      </c>
      <c r="AS25" s="129">
        <f t="shared" si="21"/>
        <v>2.04043794453768</v>
      </c>
      <c r="AT25" s="42">
        <f t="shared" si="22"/>
        <v>100666</v>
      </c>
      <c r="AU25" s="42">
        <f t="shared" si="23"/>
        <v>170681</v>
      </c>
      <c r="AV25" s="129">
        <f t="shared" si="24"/>
        <v>0.695517851111597</v>
      </c>
      <c r="AW25" s="42">
        <v>7756</v>
      </c>
      <c r="AX25" s="42">
        <v>30459</v>
      </c>
      <c r="AY25" s="129">
        <f t="shared" si="25"/>
        <v>2.92715317173801</v>
      </c>
      <c r="AZ25" s="42">
        <f t="shared" si="26"/>
        <v>108422</v>
      </c>
      <c r="BA25" s="42">
        <f t="shared" si="27"/>
        <v>201140</v>
      </c>
      <c r="BB25" s="129">
        <f t="shared" si="28"/>
        <v>0.855158547158326</v>
      </c>
      <c r="BC25" s="134">
        <v>41531</v>
      </c>
      <c r="BD25" s="61"/>
      <c r="BE25" s="48">
        <v>5651</v>
      </c>
      <c r="BF25" s="132">
        <v>56416</v>
      </c>
      <c r="BG25" s="42">
        <v>212020</v>
      </c>
      <c r="BH25" s="49">
        <f t="shared" si="29"/>
        <v>0.670466666666667</v>
      </c>
      <c r="BI25" s="112">
        <v>11238</v>
      </c>
      <c r="BJ25" s="40">
        <v>33725</v>
      </c>
    </row>
    <row r="26" s="40" customFormat="1" ht="14.25" customHeight="1" spans="1:61">
      <c r="A26" s="68" t="s">
        <v>28</v>
      </c>
      <c r="B26" s="114" t="s">
        <v>28</v>
      </c>
      <c r="C26" s="124" t="s">
        <v>399</v>
      </c>
      <c r="D26" s="116" t="s">
        <v>101</v>
      </c>
      <c r="E26" s="116" t="s">
        <v>101</v>
      </c>
      <c r="F26" s="116" t="s">
        <v>400</v>
      </c>
      <c r="G26" s="116" t="s">
        <v>400</v>
      </c>
      <c r="H26" s="116" t="s">
        <v>368</v>
      </c>
      <c r="I26" s="116">
        <v>120</v>
      </c>
      <c r="J26" s="42">
        <v>41589</v>
      </c>
      <c r="K26" s="42"/>
      <c r="L26" s="129">
        <f t="shared" si="0"/>
        <v>-1</v>
      </c>
      <c r="M26" s="42"/>
      <c r="N26" s="42"/>
      <c r="O26" s="129" t="e">
        <f t="shared" si="1"/>
        <v>#DIV/0!</v>
      </c>
      <c r="P26" s="4">
        <f t="shared" si="2"/>
        <v>41589</v>
      </c>
      <c r="Q26" s="4">
        <f t="shared" si="3"/>
        <v>0</v>
      </c>
      <c r="R26" s="129">
        <f t="shared" si="4"/>
        <v>-1</v>
      </c>
      <c r="S26" s="61"/>
      <c r="T26" s="61"/>
      <c r="U26" s="129" t="e">
        <f t="shared" si="5"/>
        <v>#DIV/0!</v>
      </c>
      <c r="V26" s="60">
        <f t="shared" si="6"/>
        <v>41589</v>
      </c>
      <c r="W26" s="60">
        <f t="shared" si="7"/>
        <v>0</v>
      </c>
      <c r="X26" s="129">
        <f t="shared" si="8"/>
        <v>-1</v>
      </c>
      <c r="Y26" s="61"/>
      <c r="Z26" s="61"/>
      <c r="AA26" s="129" t="e">
        <f t="shared" si="9"/>
        <v>#DIV/0!</v>
      </c>
      <c r="AB26" s="61">
        <f t="shared" si="10"/>
        <v>41589</v>
      </c>
      <c r="AC26" s="61">
        <f t="shared" si="11"/>
        <v>0</v>
      </c>
      <c r="AD26" s="129">
        <f t="shared" si="12"/>
        <v>-1</v>
      </c>
      <c r="AE26" s="132"/>
      <c r="AF26" s="132"/>
      <c r="AG26" s="129" t="e">
        <f t="shared" si="13"/>
        <v>#DIV/0!</v>
      </c>
      <c r="AH26" s="132">
        <f t="shared" si="14"/>
        <v>41589</v>
      </c>
      <c r="AI26" s="132">
        <f t="shared" si="15"/>
        <v>0</v>
      </c>
      <c r="AJ26" s="129">
        <f t="shared" si="16"/>
        <v>-1</v>
      </c>
      <c r="AK26" s="133"/>
      <c r="AL26" s="133"/>
      <c r="AM26" s="129" t="e">
        <f t="shared" si="17"/>
        <v>#DIV/0!</v>
      </c>
      <c r="AN26" s="134">
        <f t="shared" si="18"/>
        <v>41589</v>
      </c>
      <c r="AO26" s="134">
        <f t="shared" si="19"/>
        <v>0</v>
      </c>
      <c r="AP26" s="129">
        <f t="shared" si="20"/>
        <v>-1</v>
      </c>
      <c r="AQ26" s="42"/>
      <c r="AR26" s="42"/>
      <c r="AS26" s="129" t="e">
        <f t="shared" si="21"/>
        <v>#DIV/0!</v>
      </c>
      <c r="AT26" s="42">
        <f t="shared" si="22"/>
        <v>41589</v>
      </c>
      <c r="AU26" s="42">
        <f t="shared" si="23"/>
        <v>0</v>
      </c>
      <c r="AV26" s="129">
        <f t="shared" si="24"/>
        <v>-1</v>
      </c>
      <c r="AW26" s="42"/>
      <c r="AX26" s="42">
        <v>21000</v>
      </c>
      <c r="AY26" s="129" t="e">
        <f t="shared" si="25"/>
        <v>#DIV/0!</v>
      </c>
      <c r="AZ26" s="42">
        <f t="shared" si="26"/>
        <v>41589</v>
      </c>
      <c r="BA26" s="42">
        <f t="shared" si="27"/>
        <v>21000</v>
      </c>
      <c r="BB26" s="129">
        <f t="shared" si="28"/>
        <v>-0.495058789583784</v>
      </c>
      <c r="BC26" s="134">
        <v>17800</v>
      </c>
      <c r="BD26" s="61"/>
      <c r="BE26" s="48"/>
      <c r="BF26" s="132"/>
      <c r="BG26" s="42">
        <v>59389</v>
      </c>
      <c r="BH26" s="49">
        <f t="shared" si="29"/>
        <v>0.0175</v>
      </c>
      <c r="BI26" s="112"/>
    </row>
    <row r="27" s="40" customFormat="1" ht="14.25" customHeight="1" spans="1:61">
      <c r="A27" s="68" t="s">
        <v>28</v>
      </c>
      <c r="B27" s="114" t="s">
        <v>28</v>
      </c>
      <c r="C27" s="124" t="s">
        <v>401</v>
      </c>
      <c r="D27" s="116" t="s">
        <v>101</v>
      </c>
      <c r="E27" s="116" t="s">
        <v>101</v>
      </c>
      <c r="F27" s="116" t="s">
        <v>400</v>
      </c>
      <c r="G27" s="116" t="s">
        <v>400</v>
      </c>
      <c r="H27" s="116" t="s">
        <v>368</v>
      </c>
      <c r="I27" s="116">
        <v>0</v>
      </c>
      <c r="J27" s="42">
        <v>28962</v>
      </c>
      <c r="K27" s="42">
        <v>19172</v>
      </c>
      <c r="L27" s="129">
        <f t="shared" si="0"/>
        <v>-0.338029141633865</v>
      </c>
      <c r="M27" s="42">
        <v>790</v>
      </c>
      <c r="N27" s="42"/>
      <c r="O27" s="129">
        <f t="shared" si="1"/>
        <v>-1</v>
      </c>
      <c r="P27" s="4">
        <f t="shared" si="2"/>
        <v>29752</v>
      </c>
      <c r="Q27" s="4">
        <f t="shared" si="3"/>
        <v>19172</v>
      </c>
      <c r="R27" s="129">
        <f t="shared" si="4"/>
        <v>-0.35560634579188</v>
      </c>
      <c r="S27" s="61">
        <v>5710</v>
      </c>
      <c r="T27" s="61"/>
      <c r="U27" s="129">
        <f t="shared" si="5"/>
        <v>-1</v>
      </c>
      <c r="V27" s="60">
        <f t="shared" si="6"/>
        <v>35462</v>
      </c>
      <c r="W27" s="60">
        <f t="shared" si="7"/>
        <v>19172</v>
      </c>
      <c r="X27" s="129">
        <f t="shared" si="8"/>
        <v>-0.459364954035305</v>
      </c>
      <c r="Y27" s="61"/>
      <c r="Z27" s="61">
        <v>5160</v>
      </c>
      <c r="AA27" s="129" t="e">
        <f t="shared" si="9"/>
        <v>#DIV/0!</v>
      </c>
      <c r="AB27" s="61">
        <f t="shared" si="10"/>
        <v>35462</v>
      </c>
      <c r="AC27" s="61">
        <f t="shared" si="11"/>
        <v>24332</v>
      </c>
      <c r="AD27" s="129">
        <f t="shared" si="12"/>
        <v>-0.313857086458745</v>
      </c>
      <c r="AE27" s="132"/>
      <c r="AF27" s="132"/>
      <c r="AG27" s="129" t="e">
        <f t="shared" si="13"/>
        <v>#DIV/0!</v>
      </c>
      <c r="AH27" s="132">
        <f t="shared" si="14"/>
        <v>35462</v>
      </c>
      <c r="AI27" s="132">
        <f t="shared" si="15"/>
        <v>24332</v>
      </c>
      <c r="AJ27" s="129">
        <f t="shared" si="16"/>
        <v>-0.313857086458745</v>
      </c>
      <c r="AK27" s="133">
        <v>3173</v>
      </c>
      <c r="AL27" s="133">
        <v>10808</v>
      </c>
      <c r="AM27" s="129">
        <f t="shared" si="17"/>
        <v>2.40624015127639</v>
      </c>
      <c r="AN27" s="134">
        <f t="shared" si="18"/>
        <v>38635</v>
      </c>
      <c r="AO27" s="134">
        <f t="shared" si="19"/>
        <v>35140</v>
      </c>
      <c r="AP27" s="129">
        <f t="shared" si="20"/>
        <v>-0.0904620163064579</v>
      </c>
      <c r="AQ27" s="42">
        <v>3611</v>
      </c>
      <c r="AR27" s="42">
        <v>6500</v>
      </c>
      <c r="AS27" s="129">
        <f t="shared" si="21"/>
        <v>0.800055386319579</v>
      </c>
      <c r="AT27" s="42">
        <f t="shared" si="22"/>
        <v>42246</v>
      </c>
      <c r="AU27" s="42">
        <f t="shared" si="23"/>
        <v>41640</v>
      </c>
      <c r="AV27" s="129">
        <f t="shared" si="24"/>
        <v>-0.0143445533304928</v>
      </c>
      <c r="AW27" s="42"/>
      <c r="AX27" s="42"/>
      <c r="AY27" s="129" t="e">
        <f t="shared" si="25"/>
        <v>#DIV/0!</v>
      </c>
      <c r="AZ27" s="42">
        <f t="shared" si="26"/>
        <v>42246</v>
      </c>
      <c r="BA27" s="42">
        <f t="shared" si="27"/>
        <v>41640</v>
      </c>
      <c r="BB27" s="129">
        <f t="shared" si="28"/>
        <v>-0.0143445533304928</v>
      </c>
      <c r="BC27" s="134">
        <v>5946</v>
      </c>
      <c r="BD27" s="61">
        <v>13781</v>
      </c>
      <c r="BE27" s="48">
        <v>7931</v>
      </c>
      <c r="BF27" s="132"/>
      <c r="BG27" s="42">
        <v>69904</v>
      </c>
      <c r="BH27" s="49" t="e">
        <f t="shared" si="29"/>
        <v>#DIV/0!</v>
      </c>
      <c r="BI27" s="112"/>
    </row>
    <row r="28" s="40" customFormat="1" ht="14.25" customHeight="1" spans="1:61">
      <c r="A28" s="68" t="s">
        <v>28</v>
      </c>
      <c r="B28" s="114" t="s">
        <v>28</v>
      </c>
      <c r="C28" s="124" t="s">
        <v>402</v>
      </c>
      <c r="D28" s="116" t="s">
        <v>101</v>
      </c>
      <c r="E28" s="116" t="s">
        <v>101</v>
      </c>
      <c r="F28" s="116" t="s">
        <v>366</v>
      </c>
      <c r="G28" s="116" t="s">
        <v>381</v>
      </c>
      <c r="H28" s="116" t="s">
        <v>378</v>
      </c>
      <c r="I28" s="116"/>
      <c r="J28" s="42">
        <v>5339</v>
      </c>
      <c r="K28" s="42">
        <v>35308</v>
      </c>
      <c r="L28" s="129">
        <f t="shared" si="0"/>
        <v>5.61322345008429</v>
      </c>
      <c r="M28" s="42">
        <v>10724</v>
      </c>
      <c r="N28" s="42"/>
      <c r="O28" s="129">
        <f t="shared" si="1"/>
        <v>-1</v>
      </c>
      <c r="P28" s="4">
        <f t="shared" si="2"/>
        <v>16063</v>
      </c>
      <c r="Q28" s="4">
        <f t="shared" si="3"/>
        <v>35308</v>
      </c>
      <c r="R28" s="129">
        <f t="shared" si="4"/>
        <v>1.19809500093382</v>
      </c>
      <c r="S28" s="61"/>
      <c r="T28" s="61"/>
      <c r="U28" s="129" t="e">
        <f t="shared" si="5"/>
        <v>#DIV/0!</v>
      </c>
      <c r="V28" s="60">
        <f t="shared" si="6"/>
        <v>16063</v>
      </c>
      <c r="W28" s="60">
        <f t="shared" si="7"/>
        <v>35308</v>
      </c>
      <c r="X28" s="129">
        <f t="shared" si="8"/>
        <v>1.19809500093382</v>
      </c>
      <c r="Y28" s="61">
        <v>1207</v>
      </c>
      <c r="Z28" s="61"/>
      <c r="AA28" s="129">
        <f t="shared" si="9"/>
        <v>-1</v>
      </c>
      <c r="AB28" s="61">
        <f t="shared" si="10"/>
        <v>17270</v>
      </c>
      <c r="AC28" s="61">
        <f t="shared" si="11"/>
        <v>35308</v>
      </c>
      <c r="AD28" s="129">
        <f t="shared" si="12"/>
        <v>1.04447017950203</v>
      </c>
      <c r="AE28" s="132">
        <v>24500</v>
      </c>
      <c r="AF28" s="132"/>
      <c r="AG28" s="129">
        <f t="shared" si="13"/>
        <v>-1</v>
      </c>
      <c r="AH28" s="132">
        <f t="shared" si="14"/>
        <v>41770</v>
      </c>
      <c r="AI28" s="132">
        <f t="shared" si="15"/>
        <v>35308</v>
      </c>
      <c r="AJ28" s="129">
        <f t="shared" si="16"/>
        <v>-0.154704333253531</v>
      </c>
      <c r="AK28" s="133">
        <v>1692</v>
      </c>
      <c r="AL28" s="133"/>
      <c r="AM28" s="129">
        <f t="shared" si="17"/>
        <v>-1</v>
      </c>
      <c r="AN28" s="134">
        <f t="shared" si="18"/>
        <v>43462</v>
      </c>
      <c r="AO28" s="134">
        <f t="shared" si="19"/>
        <v>35308</v>
      </c>
      <c r="AP28" s="129">
        <f t="shared" si="20"/>
        <v>-0.187612166950439</v>
      </c>
      <c r="AQ28" s="42"/>
      <c r="AR28" s="42">
        <v>3173</v>
      </c>
      <c r="AS28" s="129" t="e">
        <f t="shared" si="21"/>
        <v>#DIV/0!</v>
      </c>
      <c r="AT28" s="42">
        <f t="shared" si="22"/>
        <v>43462</v>
      </c>
      <c r="AU28" s="42">
        <f t="shared" si="23"/>
        <v>38481</v>
      </c>
      <c r="AV28" s="129">
        <f t="shared" si="24"/>
        <v>-0.11460586259261</v>
      </c>
      <c r="AW28" s="42"/>
      <c r="AX28" s="42"/>
      <c r="AY28" s="129" t="e">
        <f t="shared" si="25"/>
        <v>#DIV/0!</v>
      </c>
      <c r="AZ28" s="42">
        <f t="shared" si="26"/>
        <v>43462</v>
      </c>
      <c r="BA28" s="42">
        <f t="shared" si="27"/>
        <v>38481</v>
      </c>
      <c r="BB28" s="129">
        <f t="shared" si="28"/>
        <v>-0.11460586259261</v>
      </c>
      <c r="BC28" s="134"/>
      <c r="BD28" s="61"/>
      <c r="BE28" s="48"/>
      <c r="BF28" s="132"/>
      <c r="BG28" s="42">
        <v>43462</v>
      </c>
      <c r="BH28" s="49" t="e">
        <f t="shared" si="29"/>
        <v>#DIV/0!</v>
      </c>
      <c r="BI28" s="112"/>
    </row>
    <row r="29" s="40" customFormat="1" ht="14.25" customHeight="1" spans="1:61">
      <c r="A29" s="68" t="s">
        <v>28</v>
      </c>
      <c r="B29" s="114" t="s">
        <v>28</v>
      </c>
      <c r="C29" s="124" t="s">
        <v>403</v>
      </c>
      <c r="D29" s="116" t="s">
        <v>60</v>
      </c>
      <c r="E29" s="116" t="s">
        <v>60</v>
      </c>
      <c r="F29" s="116" t="s">
        <v>366</v>
      </c>
      <c r="G29" s="116" t="s">
        <v>367</v>
      </c>
      <c r="H29" s="116" t="s">
        <v>368</v>
      </c>
      <c r="I29" s="116">
        <v>30</v>
      </c>
      <c r="J29" s="42"/>
      <c r="K29" s="42">
        <v>13405</v>
      </c>
      <c r="L29" s="129" t="e">
        <f t="shared" si="0"/>
        <v>#DIV/0!</v>
      </c>
      <c r="M29" s="42"/>
      <c r="N29" s="42">
        <v>10992</v>
      </c>
      <c r="O29" s="129" t="e">
        <f t="shared" si="1"/>
        <v>#DIV/0!</v>
      </c>
      <c r="P29" s="4">
        <f t="shared" si="2"/>
        <v>0</v>
      </c>
      <c r="Q29" s="4">
        <f t="shared" si="3"/>
        <v>24397</v>
      </c>
      <c r="R29" s="129" t="e">
        <f t="shared" si="4"/>
        <v>#DIV/0!</v>
      </c>
      <c r="S29" s="61"/>
      <c r="T29" s="61">
        <v>3990</v>
      </c>
      <c r="U29" s="129" t="e">
        <f t="shared" si="5"/>
        <v>#DIV/0!</v>
      </c>
      <c r="V29" s="60">
        <f t="shared" si="6"/>
        <v>0</v>
      </c>
      <c r="W29" s="60">
        <f t="shared" si="7"/>
        <v>28387</v>
      </c>
      <c r="X29" s="129" t="e">
        <f t="shared" si="8"/>
        <v>#DIV/0!</v>
      </c>
      <c r="Y29" s="61">
        <v>10134</v>
      </c>
      <c r="Z29" s="61">
        <v>25320</v>
      </c>
      <c r="AA29" s="129">
        <f t="shared" si="9"/>
        <v>1.49851983422143</v>
      </c>
      <c r="AB29" s="61">
        <f t="shared" si="10"/>
        <v>10134</v>
      </c>
      <c r="AC29" s="61">
        <f t="shared" si="11"/>
        <v>53707</v>
      </c>
      <c r="AD29" s="129">
        <f t="shared" si="12"/>
        <v>4.29968423130057</v>
      </c>
      <c r="AE29" s="132">
        <v>6473</v>
      </c>
      <c r="AF29" s="132">
        <v>4206</v>
      </c>
      <c r="AG29" s="129">
        <f t="shared" si="13"/>
        <v>-0.350224007415418</v>
      </c>
      <c r="AH29" s="132">
        <f t="shared" si="14"/>
        <v>16607</v>
      </c>
      <c r="AI29" s="132">
        <f t="shared" si="15"/>
        <v>57913</v>
      </c>
      <c r="AJ29" s="129">
        <f t="shared" si="16"/>
        <v>2.48726440657554</v>
      </c>
      <c r="AK29" s="133">
        <v>6644</v>
      </c>
      <c r="AL29" s="133">
        <v>11402</v>
      </c>
      <c r="AM29" s="129">
        <f t="shared" si="17"/>
        <v>0.716134858518964</v>
      </c>
      <c r="AN29" s="134">
        <f t="shared" si="18"/>
        <v>23251</v>
      </c>
      <c r="AO29" s="134">
        <f t="shared" si="19"/>
        <v>69315</v>
      </c>
      <c r="AP29" s="129">
        <f t="shared" si="20"/>
        <v>1.98116210055482</v>
      </c>
      <c r="AQ29" s="42"/>
      <c r="AR29" s="42"/>
      <c r="AS29" s="129" t="e">
        <f t="shared" si="21"/>
        <v>#DIV/0!</v>
      </c>
      <c r="AT29" s="42">
        <f t="shared" si="22"/>
        <v>23251</v>
      </c>
      <c r="AU29" s="42">
        <f t="shared" si="23"/>
        <v>69315</v>
      </c>
      <c r="AV29" s="129">
        <f t="shared" si="24"/>
        <v>1.98116210055482</v>
      </c>
      <c r="AW29" s="42"/>
      <c r="AX29" s="42"/>
      <c r="AY29" s="129" t="e">
        <f t="shared" si="25"/>
        <v>#DIV/0!</v>
      </c>
      <c r="AZ29" s="42">
        <f t="shared" si="26"/>
        <v>23251</v>
      </c>
      <c r="BA29" s="42">
        <f t="shared" si="27"/>
        <v>69315</v>
      </c>
      <c r="BB29" s="129">
        <f t="shared" si="28"/>
        <v>1.98116210055482</v>
      </c>
      <c r="BC29" s="134">
        <v>15033</v>
      </c>
      <c r="BD29" s="61"/>
      <c r="BE29" s="48">
        <v>1580</v>
      </c>
      <c r="BF29" s="132">
        <v>15123</v>
      </c>
      <c r="BG29" s="42">
        <v>54987</v>
      </c>
      <c r="BH29" s="49">
        <f t="shared" si="29"/>
        <v>0.23105</v>
      </c>
      <c r="BI29" s="112"/>
    </row>
    <row r="30" s="40" customFormat="1" ht="14.25" customHeight="1" spans="1:61">
      <c r="A30" s="68" t="s">
        <v>28</v>
      </c>
      <c r="B30" s="114" t="s">
        <v>28</v>
      </c>
      <c r="C30" s="124" t="s">
        <v>404</v>
      </c>
      <c r="D30" s="116" t="s">
        <v>113</v>
      </c>
      <c r="E30" s="116" t="s">
        <v>113</v>
      </c>
      <c r="F30" s="116" t="s">
        <v>366</v>
      </c>
      <c r="G30" s="116" t="s">
        <v>381</v>
      </c>
      <c r="H30" s="116" t="s">
        <v>368</v>
      </c>
      <c r="I30" s="116"/>
      <c r="J30" s="42">
        <v>42263</v>
      </c>
      <c r="K30" s="42"/>
      <c r="L30" s="129">
        <f t="shared" si="0"/>
        <v>-1</v>
      </c>
      <c r="M30" s="42">
        <v>1790</v>
      </c>
      <c r="N30" s="42"/>
      <c r="O30" s="129">
        <f t="shared" si="1"/>
        <v>-1</v>
      </c>
      <c r="P30" s="4">
        <f t="shared" si="2"/>
        <v>44053</v>
      </c>
      <c r="Q30" s="4">
        <f t="shared" si="3"/>
        <v>0</v>
      </c>
      <c r="R30" s="129">
        <f t="shared" si="4"/>
        <v>-1</v>
      </c>
      <c r="S30" s="61"/>
      <c r="T30" s="61"/>
      <c r="U30" s="129" t="e">
        <f t="shared" si="5"/>
        <v>#DIV/0!</v>
      </c>
      <c r="V30" s="60">
        <f t="shared" si="6"/>
        <v>44053</v>
      </c>
      <c r="W30" s="60">
        <f t="shared" si="7"/>
        <v>0</v>
      </c>
      <c r="X30" s="129">
        <f t="shared" si="8"/>
        <v>-1</v>
      </c>
      <c r="Y30" s="61"/>
      <c r="Z30" s="61"/>
      <c r="AA30" s="129" t="e">
        <f t="shared" si="9"/>
        <v>#DIV/0!</v>
      </c>
      <c r="AB30" s="61">
        <f t="shared" si="10"/>
        <v>44053</v>
      </c>
      <c r="AC30" s="61">
        <f t="shared" si="11"/>
        <v>0</v>
      </c>
      <c r="AD30" s="129">
        <f t="shared" si="12"/>
        <v>-1</v>
      </c>
      <c r="AE30" s="132"/>
      <c r="AF30" s="132"/>
      <c r="AG30" s="129" t="e">
        <f t="shared" si="13"/>
        <v>#DIV/0!</v>
      </c>
      <c r="AH30" s="132">
        <f t="shared" si="14"/>
        <v>44053</v>
      </c>
      <c r="AI30" s="132">
        <f t="shared" si="15"/>
        <v>0</v>
      </c>
      <c r="AJ30" s="129">
        <f t="shared" si="16"/>
        <v>-1</v>
      </c>
      <c r="AK30" s="133"/>
      <c r="AL30" s="133"/>
      <c r="AM30" s="129" t="e">
        <f t="shared" si="17"/>
        <v>#DIV/0!</v>
      </c>
      <c r="AN30" s="134">
        <f t="shared" si="18"/>
        <v>44053</v>
      </c>
      <c r="AO30" s="134">
        <f t="shared" si="19"/>
        <v>0</v>
      </c>
      <c r="AP30" s="129">
        <f t="shared" si="20"/>
        <v>-1</v>
      </c>
      <c r="AQ30" s="42"/>
      <c r="AR30" s="42"/>
      <c r="AS30" s="129" t="e">
        <f t="shared" si="21"/>
        <v>#DIV/0!</v>
      </c>
      <c r="AT30" s="42">
        <f t="shared" si="22"/>
        <v>44053</v>
      </c>
      <c r="AU30" s="42">
        <f t="shared" si="23"/>
        <v>0</v>
      </c>
      <c r="AV30" s="129">
        <f t="shared" si="24"/>
        <v>-1</v>
      </c>
      <c r="AW30" s="42"/>
      <c r="AX30" s="42"/>
      <c r="AY30" s="129" t="e">
        <f t="shared" si="25"/>
        <v>#DIV/0!</v>
      </c>
      <c r="AZ30" s="42">
        <f t="shared" si="26"/>
        <v>44053</v>
      </c>
      <c r="BA30" s="42">
        <f t="shared" si="27"/>
        <v>0</v>
      </c>
      <c r="BB30" s="129">
        <f t="shared" si="28"/>
        <v>-1</v>
      </c>
      <c r="BC30" s="134"/>
      <c r="BD30" s="61"/>
      <c r="BE30" s="48"/>
      <c r="BF30" s="132"/>
      <c r="BG30" s="42">
        <v>44053</v>
      </c>
      <c r="BH30" s="49" t="e">
        <f t="shared" si="29"/>
        <v>#DIV/0!</v>
      </c>
      <c r="BI30" s="112"/>
    </row>
    <row r="31" s="40" customFormat="1" ht="14.25" customHeight="1" spans="1:61">
      <c r="A31" s="68" t="s">
        <v>28</v>
      </c>
      <c r="B31" s="114" t="s">
        <v>28</v>
      </c>
      <c r="C31" s="124" t="s">
        <v>405</v>
      </c>
      <c r="D31" s="116" t="s">
        <v>101</v>
      </c>
      <c r="E31" s="116" t="s">
        <v>101</v>
      </c>
      <c r="F31" s="116" t="s">
        <v>406</v>
      </c>
      <c r="G31" s="116" t="s">
        <v>406</v>
      </c>
      <c r="H31" s="116" t="s">
        <v>372</v>
      </c>
      <c r="I31" s="116">
        <v>30</v>
      </c>
      <c r="J31" s="42"/>
      <c r="K31" s="42"/>
      <c r="L31" s="129" t="e">
        <f t="shared" si="0"/>
        <v>#DIV/0!</v>
      </c>
      <c r="M31" s="42"/>
      <c r="N31" s="42"/>
      <c r="O31" s="129" t="e">
        <f t="shared" si="1"/>
        <v>#DIV/0!</v>
      </c>
      <c r="P31" s="4">
        <f t="shared" si="2"/>
        <v>0</v>
      </c>
      <c r="Q31" s="4">
        <f t="shared" si="3"/>
        <v>0</v>
      </c>
      <c r="R31" s="129" t="e">
        <f t="shared" si="4"/>
        <v>#DIV/0!</v>
      </c>
      <c r="S31" s="61"/>
      <c r="T31" s="61">
        <v>0</v>
      </c>
      <c r="U31" s="129" t="e">
        <f t="shared" si="5"/>
        <v>#DIV/0!</v>
      </c>
      <c r="V31" s="60">
        <f t="shared" si="6"/>
        <v>0</v>
      </c>
      <c r="W31" s="60">
        <f t="shared" si="7"/>
        <v>0</v>
      </c>
      <c r="X31" s="129" t="e">
        <f t="shared" si="8"/>
        <v>#DIV/0!</v>
      </c>
      <c r="Y31" s="61">
        <v>8400</v>
      </c>
      <c r="Z31" s="61"/>
      <c r="AA31" s="129">
        <f t="shared" si="9"/>
        <v>-1</v>
      </c>
      <c r="AB31" s="61">
        <f t="shared" si="10"/>
        <v>8400</v>
      </c>
      <c r="AC31" s="61">
        <f t="shared" si="11"/>
        <v>0</v>
      </c>
      <c r="AD31" s="129">
        <f t="shared" si="12"/>
        <v>-1</v>
      </c>
      <c r="AE31" s="132"/>
      <c r="AF31" s="132"/>
      <c r="AG31" s="129" t="e">
        <f t="shared" si="13"/>
        <v>#DIV/0!</v>
      </c>
      <c r="AH31" s="132">
        <f t="shared" si="14"/>
        <v>8400</v>
      </c>
      <c r="AI31" s="132">
        <f t="shared" si="15"/>
        <v>0</v>
      </c>
      <c r="AJ31" s="129">
        <f t="shared" si="16"/>
        <v>-1</v>
      </c>
      <c r="AK31" s="133"/>
      <c r="AL31" s="133"/>
      <c r="AM31" s="129" t="e">
        <f t="shared" si="17"/>
        <v>#DIV/0!</v>
      </c>
      <c r="AN31" s="134">
        <f t="shared" si="18"/>
        <v>8400</v>
      </c>
      <c r="AO31" s="134">
        <f t="shared" si="19"/>
        <v>0</v>
      </c>
      <c r="AP31" s="129">
        <f t="shared" si="20"/>
        <v>-1</v>
      </c>
      <c r="AQ31" s="42"/>
      <c r="AR31" s="42"/>
      <c r="AS31" s="129" t="e">
        <f t="shared" si="21"/>
        <v>#DIV/0!</v>
      </c>
      <c r="AT31" s="42">
        <f t="shared" si="22"/>
        <v>8400</v>
      </c>
      <c r="AU31" s="42">
        <f t="shared" si="23"/>
        <v>0</v>
      </c>
      <c r="AV31" s="129">
        <f t="shared" si="24"/>
        <v>-1</v>
      </c>
      <c r="AW31" s="42">
        <v>21616</v>
      </c>
      <c r="AX31" s="42"/>
      <c r="AY31" s="129">
        <f t="shared" si="25"/>
        <v>-1</v>
      </c>
      <c r="AZ31" s="42">
        <f t="shared" si="26"/>
        <v>30016</v>
      </c>
      <c r="BA31" s="42">
        <f t="shared" si="27"/>
        <v>0</v>
      </c>
      <c r="BB31" s="129">
        <f t="shared" si="28"/>
        <v>-1</v>
      </c>
      <c r="BC31" s="134"/>
      <c r="BD31" s="61">
        <v>6071</v>
      </c>
      <c r="BE31" s="48"/>
      <c r="BF31" s="132"/>
      <c r="BG31" s="42">
        <v>36087</v>
      </c>
      <c r="BH31" s="49">
        <f t="shared" si="29"/>
        <v>0</v>
      </c>
      <c r="BI31" s="112"/>
    </row>
    <row r="32" s="40" customFormat="1" ht="14.25" customHeight="1" spans="1:61">
      <c r="A32" s="68" t="s">
        <v>28</v>
      </c>
      <c r="B32" s="114" t="s">
        <v>28</v>
      </c>
      <c r="C32" s="124" t="s">
        <v>407</v>
      </c>
      <c r="D32" s="116" t="s">
        <v>60</v>
      </c>
      <c r="E32" s="116" t="s">
        <v>60</v>
      </c>
      <c r="F32" s="116" t="s">
        <v>366</v>
      </c>
      <c r="G32" s="116" t="s">
        <v>381</v>
      </c>
      <c r="H32" s="116" t="s">
        <v>378</v>
      </c>
      <c r="I32" s="116"/>
      <c r="J32" s="42"/>
      <c r="K32" s="42"/>
      <c r="L32" s="129" t="e">
        <f t="shared" si="0"/>
        <v>#DIV/0!</v>
      </c>
      <c r="M32" s="42"/>
      <c r="N32" s="42"/>
      <c r="O32" s="129" t="e">
        <f t="shared" si="1"/>
        <v>#DIV/0!</v>
      </c>
      <c r="P32" s="4">
        <f t="shared" si="2"/>
        <v>0</v>
      </c>
      <c r="Q32" s="4">
        <f t="shared" si="3"/>
        <v>0</v>
      </c>
      <c r="R32" s="129" t="e">
        <f t="shared" si="4"/>
        <v>#DIV/0!</v>
      </c>
      <c r="S32" s="61"/>
      <c r="T32" s="61"/>
      <c r="U32" s="129" t="e">
        <f t="shared" si="5"/>
        <v>#DIV/0!</v>
      </c>
      <c r="V32" s="60">
        <f t="shared" si="6"/>
        <v>0</v>
      </c>
      <c r="W32" s="60">
        <f t="shared" si="7"/>
        <v>0</v>
      </c>
      <c r="X32" s="129" t="e">
        <f t="shared" si="8"/>
        <v>#DIV/0!</v>
      </c>
      <c r="Y32" s="61">
        <v>107064</v>
      </c>
      <c r="Z32" s="61"/>
      <c r="AA32" s="129">
        <f t="shared" si="9"/>
        <v>-1</v>
      </c>
      <c r="AB32" s="61">
        <f t="shared" si="10"/>
        <v>107064</v>
      </c>
      <c r="AC32" s="61">
        <f t="shared" si="11"/>
        <v>0</v>
      </c>
      <c r="AD32" s="129">
        <f t="shared" si="12"/>
        <v>-1</v>
      </c>
      <c r="AE32" s="132"/>
      <c r="AF32" s="132"/>
      <c r="AG32" s="129" t="e">
        <f t="shared" si="13"/>
        <v>#DIV/0!</v>
      </c>
      <c r="AH32" s="132">
        <f t="shared" si="14"/>
        <v>107064</v>
      </c>
      <c r="AI32" s="132">
        <f t="shared" si="15"/>
        <v>0</v>
      </c>
      <c r="AJ32" s="129">
        <f t="shared" si="16"/>
        <v>-1</v>
      </c>
      <c r="AK32" s="133"/>
      <c r="AL32" s="133"/>
      <c r="AM32" s="129" t="e">
        <f t="shared" si="17"/>
        <v>#DIV/0!</v>
      </c>
      <c r="AN32" s="134">
        <f t="shared" si="18"/>
        <v>107064</v>
      </c>
      <c r="AO32" s="134">
        <f t="shared" si="19"/>
        <v>0</v>
      </c>
      <c r="AP32" s="129">
        <f t="shared" si="20"/>
        <v>-1</v>
      </c>
      <c r="AQ32" s="42"/>
      <c r="AR32" s="42"/>
      <c r="AS32" s="129" t="e">
        <f t="shared" si="21"/>
        <v>#DIV/0!</v>
      </c>
      <c r="AT32" s="42">
        <f t="shared" si="22"/>
        <v>107064</v>
      </c>
      <c r="AU32" s="42">
        <f t="shared" si="23"/>
        <v>0</v>
      </c>
      <c r="AV32" s="129">
        <f t="shared" si="24"/>
        <v>-1</v>
      </c>
      <c r="AW32" s="42"/>
      <c r="AX32" s="42"/>
      <c r="AY32" s="129" t="e">
        <f t="shared" si="25"/>
        <v>#DIV/0!</v>
      </c>
      <c r="AZ32" s="42">
        <f t="shared" si="26"/>
        <v>107064</v>
      </c>
      <c r="BA32" s="42">
        <f t="shared" si="27"/>
        <v>0</v>
      </c>
      <c r="BB32" s="129">
        <f t="shared" si="28"/>
        <v>-1</v>
      </c>
      <c r="BC32" s="134"/>
      <c r="BD32" s="61"/>
      <c r="BE32" s="48"/>
      <c r="BF32" s="132"/>
      <c r="BG32" s="42">
        <v>107064</v>
      </c>
      <c r="BH32" s="49" t="e">
        <f t="shared" si="29"/>
        <v>#DIV/0!</v>
      </c>
      <c r="BI32" s="112"/>
    </row>
    <row r="33" s="40" customFormat="1" ht="14.25" customHeight="1" spans="1:61">
      <c r="A33" s="68" t="s">
        <v>28</v>
      </c>
      <c r="B33" s="114" t="s">
        <v>28</v>
      </c>
      <c r="C33" s="124" t="s">
        <v>408</v>
      </c>
      <c r="D33" s="116" t="s">
        <v>113</v>
      </c>
      <c r="E33" s="116" t="s">
        <v>113</v>
      </c>
      <c r="F33" s="116" t="s">
        <v>366</v>
      </c>
      <c r="G33" s="116"/>
      <c r="H33" s="116" t="s">
        <v>368</v>
      </c>
      <c r="I33" s="116"/>
      <c r="J33" s="42"/>
      <c r="K33" s="42">
        <v>3080</v>
      </c>
      <c r="L33" s="129" t="e">
        <f t="shared" si="0"/>
        <v>#DIV/0!</v>
      </c>
      <c r="M33" s="42"/>
      <c r="N33" s="42">
        <v>456</v>
      </c>
      <c r="O33" s="129" t="e">
        <f t="shared" si="1"/>
        <v>#DIV/0!</v>
      </c>
      <c r="P33" s="4">
        <f t="shared" si="2"/>
        <v>0</v>
      </c>
      <c r="Q33" s="4">
        <f t="shared" si="3"/>
        <v>3536</v>
      </c>
      <c r="R33" s="129" t="e">
        <f t="shared" si="4"/>
        <v>#DIV/0!</v>
      </c>
      <c r="S33" s="61"/>
      <c r="T33" s="61"/>
      <c r="U33" s="129" t="e">
        <f t="shared" si="5"/>
        <v>#DIV/0!</v>
      </c>
      <c r="V33" s="60">
        <f t="shared" si="6"/>
        <v>0</v>
      </c>
      <c r="W33" s="60">
        <f t="shared" si="7"/>
        <v>3536</v>
      </c>
      <c r="X33" s="129" t="e">
        <f t="shared" si="8"/>
        <v>#DIV/0!</v>
      </c>
      <c r="Y33" s="61"/>
      <c r="Z33" s="61">
        <v>12921</v>
      </c>
      <c r="AA33" s="129" t="e">
        <f t="shared" si="9"/>
        <v>#DIV/0!</v>
      </c>
      <c r="AB33" s="61">
        <f t="shared" si="10"/>
        <v>0</v>
      </c>
      <c r="AC33" s="61">
        <f t="shared" si="11"/>
        <v>16457</v>
      </c>
      <c r="AD33" s="129" t="e">
        <f t="shared" si="12"/>
        <v>#DIV/0!</v>
      </c>
      <c r="AE33" s="132"/>
      <c r="AF33" s="132">
        <v>7300</v>
      </c>
      <c r="AG33" s="129" t="e">
        <f t="shared" si="13"/>
        <v>#DIV/0!</v>
      </c>
      <c r="AH33" s="132">
        <f t="shared" si="14"/>
        <v>0</v>
      </c>
      <c r="AI33" s="132">
        <f t="shared" si="15"/>
        <v>23757</v>
      </c>
      <c r="AJ33" s="129" t="e">
        <f t="shared" si="16"/>
        <v>#DIV/0!</v>
      </c>
      <c r="AK33" s="133"/>
      <c r="AL33" s="133">
        <v>8131.2</v>
      </c>
      <c r="AM33" s="129" t="e">
        <f t="shared" si="17"/>
        <v>#DIV/0!</v>
      </c>
      <c r="AN33" s="134">
        <f t="shared" si="18"/>
        <v>0</v>
      </c>
      <c r="AO33" s="134">
        <f t="shared" si="19"/>
        <v>31888.2</v>
      </c>
      <c r="AP33" s="129" t="e">
        <f t="shared" si="20"/>
        <v>#DIV/0!</v>
      </c>
      <c r="AQ33" s="42"/>
      <c r="AR33" s="42">
        <v>10884</v>
      </c>
      <c r="AS33" s="129" t="e">
        <f t="shared" si="21"/>
        <v>#DIV/0!</v>
      </c>
      <c r="AT33" s="42">
        <f t="shared" si="22"/>
        <v>0</v>
      </c>
      <c r="AU33" s="42">
        <f t="shared" si="23"/>
        <v>42772.2</v>
      </c>
      <c r="AV33" s="129" t="e">
        <f t="shared" si="24"/>
        <v>#DIV/0!</v>
      </c>
      <c r="AW33" s="42"/>
      <c r="AX33" s="42">
        <v>114</v>
      </c>
      <c r="AY33" s="129" t="e">
        <f t="shared" si="25"/>
        <v>#DIV/0!</v>
      </c>
      <c r="AZ33" s="42">
        <f t="shared" si="26"/>
        <v>0</v>
      </c>
      <c r="BA33" s="42">
        <f t="shared" si="27"/>
        <v>42886.2</v>
      </c>
      <c r="BB33" s="129" t="e">
        <f t="shared" si="28"/>
        <v>#DIV/0!</v>
      </c>
      <c r="BC33" s="134"/>
      <c r="BD33" s="61"/>
      <c r="BE33" s="48"/>
      <c r="BF33" s="132">
        <v>5748.4</v>
      </c>
      <c r="BG33" s="42">
        <v>5748.4</v>
      </c>
      <c r="BH33" s="49" t="e">
        <f t="shared" si="29"/>
        <v>#DIV/0!</v>
      </c>
      <c r="BI33" s="112"/>
    </row>
    <row r="34" ht="14.25" customHeight="1" spans="1:60">
      <c r="A34" s="68" t="s">
        <v>28</v>
      </c>
      <c r="B34" s="114">
        <v>42</v>
      </c>
      <c r="C34" s="123" t="s">
        <v>29</v>
      </c>
      <c r="D34" s="116"/>
      <c r="E34" s="116"/>
      <c r="F34" s="116">
        <v>0</v>
      </c>
      <c r="G34" s="126"/>
      <c r="H34" s="116"/>
      <c r="I34" s="130">
        <f>SUM(I3:I33)</f>
        <v>1140</v>
      </c>
      <c r="J34" s="48">
        <f t="shared" ref="J34:N34" si="30">SUM(J3:J33)</f>
        <v>987273</v>
      </c>
      <c r="K34" s="48">
        <f t="shared" si="30"/>
        <v>979673.76</v>
      </c>
      <c r="L34" s="129">
        <f t="shared" si="0"/>
        <v>-0.0076972022935905</v>
      </c>
      <c r="M34" s="48">
        <f t="shared" si="30"/>
        <v>496989.73</v>
      </c>
      <c r="N34" s="48">
        <f t="shared" si="30"/>
        <v>426348.02</v>
      </c>
      <c r="O34" s="129">
        <f t="shared" si="1"/>
        <v>-0.142139174586163</v>
      </c>
      <c r="P34" s="131">
        <f t="shared" ref="P34:T34" si="31">SUM(P3:P33)</f>
        <v>1484262.73</v>
      </c>
      <c r="Q34" s="131">
        <f t="shared" si="31"/>
        <v>1406021.78</v>
      </c>
      <c r="R34" s="129">
        <f t="shared" si="4"/>
        <v>-0.0527136796057665</v>
      </c>
      <c r="S34" s="131">
        <f t="shared" si="31"/>
        <v>704817.31</v>
      </c>
      <c r="T34" s="131">
        <f t="shared" si="31"/>
        <v>895972.45</v>
      </c>
      <c r="U34" s="129">
        <f t="shared" si="5"/>
        <v>0.271212323091214</v>
      </c>
      <c r="V34" s="131">
        <f t="shared" ref="V34:Z34" si="32">SUM(V3:V33)</f>
        <v>2189080.04</v>
      </c>
      <c r="W34" s="131">
        <f t="shared" si="32"/>
        <v>2301994.23</v>
      </c>
      <c r="X34" s="129">
        <f t="shared" si="8"/>
        <v>0.0515806585126051</v>
      </c>
      <c r="Y34" s="131">
        <f t="shared" si="32"/>
        <v>634914</v>
      </c>
      <c r="Z34" s="131">
        <f t="shared" si="32"/>
        <v>940883.01</v>
      </c>
      <c r="AA34" s="129">
        <f t="shared" si="9"/>
        <v>0.481906226670069</v>
      </c>
      <c r="AB34" s="131">
        <f t="shared" ref="AB34:AF34" si="33">SUM(AB3:AB33)</f>
        <v>2823994.04</v>
      </c>
      <c r="AC34" s="131">
        <f t="shared" si="33"/>
        <v>3242877.24</v>
      </c>
      <c r="AD34" s="129">
        <f t="shared" si="12"/>
        <v>0.148330058090349</v>
      </c>
      <c r="AE34" s="130">
        <f t="shared" si="33"/>
        <v>730473.41</v>
      </c>
      <c r="AF34" s="130">
        <f t="shared" si="33"/>
        <v>967383.15</v>
      </c>
      <c r="AG34" s="129">
        <f t="shared" si="13"/>
        <v>0.324323564358078</v>
      </c>
      <c r="AH34" s="130">
        <f t="shared" ref="AH34:AL34" si="34">SUM(AH3:AH33)</f>
        <v>3554467.45</v>
      </c>
      <c r="AI34" s="130">
        <f t="shared" si="34"/>
        <v>4210260.39</v>
      </c>
      <c r="AJ34" s="129">
        <f t="shared" si="16"/>
        <v>0.184498226309542</v>
      </c>
      <c r="AK34" s="135">
        <f t="shared" si="34"/>
        <v>396701.38</v>
      </c>
      <c r="AL34" s="135">
        <f t="shared" si="34"/>
        <v>995385.52</v>
      </c>
      <c r="AM34" s="129">
        <f t="shared" si="17"/>
        <v>1.50915567775439</v>
      </c>
      <c r="AN34" s="135">
        <f t="shared" ref="AN34:AR34" si="35">SUM(AN3:AN33)</f>
        <v>3951168.83</v>
      </c>
      <c r="AO34" s="135">
        <f t="shared" si="35"/>
        <v>5205645.91</v>
      </c>
      <c r="AP34" s="129">
        <f t="shared" si="20"/>
        <v>0.317495185342409</v>
      </c>
      <c r="AQ34" s="135">
        <f t="shared" si="35"/>
        <v>528805.98</v>
      </c>
      <c r="AR34" s="135">
        <f t="shared" si="35"/>
        <v>665570.61</v>
      </c>
      <c r="AS34" s="129">
        <f t="shared" si="21"/>
        <v>0.258629128967112</v>
      </c>
      <c r="AT34" s="136">
        <f t="shared" ref="AT34:AX34" si="36">SUM(AT3:AT33)</f>
        <v>4479974.81</v>
      </c>
      <c r="AU34" s="136">
        <f t="shared" si="36"/>
        <v>5871216.52</v>
      </c>
      <c r="AV34" s="129">
        <f t="shared" si="24"/>
        <v>0.310546770685971</v>
      </c>
      <c r="AW34" s="136">
        <f t="shared" si="36"/>
        <v>747759.2</v>
      </c>
      <c r="AX34" s="136">
        <f t="shared" si="36"/>
        <v>600199.76</v>
      </c>
      <c r="AY34" s="129">
        <f t="shared" si="25"/>
        <v>-0.197335505868734</v>
      </c>
      <c r="AZ34" s="136">
        <f>SUM(AZ3:AZ33)</f>
        <v>5227734.01</v>
      </c>
      <c r="BA34" s="136">
        <f>SUM(BA3:BA33)</f>
        <v>6471416.28</v>
      </c>
      <c r="BB34" s="129">
        <f t="shared" si="28"/>
        <v>0.237900831913213</v>
      </c>
      <c r="BC34" s="138">
        <v>1304515.76</v>
      </c>
      <c r="BD34" s="138">
        <v>768318.57</v>
      </c>
      <c r="BE34" s="138">
        <v>1557250.42</v>
      </c>
      <c r="BF34" s="138">
        <v>1738010.44</v>
      </c>
      <c r="BG34" s="139">
        <v>10595829.2</v>
      </c>
      <c r="BH34" s="49">
        <f t="shared" si="29"/>
        <v>0.567668094736842</v>
      </c>
    </row>
  </sheetData>
  <mergeCells count="39">
    <mergeCell ref="J1:K1"/>
    <mergeCell ref="M1:N1"/>
    <mergeCell ref="P1:Q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T1:AU1"/>
    <mergeCell ref="AW1:AX1"/>
    <mergeCell ref="AZ1:BA1"/>
    <mergeCell ref="B1:B2"/>
    <mergeCell ref="C1:C2"/>
    <mergeCell ref="D1:D2"/>
    <mergeCell ref="E1:E2"/>
    <mergeCell ref="F1:F2"/>
    <mergeCell ref="G1:G2"/>
    <mergeCell ref="H1:H2"/>
    <mergeCell ref="I1:I2"/>
    <mergeCell ref="L1:L2"/>
    <mergeCell ref="O1:O2"/>
    <mergeCell ref="R1:R2"/>
    <mergeCell ref="U1:U2"/>
    <mergeCell ref="X1:X2"/>
    <mergeCell ref="AA1:AA2"/>
    <mergeCell ref="AD1:AD2"/>
    <mergeCell ref="AG1:AG2"/>
    <mergeCell ref="AJ1:AJ2"/>
    <mergeCell ref="AM1:AM2"/>
    <mergeCell ref="AP1:AP2"/>
    <mergeCell ref="AS1:AS2"/>
    <mergeCell ref="AV1:AV2"/>
    <mergeCell ref="AY1:AY2"/>
    <mergeCell ref="BB1:BB2"/>
    <mergeCell ref="BH1:BH2"/>
  </mergeCells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BH84"/>
  <sheetViews>
    <sheetView workbookViewId="0">
      <pane xSplit="9" ySplit="2" topLeftCell="AS56" activePane="bottomRight" state="frozen"/>
      <selection/>
      <selection pane="topRight"/>
      <selection pane="bottomLeft"/>
      <selection pane="bottomRight" activeCell="AZ84" sqref="AZ84:BA84"/>
    </sheetView>
  </sheetViews>
  <sheetFormatPr defaultColWidth="9" defaultRowHeight="12"/>
  <cols>
    <col min="1" max="1" width="4.62727272727273" style="3" customWidth="1"/>
    <col min="2" max="2" width="4.87272727272727" style="3" customWidth="1"/>
    <col min="3" max="3" width="30.6272727272727" style="73" customWidth="1"/>
    <col min="4" max="5" width="9.12727272727273" style="3" customWidth="1"/>
    <col min="6" max="6" width="10.6272727272727" style="1" customWidth="1"/>
    <col min="7" max="7" width="7.12727272727273" style="3" hidden="1" customWidth="1"/>
    <col min="8" max="8" width="7.12727272727273" style="3" customWidth="1"/>
    <col min="9" max="9" width="7.12727272727273" style="2" customWidth="1"/>
    <col min="10" max="12" width="11.3727272727273" style="3" customWidth="1"/>
    <col min="13" max="18" width="9" style="2" customWidth="1"/>
    <col min="19" max="24" width="10" style="3" customWidth="1"/>
    <col min="25" max="30" width="9" style="3" customWidth="1"/>
    <col min="31" max="36" width="9" style="2" customWidth="1"/>
    <col min="37" max="42" width="10.2545454545455" style="74" customWidth="1"/>
    <col min="43" max="48" width="11.2545454545455" style="75" customWidth="1"/>
    <col min="49" max="54" width="9" style="2" customWidth="1"/>
    <col min="55" max="55" width="10.3727272727273" style="2" hidden="1" customWidth="1"/>
    <col min="56" max="56" width="14.1272727272727" style="75" hidden="1" customWidth="1"/>
    <col min="57" max="57" width="11.1272727272727" style="2" hidden="1" customWidth="1"/>
    <col min="58" max="58" width="10.7545454545455" style="2" hidden="1" customWidth="1"/>
    <col min="59" max="59" width="12.1272727272727" style="2" hidden="1" customWidth="1"/>
    <col min="60" max="60" width="9" style="3" customWidth="1"/>
    <col min="61" max="16384" width="9" style="3"/>
  </cols>
  <sheetData>
    <row r="1" s="3" customFormat="1" customHeight="1" spans="1:60">
      <c r="A1" s="76"/>
      <c r="B1" s="77"/>
      <c r="C1" s="77" t="s">
        <v>131</v>
      </c>
      <c r="D1" s="77" t="s">
        <v>46</v>
      </c>
      <c r="E1" s="77" t="s">
        <v>47</v>
      </c>
      <c r="F1" s="8" t="s">
        <v>48</v>
      </c>
      <c r="G1" s="77" t="s">
        <v>49</v>
      </c>
      <c r="H1" s="77" t="s">
        <v>50</v>
      </c>
      <c r="I1" s="86" t="s">
        <v>36</v>
      </c>
      <c r="J1" s="87" t="s">
        <v>3</v>
      </c>
      <c r="K1" s="88"/>
      <c r="L1" s="89" t="s">
        <v>4</v>
      </c>
      <c r="M1" s="90" t="s">
        <v>5</v>
      </c>
      <c r="N1" s="90"/>
      <c r="O1" s="91" t="s">
        <v>4</v>
      </c>
      <c r="P1" s="90" t="s">
        <v>37</v>
      </c>
      <c r="Q1" s="90"/>
      <c r="R1" s="91" t="s">
        <v>4</v>
      </c>
      <c r="S1" s="90" t="s">
        <v>6</v>
      </c>
      <c r="T1" s="90"/>
      <c r="U1" s="91" t="s">
        <v>4</v>
      </c>
      <c r="V1" s="90" t="s">
        <v>7</v>
      </c>
      <c r="W1" s="90"/>
      <c r="X1" s="91" t="s">
        <v>4</v>
      </c>
      <c r="Y1" s="90" t="s">
        <v>8</v>
      </c>
      <c r="Z1" s="90"/>
      <c r="AA1" s="91" t="s">
        <v>4</v>
      </c>
      <c r="AB1" s="90" t="s">
        <v>9</v>
      </c>
      <c r="AC1" s="90"/>
      <c r="AD1" s="91" t="s">
        <v>4</v>
      </c>
      <c r="AE1" s="90" t="s">
        <v>10</v>
      </c>
      <c r="AF1" s="90"/>
      <c r="AG1" s="91" t="s">
        <v>4</v>
      </c>
      <c r="AH1" s="90" t="s">
        <v>11</v>
      </c>
      <c r="AI1" s="90"/>
      <c r="AJ1" s="91" t="s">
        <v>4</v>
      </c>
      <c r="AK1" s="90" t="s">
        <v>12</v>
      </c>
      <c r="AL1" s="90"/>
      <c r="AM1" s="91" t="s">
        <v>4</v>
      </c>
      <c r="AN1" s="90" t="s">
        <v>13</v>
      </c>
      <c r="AO1" s="90"/>
      <c r="AP1" s="91" t="s">
        <v>4</v>
      </c>
      <c r="AQ1" s="55" t="s">
        <v>14</v>
      </c>
      <c r="AR1" s="55"/>
      <c r="AS1" s="56" t="s">
        <v>4</v>
      </c>
      <c r="AT1" s="55" t="s">
        <v>15</v>
      </c>
      <c r="AU1" s="55"/>
      <c r="AV1" s="99" t="s">
        <v>4</v>
      </c>
      <c r="AW1" s="55" t="s">
        <v>16</v>
      </c>
      <c r="AX1" s="55"/>
      <c r="AY1" s="56" t="s">
        <v>4</v>
      </c>
      <c r="AZ1" s="55" t="s">
        <v>17</v>
      </c>
      <c r="BA1" s="55"/>
      <c r="BB1" s="99" t="s">
        <v>4</v>
      </c>
      <c r="BC1" s="100" t="s">
        <v>38</v>
      </c>
      <c r="BD1" s="100" t="s">
        <v>39</v>
      </c>
      <c r="BE1" s="100" t="s">
        <v>40</v>
      </c>
      <c r="BF1" s="100" t="s">
        <v>41</v>
      </c>
      <c r="BG1" s="100" t="s">
        <v>132</v>
      </c>
      <c r="BH1" s="102" t="s">
        <v>161</v>
      </c>
    </row>
    <row r="2" s="3" customFormat="1" customHeight="1" spans="1:60">
      <c r="A2" s="76"/>
      <c r="B2" s="77"/>
      <c r="C2" s="77"/>
      <c r="D2" s="77"/>
      <c r="E2" s="77"/>
      <c r="F2" s="8"/>
      <c r="G2" s="77"/>
      <c r="H2" s="77"/>
      <c r="I2" s="92"/>
      <c r="J2" s="88" t="s">
        <v>19</v>
      </c>
      <c r="K2" s="93" t="s">
        <v>20</v>
      </c>
      <c r="L2" s="94"/>
      <c r="M2" s="95" t="s">
        <v>19</v>
      </c>
      <c r="N2" s="95" t="s">
        <v>20</v>
      </c>
      <c r="O2" s="91"/>
      <c r="P2" s="95" t="s">
        <v>19</v>
      </c>
      <c r="Q2" s="95" t="s">
        <v>20</v>
      </c>
      <c r="R2" s="91"/>
      <c r="S2" s="95" t="s">
        <v>19</v>
      </c>
      <c r="T2" s="95" t="s">
        <v>20</v>
      </c>
      <c r="U2" s="91"/>
      <c r="V2" s="95" t="s">
        <v>19</v>
      </c>
      <c r="W2" s="95" t="s">
        <v>20</v>
      </c>
      <c r="X2" s="91"/>
      <c r="Y2" s="95" t="s">
        <v>19</v>
      </c>
      <c r="Z2" s="95" t="s">
        <v>20</v>
      </c>
      <c r="AA2" s="91"/>
      <c r="AB2" s="95" t="s">
        <v>19</v>
      </c>
      <c r="AC2" s="95" t="s">
        <v>20</v>
      </c>
      <c r="AD2" s="91"/>
      <c r="AE2" s="95" t="s">
        <v>19</v>
      </c>
      <c r="AF2" s="95" t="s">
        <v>20</v>
      </c>
      <c r="AG2" s="91"/>
      <c r="AH2" s="95" t="s">
        <v>19</v>
      </c>
      <c r="AI2" s="95" t="s">
        <v>20</v>
      </c>
      <c r="AJ2" s="91"/>
      <c r="AK2" s="95" t="s">
        <v>19</v>
      </c>
      <c r="AL2" s="95" t="s">
        <v>20</v>
      </c>
      <c r="AM2" s="91"/>
      <c r="AN2" s="95" t="s">
        <v>19</v>
      </c>
      <c r="AO2" s="95" t="s">
        <v>20</v>
      </c>
      <c r="AP2" s="91"/>
      <c r="AQ2" s="57" t="s">
        <v>19</v>
      </c>
      <c r="AR2" s="57" t="s">
        <v>20</v>
      </c>
      <c r="AS2" s="56"/>
      <c r="AT2" s="57" t="s">
        <v>19</v>
      </c>
      <c r="AU2" s="57" t="s">
        <v>20</v>
      </c>
      <c r="AV2" s="99"/>
      <c r="AW2" s="57" t="s">
        <v>19</v>
      </c>
      <c r="AX2" s="57" t="s">
        <v>20</v>
      </c>
      <c r="AY2" s="56"/>
      <c r="AZ2" s="57" t="s">
        <v>19</v>
      </c>
      <c r="BA2" s="57" t="s">
        <v>20</v>
      </c>
      <c r="BB2" s="99"/>
      <c r="BC2" s="4" t="s">
        <v>19</v>
      </c>
      <c r="BD2" s="4" t="s">
        <v>19</v>
      </c>
      <c r="BE2" s="4" t="s">
        <v>19</v>
      </c>
      <c r="BF2" s="4" t="s">
        <v>19</v>
      </c>
      <c r="BG2" s="4" t="s">
        <v>19</v>
      </c>
      <c r="BH2" s="103"/>
    </row>
    <row r="3" s="3" customFormat="1" customHeight="1" spans="1:60">
      <c r="A3" s="76" t="s">
        <v>409</v>
      </c>
      <c r="B3" s="77" t="s">
        <v>409</v>
      </c>
      <c r="C3" s="78" t="s">
        <v>410</v>
      </c>
      <c r="D3" s="12" t="s">
        <v>60</v>
      </c>
      <c r="E3" s="12" t="s">
        <v>60</v>
      </c>
      <c r="F3" s="281" t="s">
        <v>411</v>
      </c>
      <c r="G3" s="282" t="s">
        <v>411</v>
      </c>
      <c r="H3" s="77" t="s">
        <v>412</v>
      </c>
      <c r="I3" s="77">
        <v>15</v>
      </c>
      <c r="J3" s="4">
        <v>30174</v>
      </c>
      <c r="K3" s="4">
        <v>7600</v>
      </c>
      <c r="L3" s="96">
        <f t="shared" ref="L3:L66" si="0">K3/J3-1</f>
        <v>-0.748127527010009</v>
      </c>
      <c r="M3" s="4">
        <v>7610</v>
      </c>
      <c r="N3" s="4">
        <v>4500</v>
      </c>
      <c r="O3" s="96">
        <f t="shared" ref="O3:O66" si="1">N3/M3-1</f>
        <v>-0.408672798948752</v>
      </c>
      <c r="P3" s="4">
        <f t="shared" ref="P3:P66" si="2">M3+J3</f>
        <v>37784</v>
      </c>
      <c r="Q3" s="4">
        <f t="shared" ref="Q3:Q66" si="3">N3+K3</f>
        <v>12100</v>
      </c>
      <c r="R3" s="96">
        <f t="shared" ref="R3:R66" si="4">Q3/P3-1</f>
        <v>-0.679758627990684</v>
      </c>
      <c r="S3" s="97">
        <v>4780</v>
      </c>
      <c r="T3" s="97"/>
      <c r="U3" s="96">
        <f t="shared" ref="U3:U66" si="5">T3/S3-1</f>
        <v>-1</v>
      </c>
      <c r="V3" s="98">
        <f t="shared" ref="V3:V66" si="6">S3+P3</f>
        <v>42564</v>
      </c>
      <c r="W3" s="98">
        <f t="shared" ref="W3:W66" si="7">T3+Q3</f>
        <v>12100</v>
      </c>
      <c r="X3" s="96">
        <f t="shared" ref="X3:X66" si="8">W3/V3-1</f>
        <v>-0.715722206559534</v>
      </c>
      <c r="Y3" s="4"/>
      <c r="Z3" s="4"/>
      <c r="AA3" s="96" t="e">
        <f>Z3/Y3-1</f>
        <v>#DIV/0!</v>
      </c>
      <c r="AB3" s="4">
        <f>Y3+V3</f>
        <v>42564</v>
      </c>
      <c r="AC3" s="4">
        <f>Z3+W3</f>
        <v>12100</v>
      </c>
      <c r="AD3" s="96">
        <f>AC3/AB3-1</f>
        <v>-0.715722206559534</v>
      </c>
      <c r="AE3" s="4">
        <v>9980</v>
      </c>
      <c r="AF3" s="4">
        <v>7170</v>
      </c>
      <c r="AG3" s="96">
        <f>AF3/AE3-1</f>
        <v>-0.281563126252505</v>
      </c>
      <c r="AH3" s="4">
        <f>AE3+AB3</f>
        <v>52544</v>
      </c>
      <c r="AI3" s="4">
        <f>AF3+AC3</f>
        <v>19270</v>
      </c>
      <c r="AJ3" s="96">
        <f>AI3/AH3-1</f>
        <v>-0.633259744214373</v>
      </c>
      <c r="AK3" s="10"/>
      <c r="AL3" s="10"/>
      <c r="AM3" s="96" t="e">
        <f>AL3/AK3-1</f>
        <v>#DIV/0!</v>
      </c>
      <c r="AN3" s="10">
        <f>AK3+AH3</f>
        <v>52544</v>
      </c>
      <c r="AO3" s="10">
        <f>AL3+AI3</f>
        <v>19270</v>
      </c>
      <c r="AP3" s="96">
        <f>AO3/AN3-1</f>
        <v>-0.633259744214373</v>
      </c>
      <c r="AQ3" s="97">
        <v>6300</v>
      </c>
      <c r="AR3" s="97">
        <v>22235</v>
      </c>
      <c r="AS3" s="96">
        <f>AR3/AQ3-1</f>
        <v>2.52936507936508</v>
      </c>
      <c r="AT3" s="97">
        <f>AQ3+AN3</f>
        <v>58844</v>
      </c>
      <c r="AU3" s="97">
        <f>AR3+AO3</f>
        <v>41505</v>
      </c>
      <c r="AV3" s="96">
        <f>AU3/AT3-1</f>
        <v>-0.29466045816056</v>
      </c>
      <c r="AW3" s="4">
        <v>5200</v>
      </c>
      <c r="AX3" s="4">
        <v>6876</v>
      </c>
      <c r="AY3" s="96">
        <f>AX3/AW3-1</f>
        <v>0.322307692307692</v>
      </c>
      <c r="AZ3" s="4">
        <f>AW3+AT3</f>
        <v>64044</v>
      </c>
      <c r="BA3" s="4">
        <f>AX3+AU3</f>
        <v>48381</v>
      </c>
      <c r="BB3" s="96">
        <f>BA3/AZ3-1</f>
        <v>-0.244566235712947</v>
      </c>
      <c r="BC3" s="4">
        <v>50015</v>
      </c>
      <c r="BD3" s="101">
        <v>3950</v>
      </c>
      <c r="BE3" s="4">
        <v>6300</v>
      </c>
      <c r="BF3" s="4">
        <v>4500</v>
      </c>
      <c r="BG3" s="4">
        <v>128809</v>
      </c>
      <c r="BH3" s="104">
        <f>BA3/10000/I3</f>
        <v>0.32254</v>
      </c>
    </row>
    <row r="4" s="3" customFormat="1" customHeight="1" spans="1:60">
      <c r="A4" s="76" t="s">
        <v>409</v>
      </c>
      <c r="B4" s="77" t="s">
        <v>409</v>
      </c>
      <c r="C4" s="79" t="s">
        <v>413</v>
      </c>
      <c r="D4" s="12" t="s">
        <v>60</v>
      </c>
      <c r="E4" s="12" t="s">
        <v>60</v>
      </c>
      <c r="F4" s="281" t="s">
        <v>411</v>
      </c>
      <c r="G4" s="282" t="s">
        <v>411</v>
      </c>
      <c r="H4" s="77" t="s">
        <v>412</v>
      </c>
      <c r="I4" s="77"/>
      <c r="J4" s="4">
        <v>2710</v>
      </c>
      <c r="K4" s="4"/>
      <c r="L4" s="96">
        <f t="shared" si="0"/>
        <v>-1</v>
      </c>
      <c r="M4" s="4"/>
      <c r="N4" s="4"/>
      <c r="O4" s="96" t="e">
        <f t="shared" si="1"/>
        <v>#DIV/0!</v>
      </c>
      <c r="P4" s="4">
        <f t="shared" si="2"/>
        <v>2710</v>
      </c>
      <c r="Q4" s="4">
        <f t="shared" si="3"/>
        <v>0</v>
      </c>
      <c r="R4" s="96">
        <f t="shared" si="4"/>
        <v>-1</v>
      </c>
      <c r="S4" s="97">
        <v>6970</v>
      </c>
      <c r="T4" s="97"/>
      <c r="U4" s="96">
        <f t="shared" si="5"/>
        <v>-1</v>
      </c>
      <c r="V4" s="98">
        <f t="shared" si="6"/>
        <v>9680</v>
      </c>
      <c r="W4" s="98">
        <f t="shared" si="7"/>
        <v>0</v>
      </c>
      <c r="X4" s="96">
        <f t="shared" si="8"/>
        <v>-1</v>
      </c>
      <c r="Y4" s="4">
        <v>4900</v>
      </c>
      <c r="Z4" s="4"/>
      <c r="AA4" s="96">
        <f t="shared" ref="AA4:AA35" si="9">Z4/Y4-1</f>
        <v>-1</v>
      </c>
      <c r="AB4" s="4">
        <f t="shared" ref="AB4:AB35" si="10">Y4+V4</f>
        <v>14580</v>
      </c>
      <c r="AC4" s="4">
        <f t="shared" ref="AC4:AC35" si="11">Z4+W4</f>
        <v>0</v>
      </c>
      <c r="AD4" s="96">
        <f t="shared" ref="AD4:AD35" si="12">AC4/AB4-1</f>
        <v>-1</v>
      </c>
      <c r="AE4" s="4"/>
      <c r="AF4" s="4"/>
      <c r="AG4" s="96" t="e">
        <f t="shared" ref="AG4:AG35" si="13">AF4/AE4-1</f>
        <v>#DIV/0!</v>
      </c>
      <c r="AH4" s="4">
        <f t="shared" ref="AH4:AH35" si="14">AE4+AB4</f>
        <v>14580</v>
      </c>
      <c r="AI4" s="4">
        <f t="shared" ref="AI4:AI35" si="15">AF4+AC4</f>
        <v>0</v>
      </c>
      <c r="AJ4" s="96">
        <f t="shared" ref="AJ4:AJ35" si="16">AI4/AH4-1</f>
        <v>-1</v>
      </c>
      <c r="AK4" s="10"/>
      <c r="AL4" s="10"/>
      <c r="AM4" s="96" t="e">
        <f t="shared" ref="AM4:AM35" si="17">AL4/AK4-1</f>
        <v>#DIV/0!</v>
      </c>
      <c r="AN4" s="10">
        <f t="shared" ref="AN4:AN35" si="18">AK4+AH4</f>
        <v>14580</v>
      </c>
      <c r="AO4" s="10">
        <f t="shared" ref="AO4:AO35" si="19">AL4+AI4</f>
        <v>0</v>
      </c>
      <c r="AP4" s="96">
        <f t="shared" ref="AP4:AP35" si="20">AO4/AN4-1</f>
        <v>-1</v>
      </c>
      <c r="AQ4" s="97"/>
      <c r="AR4" s="97"/>
      <c r="AS4" s="96" t="e">
        <f t="shared" ref="AS4:AS35" si="21">AR4/AQ4-1</f>
        <v>#DIV/0!</v>
      </c>
      <c r="AT4" s="97">
        <f t="shared" ref="AT4:AT35" si="22">AQ4+AN4</f>
        <v>14580</v>
      </c>
      <c r="AU4" s="97">
        <f t="shared" ref="AU4:AU35" si="23">AR4+AO4</f>
        <v>0</v>
      </c>
      <c r="AV4" s="96">
        <f t="shared" ref="AV4:AV35" si="24">AU4/AT4-1</f>
        <v>-1</v>
      </c>
      <c r="AW4" s="4"/>
      <c r="AX4" s="4"/>
      <c r="AY4" s="96" t="e">
        <f t="shared" ref="AY4:AY35" si="25">AX4/AW4-1</f>
        <v>#DIV/0!</v>
      </c>
      <c r="AZ4" s="4">
        <f t="shared" ref="AZ4:AZ35" si="26">AW4+AT4</f>
        <v>14580</v>
      </c>
      <c r="BA4" s="4">
        <f t="shared" ref="BA4:BA35" si="27">AX4+AU4</f>
        <v>0</v>
      </c>
      <c r="BB4" s="96">
        <f t="shared" ref="BB4:BB35" si="28">BA4/AZ4-1</f>
        <v>-1</v>
      </c>
      <c r="BC4" s="4"/>
      <c r="BD4" s="101"/>
      <c r="BE4" s="4"/>
      <c r="BF4" s="4"/>
      <c r="BG4" s="4">
        <v>14580</v>
      </c>
      <c r="BH4" s="104" t="e">
        <f t="shared" ref="BH4:BH35" si="29">BA4/10000/I4</f>
        <v>#DIV/0!</v>
      </c>
    </row>
    <row r="5" s="3" customFormat="1" customHeight="1" spans="1:60">
      <c r="A5" s="76" t="s">
        <v>409</v>
      </c>
      <c r="B5" s="77" t="s">
        <v>409</v>
      </c>
      <c r="C5" s="78" t="s">
        <v>414</v>
      </c>
      <c r="D5" s="12" t="s">
        <v>60</v>
      </c>
      <c r="E5" s="12" t="s">
        <v>60</v>
      </c>
      <c r="F5" s="281" t="s">
        <v>415</v>
      </c>
      <c r="G5" s="282" t="s">
        <v>415</v>
      </c>
      <c r="H5" s="77" t="s">
        <v>416</v>
      </c>
      <c r="I5" s="77">
        <v>10</v>
      </c>
      <c r="J5" s="4"/>
      <c r="K5" s="4">
        <v>7250</v>
      </c>
      <c r="L5" s="96" t="e">
        <f t="shared" si="0"/>
        <v>#DIV/0!</v>
      </c>
      <c r="M5" s="4"/>
      <c r="N5" s="4">
        <v>3150</v>
      </c>
      <c r="O5" s="96" t="e">
        <f t="shared" si="1"/>
        <v>#DIV/0!</v>
      </c>
      <c r="P5" s="4">
        <f t="shared" si="2"/>
        <v>0</v>
      </c>
      <c r="Q5" s="4">
        <f t="shared" si="3"/>
        <v>10400</v>
      </c>
      <c r="R5" s="96" t="e">
        <f t="shared" si="4"/>
        <v>#DIV/0!</v>
      </c>
      <c r="S5" s="97">
        <v>2250</v>
      </c>
      <c r="T5" s="97">
        <v>7986</v>
      </c>
      <c r="U5" s="96">
        <f t="shared" si="5"/>
        <v>2.54933333333333</v>
      </c>
      <c r="V5" s="98">
        <f t="shared" si="6"/>
        <v>2250</v>
      </c>
      <c r="W5" s="98">
        <f t="shared" si="7"/>
        <v>18386</v>
      </c>
      <c r="X5" s="96">
        <f t="shared" si="8"/>
        <v>7.17155555555556</v>
      </c>
      <c r="Y5" s="4"/>
      <c r="Z5" s="4">
        <v>26362</v>
      </c>
      <c r="AA5" s="96" t="e">
        <f t="shared" si="9"/>
        <v>#DIV/0!</v>
      </c>
      <c r="AB5" s="4">
        <f t="shared" si="10"/>
        <v>2250</v>
      </c>
      <c r="AC5" s="4">
        <f t="shared" si="11"/>
        <v>44748</v>
      </c>
      <c r="AD5" s="96">
        <f t="shared" si="12"/>
        <v>18.888</v>
      </c>
      <c r="AE5" s="4">
        <v>32190</v>
      </c>
      <c r="AF5" s="4">
        <v>5753</v>
      </c>
      <c r="AG5" s="96">
        <f t="shared" si="13"/>
        <v>-0.821279900590245</v>
      </c>
      <c r="AH5" s="4">
        <f t="shared" si="14"/>
        <v>34440</v>
      </c>
      <c r="AI5" s="4">
        <f t="shared" si="15"/>
        <v>50501</v>
      </c>
      <c r="AJ5" s="96">
        <f t="shared" si="16"/>
        <v>0.466347270615563</v>
      </c>
      <c r="AK5" s="10"/>
      <c r="AL5" s="10">
        <v>2600</v>
      </c>
      <c r="AM5" s="96" t="e">
        <f t="shared" si="17"/>
        <v>#DIV/0!</v>
      </c>
      <c r="AN5" s="10">
        <f t="shared" si="18"/>
        <v>34440</v>
      </c>
      <c r="AO5" s="10">
        <f t="shared" si="19"/>
        <v>53101</v>
      </c>
      <c r="AP5" s="96">
        <f t="shared" si="20"/>
        <v>0.541840882694541</v>
      </c>
      <c r="AQ5" s="97"/>
      <c r="AR5" s="97"/>
      <c r="AS5" s="96" t="e">
        <f t="shared" si="21"/>
        <v>#DIV/0!</v>
      </c>
      <c r="AT5" s="97">
        <f t="shared" si="22"/>
        <v>34440</v>
      </c>
      <c r="AU5" s="97">
        <f t="shared" si="23"/>
        <v>53101</v>
      </c>
      <c r="AV5" s="96">
        <f t="shared" si="24"/>
        <v>0.541840882694541</v>
      </c>
      <c r="AW5" s="4"/>
      <c r="AX5" s="4"/>
      <c r="AY5" s="96" t="e">
        <f t="shared" si="25"/>
        <v>#DIV/0!</v>
      </c>
      <c r="AZ5" s="4">
        <f t="shared" si="26"/>
        <v>34440</v>
      </c>
      <c r="BA5" s="4">
        <f t="shared" si="27"/>
        <v>53101</v>
      </c>
      <c r="BB5" s="96">
        <f t="shared" si="28"/>
        <v>0.541840882694541</v>
      </c>
      <c r="BC5" s="4">
        <v>30695</v>
      </c>
      <c r="BD5" s="101">
        <v>32004</v>
      </c>
      <c r="BE5" s="4"/>
      <c r="BF5" s="4"/>
      <c r="BG5" s="4">
        <v>97139</v>
      </c>
      <c r="BH5" s="104">
        <f t="shared" si="29"/>
        <v>0.53101</v>
      </c>
    </row>
    <row r="6" s="3" customFormat="1" customHeight="1" spans="1:60">
      <c r="A6" s="76" t="s">
        <v>409</v>
      </c>
      <c r="B6" s="77" t="s">
        <v>409</v>
      </c>
      <c r="C6" s="79" t="s">
        <v>417</v>
      </c>
      <c r="D6" s="12" t="s">
        <v>60</v>
      </c>
      <c r="E6" s="12" t="s">
        <v>60</v>
      </c>
      <c r="F6" s="281" t="s">
        <v>415</v>
      </c>
      <c r="G6" s="282" t="s">
        <v>415</v>
      </c>
      <c r="H6" s="77" t="s">
        <v>416</v>
      </c>
      <c r="I6" s="77">
        <v>30</v>
      </c>
      <c r="J6" s="4">
        <v>48451</v>
      </c>
      <c r="K6" s="4">
        <v>9820</v>
      </c>
      <c r="L6" s="96">
        <f t="shared" si="0"/>
        <v>-0.797321004726425</v>
      </c>
      <c r="M6" s="4">
        <v>7510</v>
      </c>
      <c r="N6" s="4">
        <v>2300</v>
      </c>
      <c r="O6" s="96">
        <f t="shared" si="1"/>
        <v>-0.693741677762983</v>
      </c>
      <c r="P6" s="4">
        <f t="shared" si="2"/>
        <v>55961</v>
      </c>
      <c r="Q6" s="4">
        <f t="shared" si="3"/>
        <v>12120</v>
      </c>
      <c r="R6" s="96">
        <f t="shared" si="4"/>
        <v>-0.783420596486839</v>
      </c>
      <c r="S6" s="97"/>
      <c r="T6" s="97">
        <v>9919</v>
      </c>
      <c r="U6" s="96" t="e">
        <f t="shared" si="5"/>
        <v>#DIV/0!</v>
      </c>
      <c r="V6" s="98">
        <f t="shared" si="6"/>
        <v>55961</v>
      </c>
      <c r="W6" s="98">
        <f t="shared" si="7"/>
        <v>22039</v>
      </c>
      <c r="X6" s="96">
        <f t="shared" si="8"/>
        <v>-0.60617215560837</v>
      </c>
      <c r="Y6" s="4"/>
      <c r="Z6" s="4">
        <v>2199</v>
      </c>
      <c r="AA6" s="96" t="e">
        <f t="shared" si="9"/>
        <v>#DIV/0!</v>
      </c>
      <c r="AB6" s="4">
        <f t="shared" si="10"/>
        <v>55961</v>
      </c>
      <c r="AC6" s="4">
        <f t="shared" si="11"/>
        <v>24238</v>
      </c>
      <c r="AD6" s="96">
        <f t="shared" si="12"/>
        <v>-0.566876932149175</v>
      </c>
      <c r="AE6" s="4">
        <v>16830</v>
      </c>
      <c r="AF6" s="4"/>
      <c r="AG6" s="96">
        <f t="shared" si="13"/>
        <v>-1</v>
      </c>
      <c r="AH6" s="4">
        <f t="shared" si="14"/>
        <v>72791</v>
      </c>
      <c r="AI6" s="4">
        <f t="shared" si="15"/>
        <v>24238</v>
      </c>
      <c r="AJ6" s="96">
        <f t="shared" si="16"/>
        <v>-0.667019274360841</v>
      </c>
      <c r="AK6" s="10">
        <v>17000</v>
      </c>
      <c r="AL6" s="10">
        <v>10659</v>
      </c>
      <c r="AM6" s="96">
        <f t="shared" si="17"/>
        <v>-0.373</v>
      </c>
      <c r="AN6" s="10">
        <f t="shared" si="18"/>
        <v>89791</v>
      </c>
      <c r="AO6" s="10">
        <f t="shared" si="19"/>
        <v>34897</v>
      </c>
      <c r="AP6" s="96">
        <f t="shared" si="20"/>
        <v>-0.611353030927376</v>
      </c>
      <c r="AQ6" s="97">
        <v>4950</v>
      </c>
      <c r="AR6" s="97">
        <v>12860</v>
      </c>
      <c r="AS6" s="96">
        <f t="shared" si="21"/>
        <v>1.5979797979798</v>
      </c>
      <c r="AT6" s="97">
        <f t="shared" si="22"/>
        <v>94741</v>
      </c>
      <c r="AU6" s="97">
        <f t="shared" si="23"/>
        <v>47757</v>
      </c>
      <c r="AV6" s="96">
        <f t="shared" si="24"/>
        <v>-0.495920456824395</v>
      </c>
      <c r="AW6" s="4">
        <v>34830</v>
      </c>
      <c r="AX6" s="4">
        <v>6817</v>
      </c>
      <c r="AY6" s="96">
        <f t="shared" si="25"/>
        <v>-0.804277921332185</v>
      </c>
      <c r="AZ6" s="4">
        <f t="shared" si="26"/>
        <v>129571</v>
      </c>
      <c r="BA6" s="4">
        <f t="shared" si="27"/>
        <v>54574</v>
      </c>
      <c r="BB6" s="96">
        <f t="shared" si="28"/>
        <v>-0.578810073241698</v>
      </c>
      <c r="BC6" s="4">
        <v>28370</v>
      </c>
      <c r="BD6" s="101">
        <v>28457</v>
      </c>
      <c r="BE6" s="4">
        <v>16200</v>
      </c>
      <c r="BF6" s="4">
        <v>52385</v>
      </c>
      <c r="BG6" s="4">
        <v>254983</v>
      </c>
      <c r="BH6" s="104">
        <f t="shared" si="29"/>
        <v>0.181913333333333</v>
      </c>
    </row>
    <row r="7" s="3" customFormat="1" customHeight="1" spans="1:60">
      <c r="A7" s="76" t="s">
        <v>409</v>
      </c>
      <c r="B7" s="77" t="s">
        <v>409</v>
      </c>
      <c r="C7" s="79" t="s">
        <v>418</v>
      </c>
      <c r="D7" s="12" t="s">
        <v>60</v>
      </c>
      <c r="E7" s="12" t="s">
        <v>60</v>
      </c>
      <c r="F7" s="281" t="s">
        <v>415</v>
      </c>
      <c r="G7" s="282" t="s">
        <v>415</v>
      </c>
      <c r="H7" s="77" t="s">
        <v>416</v>
      </c>
      <c r="I7" s="77">
        <v>10</v>
      </c>
      <c r="J7" s="4"/>
      <c r="K7" s="4">
        <v>12415</v>
      </c>
      <c r="L7" s="96" t="e">
        <f t="shared" si="0"/>
        <v>#DIV/0!</v>
      </c>
      <c r="M7" s="4">
        <v>58818</v>
      </c>
      <c r="N7" s="4">
        <v>21750</v>
      </c>
      <c r="O7" s="96">
        <f t="shared" si="1"/>
        <v>-0.630215240232582</v>
      </c>
      <c r="P7" s="4">
        <f t="shared" si="2"/>
        <v>58818</v>
      </c>
      <c r="Q7" s="4">
        <f t="shared" si="3"/>
        <v>34165</v>
      </c>
      <c r="R7" s="96">
        <f t="shared" si="4"/>
        <v>-0.419140399197525</v>
      </c>
      <c r="S7" s="97">
        <v>7320</v>
      </c>
      <c r="T7" s="97"/>
      <c r="U7" s="96">
        <f t="shared" si="5"/>
        <v>-1</v>
      </c>
      <c r="V7" s="98">
        <f t="shared" si="6"/>
        <v>66138</v>
      </c>
      <c r="W7" s="98">
        <f t="shared" si="7"/>
        <v>34165</v>
      </c>
      <c r="X7" s="96">
        <f t="shared" si="8"/>
        <v>-0.483428588708458</v>
      </c>
      <c r="Y7" s="4">
        <v>3160</v>
      </c>
      <c r="Z7" s="4">
        <v>9930</v>
      </c>
      <c r="AA7" s="96">
        <f t="shared" si="9"/>
        <v>2.14240506329114</v>
      </c>
      <c r="AB7" s="4">
        <f t="shared" si="10"/>
        <v>69298</v>
      </c>
      <c r="AC7" s="4">
        <f t="shared" si="11"/>
        <v>44095</v>
      </c>
      <c r="AD7" s="96">
        <f t="shared" si="12"/>
        <v>-0.363690149787873</v>
      </c>
      <c r="AE7" s="4">
        <v>8850</v>
      </c>
      <c r="AF7" s="4">
        <v>3800</v>
      </c>
      <c r="AG7" s="96">
        <f t="shared" si="13"/>
        <v>-0.570621468926554</v>
      </c>
      <c r="AH7" s="4">
        <f t="shared" si="14"/>
        <v>78148</v>
      </c>
      <c r="AI7" s="4">
        <f t="shared" si="15"/>
        <v>47895</v>
      </c>
      <c r="AJ7" s="96">
        <f t="shared" si="16"/>
        <v>-0.387124430567641</v>
      </c>
      <c r="AK7" s="10">
        <v>6600</v>
      </c>
      <c r="AL7" s="10">
        <v>20968</v>
      </c>
      <c r="AM7" s="96">
        <f t="shared" si="17"/>
        <v>2.1769696969697</v>
      </c>
      <c r="AN7" s="10">
        <f t="shared" si="18"/>
        <v>84748</v>
      </c>
      <c r="AO7" s="10">
        <f t="shared" si="19"/>
        <v>68863</v>
      </c>
      <c r="AP7" s="96">
        <f t="shared" si="20"/>
        <v>-0.187438051635437</v>
      </c>
      <c r="AQ7" s="97"/>
      <c r="AR7" s="97">
        <v>27841</v>
      </c>
      <c r="AS7" s="96" t="e">
        <f t="shared" si="21"/>
        <v>#DIV/0!</v>
      </c>
      <c r="AT7" s="97">
        <f t="shared" si="22"/>
        <v>84748</v>
      </c>
      <c r="AU7" s="97">
        <f t="shared" si="23"/>
        <v>96704</v>
      </c>
      <c r="AV7" s="96">
        <f t="shared" si="24"/>
        <v>0.141077075565205</v>
      </c>
      <c r="AW7" s="4">
        <v>3800</v>
      </c>
      <c r="AX7" s="4"/>
      <c r="AY7" s="96">
        <f t="shared" si="25"/>
        <v>-1</v>
      </c>
      <c r="AZ7" s="4">
        <f t="shared" si="26"/>
        <v>88548</v>
      </c>
      <c r="BA7" s="4">
        <f t="shared" si="27"/>
        <v>96704</v>
      </c>
      <c r="BB7" s="96">
        <f t="shared" si="28"/>
        <v>0.0921082350815376</v>
      </c>
      <c r="BC7" s="4"/>
      <c r="BD7" s="101">
        <v>6100</v>
      </c>
      <c r="BE7" s="4">
        <v>6200</v>
      </c>
      <c r="BF7" s="4"/>
      <c r="BG7" s="4">
        <v>100848</v>
      </c>
      <c r="BH7" s="104">
        <f t="shared" si="29"/>
        <v>0.96704</v>
      </c>
    </row>
    <row r="8" s="3" customFormat="1" customHeight="1" spans="1:60">
      <c r="A8" s="76" t="s">
        <v>409</v>
      </c>
      <c r="B8" s="77" t="s">
        <v>409</v>
      </c>
      <c r="C8" s="78" t="s">
        <v>419</v>
      </c>
      <c r="D8" s="12" t="s">
        <v>60</v>
      </c>
      <c r="E8" s="12" t="s">
        <v>60</v>
      </c>
      <c r="F8" s="281" t="s">
        <v>415</v>
      </c>
      <c r="G8" s="282" t="s">
        <v>415</v>
      </c>
      <c r="H8" s="77" t="s">
        <v>416</v>
      </c>
      <c r="I8" s="77"/>
      <c r="J8" s="4">
        <v>62144</v>
      </c>
      <c r="K8" s="4"/>
      <c r="L8" s="96">
        <f t="shared" si="0"/>
        <v>-1</v>
      </c>
      <c r="M8" s="4"/>
      <c r="N8" s="4"/>
      <c r="O8" s="96" t="e">
        <f t="shared" si="1"/>
        <v>#DIV/0!</v>
      </c>
      <c r="P8" s="4">
        <f t="shared" si="2"/>
        <v>62144</v>
      </c>
      <c r="Q8" s="4">
        <f t="shared" si="3"/>
        <v>0</v>
      </c>
      <c r="R8" s="96">
        <f t="shared" si="4"/>
        <v>-1</v>
      </c>
      <c r="S8" s="97"/>
      <c r="T8" s="97"/>
      <c r="U8" s="96" t="e">
        <f t="shared" si="5"/>
        <v>#DIV/0!</v>
      </c>
      <c r="V8" s="98">
        <f t="shared" si="6"/>
        <v>62144</v>
      </c>
      <c r="W8" s="98">
        <f t="shared" si="7"/>
        <v>0</v>
      </c>
      <c r="X8" s="96">
        <f t="shared" si="8"/>
        <v>-1</v>
      </c>
      <c r="Y8" s="4"/>
      <c r="Z8" s="4"/>
      <c r="AA8" s="96" t="e">
        <f t="shared" si="9"/>
        <v>#DIV/0!</v>
      </c>
      <c r="AB8" s="4">
        <f t="shared" si="10"/>
        <v>62144</v>
      </c>
      <c r="AC8" s="4">
        <f t="shared" si="11"/>
        <v>0</v>
      </c>
      <c r="AD8" s="96">
        <f t="shared" si="12"/>
        <v>-1</v>
      </c>
      <c r="AE8" s="4"/>
      <c r="AF8" s="4"/>
      <c r="AG8" s="96" t="e">
        <f t="shared" si="13"/>
        <v>#DIV/0!</v>
      </c>
      <c r="AH8" s="4">
        <f t="shared" si="14"/>
        <v>62144</v>
      </c>
      <c r="AI8" s="4">
        <f t="shared" si="15"/>
        <v>0</v>
      </c>
      <c r="AJ8" s="96">
        <f t="shared" si="16"/>
        <v>-1</v>
      </c>
      <c r="AK8" s="10"/>
      <c r="AL8" s="10"/>
      <c r="AM8" s="96" t="e">
        <f t="shared" si="17"/>
        <v>#DIV/0!</v>
      </c>
      <c r="AN8" s="10">
        <f t="shared" si="18"/>
        <v>62144</v>
      </c>
      <c r="AO8" s="10">
        <f t="shared" si="19"/>
        <v>0</v>
      </c>
      <c r="AP8" s="96">
        <f t="shared" si="20"/>
        <v>-1</v>
      </c>
      <c r="AQ8" s="97"/>
      <c r="AR8" s="97"/>
      <c r="AS8" s="96" t="e">
        <f t="shared" si="21"/>
        <v>#DIV/0!</v>
      </c>
      <c r="AT8" s="97">
        <f t="shared" si="22"/>
        <v>62144</v>
      </c>
      <c r="AU8" s="97">
        <f t="shared" si="23"/>
        <v>0</v>
      </c>
      <c r="AV8" s="96">
        <f t="shared" si="24"/>
        <v>-1</v>
      </c>
      <c r="AW8" s="4"/>
      <c r="AX8" s="4"/>
      <c r="AY8" s="96" t="e">
        <f t="shared" si="25"/>
        <v>#DIV/0!</v>
      </c>
      <c r="AZ8" s="4">
        <f t="shared" si="26"/>
        <v>62144</v>
      </c>
      <c r="BA8" s="4">
        <f t="shared" si="27"/>
        <v>0</v>
      </c>
      <c r="BB8" s="96">
        <f t="shared" si="28"/>
        <v>-1</v>
      </c>
      <c r="BC8" s="4"/>
      <c r="BD8" s="101"/>
      <c r="BE8" s="4"/>
      <c r="BF8" s="4"/>
      <c r="BG8" s="4">
        <v>62144</v>
      </c>
      <c r="BH8" s="104" t="e">
        <f t="shared" si="29"/>
        <v>#DIV/0!</v>
      </c>
    </row>
    <row r="9" s="3" customFormat="1" customHeight="1" spans="1:60">
      <c r="A9" s="76" t="s">
        <v>409</v>
      </c>
      <c r="B9" s="77" t="s">
        <v>409</v>
      </c>
      <c r="C9" s="78" t="s">
        <v>420</v>
      </c>
      <c r="D9" s="12" t="s">
        <v>60</v>
      </c>
      <c r="E9" s="12" t="s">
        <v>60</v>
      </c>
      <c r="F9" s="281" t="s">
        <v>415</v>
      </c>
      <c r="G9" s="282" t="s">
        <v>415</v>
      </c>
      <c r="H9" s="77" t="s">
        <v>416</v>
      </c>
      <c r="I9" s="77"/>
      <c r="J9" s="4"/>
      <c r="K9" s="4"/>
      <c r="L9" s="96" t="e">
        <f t="shared" si="0"/>
        <v>#DIV/0!</v>
      </c>
      <c r="M9" s="4"/>
      <c r="N9" s="4"/>
      <c r="O9" s="96" t="e">
        <f t="shared" si="1"/>
        <v>#DIV/0!</v>
      </c>
      <c r="P9" s="4">
        <f t="shared" si="2"/>
        <v>0</v>
      </c>
      <c r="Q9" s="4">
        <f t="shared" si="3"/>
        <v>0</v>
      </c>
      <c r="R9" s="96" t="e">
        <f t="shared" si="4"/>
        <v>#DIV/0!</v>
      </c>
      <c r="S9" s="97"/>
      <c r="T9" s="97"/>
      <c r="U9" s="96" t="e">
        <f t="shared" si="5"/>
        <v>#DIV/0!</v>
      </c>
      <c r="V9" s="98">
        <f t="shared" si="6"/>
        <v>0</v>
      </c>
      <c r="W9" s="98">
        <f t="shared" si="7"/>
        <v>0</v>
      </c>
      <c r="X9" s="96" t="e">
        <f t="shared" si="8"/>
        <v>#DIV/0!</v>
      </c>
      <c r="Y9" s="4"/>
      <c r="Z9" s="4"/>
      <c r="AA9" s="96" t="e">
        <f t="shared" si="9"/>
        <v>#DIV/0!</v>
      </c>
      <c r="AB9" s="4">
        <f t="shared" si="10"/>
        <v>0</v>
      </c>
      <c r="AC9" s="4">
        <f t="shared" si="11"/>
        <v>0</v>
      </c>
      <c r="AD9" s="96" t="e">
        <f t="shared" si="12"/>
        <v>#DIV/0!</v>
      </c>
      <c r="AE9" s="4"/>
      <c r="AF9" s="4"/>
      <c r="AG9" s="96" t="e">
        <f t="shared" si="13"/>
        <v>#DIV/0!</v>
      </c>
      <c r="AH9" s="4">
        <f t="shared" si="14"/>
        <v>0</v>
      </c>
      <c r="AI9" s="4">
        <f t="shared" si="15"/>
        <v>0</v>
      </c>
      <c r="AJ9" s="96" t="e">
        <f t="shared" si="16"/>
        <v>#DIV/0!</v>
      </c>
      <c r="AK9" s="10"/>
      <c r="AL9" s="10"/>
      <c r="AM9" s="96" t="e">
        <f t="shared" si="17"/>
        <v>#DIV/0!</v>
      </c>
      <c r="AN9" s="10">
        <f t="shared" si="18"/>
        <v>0</v>
      </c>
      <c r="AO9" s="10">
        <f t="shared" si="19"/>
        <v>0</v>
      </c>
      <c r="AP9" s="96" t="e">
        <f t="shared" si="20"/>
        <v>#DIV/0!</v>
      </c>
      <c r="AQ9" s="97"/>
      <c r="AR9" s="97"/>
      <c r="AS9" s="96" t="e">
        <f t="shared" si="21"/>
        <v>#DIV/0!</v>
      </c>
      <c r="AT9" s="97">
        <f t="shared" si="22"/>
        <v>0</v>
      </c>
      <c r="AU9" s="97">
        <f t="shared" si="23"/>
        <v>0</v>
      </c>
      <c r="AV9" s="96" t="e">
        <f t="shared" si="24"/>
        <v>#DIV/0!</v>
      </c>
      <c r="AW9" s="4"/>
      <c r="AX9" s="4"/>
      <c r="AY9" s="96" t="e">
        <f t="shared" si="25"/>
        <v>#DIV/0!</v>
      </c>
      <c r="AZ9" s="4">
        <f t="shared" si="26"/>
        <v>0</v>
      </c>
      <c r="BA9" s="4">
        <f t="shared" si="27"/>
        <v>0</v>
      </c>
      <c r="BB9" s="96" t="e">
        <f t="shared" si="28"/>
        <v>#DIV/0!</v>
      </c>
      <c r="BC9" s="4"/>
      <c r="BD9" s="101"/>
      <c r="BE9" s="4"/>
      <c r="BF9" s="4"/>
      <c r="BG9" s="4">
        <v>0</v>
      </c>
      <c r="BH9" s="104" t="e">
        <f t="shared" si="29"/>
        <v>#DIV/0!</v>
      </c>
    </row>
    <row r="10" s="3" customFormat="1" customHeight="1" spans="1:60">
      <c r="A10" s="76" t="s">
        <v>409</v>
      </c>
      <c r="B10" s="77" t="s">
        <v>409</v>
      </c>
      <c r="C10" s="78" t="s">
        <v>421</v>
      </c>
      <c r="D10" s="12" t="s">
        <v>60</v>
      </c>
      <c r="E10" s="12" t="s">
        <v>55</v>
      </c>
      <c r="F10" s="281" t="s">
        <v>415</v>
      </c>
      <c r="G10" s="282" t="s">
        <v>415</v>
      </c>
      <c r="H10" s="77" t="s">
        <v>416</v>
      </c>
      <c r="I10" s="77">
        <v>30</v>
      </c>
      <c r="J10" s="4">
        <v>31886</v>
      </c>
      <c r="K10" s="4">
        <v>8110</v>
      </c>
      <c r="L10" s="96">
        <f t="shared" si="0"/>
        <v>-0.745656400928307</v>
      </c>
      <c r="M10" s="4">
        <v>23445</v>
      </c>
      <c r="N10" s="4"/>
      <c r="O10" s="96">
        <f t="shared" si="1"/>
        <v>-1</v>
      </c>
      <c r="P10" s="4">
        <f t="shared" si="2"/>
        <v>55331</v>
      </c>
      <c r="Q10" s="4">
        <f t="shared" si="3"/>
        <v>8110</v>
      </c>
      <c r="R10" s="96">
        <f t="shared" si="4"/>
        <v>-0.853427554173971</v>
      </c>
      <c r="S10" s="97"/>
      <c r="T10" s="97">
        <v>12629</v>
      </c>
      <c r="U10" s="96" t="e">
        <f t="shared" si="5"/>
        <v>#DIV/0!</v>
      </c>
      <c r="V10" s="98">
        <f t="shared" si="6"/>
        <v>55331</v>
      </c>
      <c r="W10" s="98">
        <f t="shared" si="7"/>
        <v>20739</v>
      </c>
      <c r="X10" s="96">
        <f t="shared" si="8"/>
        <v>-0.625182989644142</v>
      </c>
      <c r="Y10" s="4">
        <v>34450</v>
      </c>
      <c r="Z10" s="4">
        <v>11796</v>
      </c>
      <c r="AA10" s="96">
        <f t="shared" si="9"/>
        <v>-0.657590711175617</v>
      </c>
      <c r="AB10" s="4">
        <f t="shared" si="10"/>
        <v>89781</v>
      </c>
      <c r="AC10" s="4">
        <f t="shared" si="11"/>
        <v>32535</v>
      </c>
      <c r="AD10" s="96">
        <f t="shared" si="12"/>
        <v>-0.637618204297123</v>
      </c>
      <c r="AE10" s="4">
        <v>22509</v>
      </c>
      <c r="AF10" s="4">
        <v>1799</v>
      </c>
      <c r="AG10" s="96">
        <f t="shared" si="13"/>
        <v>-0.920076413878893</v>
      </c>
      <c r="AH10" s="4">
        <f t="shared" si="14"/>
        <v>112290</v>
      </c>
      <c r="AI10" s="4">
        <f t="shared" si="15"/>
        <v>34334</v>
      </c>
      <c r="AJ10" s="96">
        <f t="shared" si="16"/>
        <v>-0.694238133404577</v>
      </c>
      <c r="AK10" s="10">
        <v>14050</v>
      </c>
      <c r="AL10" s="10">
        <v>28857</v>
      </c>
      <c r="AM10" s="96">
        <f t="shared" si="17"/>
        <v>1.05387900355872</v>
      </c>
      <c r="AN10" s="10">
        <f t="shared" si="18"/>
        <v>126340</v>
      </c>
      <c r="AO10" s="10">
        <f t="shared" si="19"/>
        <v>63191</v>
      </c>
      <c r="AP10" s="96">
        <f t="shared" si="20"/>
        <v>-0.499833781858477</v>
      </c>
      <c r="AQ10" s="97"/>
      <c r="AR10" s="97">
        <v>16191</v>
      </c>
      <c r="AS10" s="96" t="e">
        <f t="shared" si="21"/>
        <v>#DIV/0!</v>
      </c>
      <c r="AT10" s="97">
        <f t="shared" si="22"/>
        <v>126340</v>
      </c>
      <c r="AU10" s="97">
        <f t="shared" si="23"/>
        <v>79382</v>
      </c>
      <c r="AV10" s="96">
        <f t="shared" si="24"/>
        <v>-0.371679594744341</v>
      </c>
      <c r="AW10" s="4">
        <v>28496</v>
      </c>
      <c r="AX10" s="4">
        <v>7813</v>
      </c>
      <c r="AY10" s="96">
        <f t="shared" si="25"/>
        <v>-0.725821167883212</v>
      </c>
      <c r="AZ10" s="4">
        <f t="shared" si="26"/>
        <v>154836</v>
      </c>
      <c r="BA10" s="4">
        <f t="shared" si="27"/>
        <v>87195</v>
      </c>
      <c r="BB10" s="96">
        <f t="shared" si="28"/>
        <v>-0.436855769975975</v>
      </c>
      <c r="BC10" s="4">
        <v>34011</v>
      </c>
      <c r="BD10" s="101"/>
      <c r="BE10" s="4">
        <v>46970</v>
      </c>
      <c r="BF10" s="4">
        <v>47627</v>
      </c>
      <c r="BG10" s="4">
        <v>283444</v>
      </c>
      <c r="BH10" s="104">
        <f t="shared" si="29"/>
        <v>0.29065</v>
      </c>
    </row>
    <row r="11" s="3" customFormat="1" customHeight="1" spans="1:60">
      <c r="A11" s="76" t="s">
        <v>409</v>
      </c>
      <c r="B11" s="77" t="s">
        <v>409</v>
      </c>
      <c r="C11" s="80" t="s">
        <v>422</v>
      </c>
      <c r="D11" s="12" t="s">
        <v>78</v>
      </c>
      <c r="E11" s="12" t="s">
        <v>78</v>
      </c>
      <c r="F11" s="12" t="s">
        <v>423</v>
      </c>
      <c r="G11" s="77" t="s">
        <v>79</v>
      </c>
      <c r="H11" s="77"/>
      <c r="I11" s="77"/>
      <c r="J11" s="4"/>
      <c r="K11" s="4"/>
      <c r="L11" s="96" t="e">
        <f t="shared" si="0"/>
        <v>#DIV/0!</v>
      </c>
      <c r="M11" s="4"/>
      <c r="N11" s="4"/>
      <c r="O11" s="96" t="e">
        <f t="shared" si="1"/>
        <v>#DIV/0!</v>
      </c>
      <c r="P11" s="4">
        <f t="shared" si="2"/>
        <v>0</v>
      </c>
      <c r="Q11" s="4">
        <f t="shared" si="3"/>
        <v>0</v>
      </c>
      <c r="R11" s="96" t="e">
        <f t="shared" si="4"/>
        <v>#DIV/0!</v>
      </c>
      <c r="S11" s="97"/>
      <c r="T11" s="97"/>
      <c r="U11" s="96" t="e">
        <f t="shared" si="5"/>
        <v>#DIV/0!</v>
      </c>
      <c r="V11" s="98">
        <f t="shared" si="6"/>
        <v>0</v>
      </c>
      <c r="W11" s="98">
        <f t="shared" si="7"/>
        <v>0</v>
      </c>
      <c r="X11" s="96" t="e">
        <f t="shared" si="8"/>
        <v>#DIV/0!</v>
      </c>
      <c r="Y11" s="4"/>
      <c r="Z11" s="4"/>
      <c r="AA11" s="96" t="e">
        <f t="shared" si="9"/>
        <v>#DIV/0!</v>
      </c>
      <c r="AB11" s="4">
        <f t="shared" si="10"/>
        <v>0</v>
      </c>
      <c r="AC11" s="4">
        <f t="shared" si="11"/>
        <v>0</v>
      </c>
      <c r="AD11" s="96" t="e">
        <f t="shared" si="12"/>
        <v>#DIV/0!</v>
      </c>
      <c r="AE11" s="4"/>
      <c r="AF11" s="4"/>
      <c r="AG11" s="96" t="e">
        <f t="shared" si="13"/>
        <v>#DIV/0!</v>
      </c>
      <c r="AH11" s="4">
        <f t="shared" si="14"/>
        <v>0</v>
      </c>
      <c r="AI11" s="4">
        <f t="shared" si="15"/>
        <v>0</v>
      </c>
      <c r="AJ11" s="96" t="e">
        <f t="shared" si="16"/>
        <v>#DIV/0!</v>
      </c>
      <c r="AK11" s="10"/>
      <c r="AL11" s="10"/>
      <c r="AM11" s="96" t="e">
        <f t="shared" si="17"/>
        <v>#DIV/0!</v>
      </c>
      <c r="AN11" s="10">
        <f t="shared" si="18"/>
        <v>0</v>
      </c>
      <c r="AO11" s="10">
        <f t="shared" si="19"/>
        <v>0</v>
      </c>
      <c r="AP11" s="96" t="e">
        <f t="shared" si="20"/>
        <v>#DIV/0!</v>
      </c>
      <c r="AQ11" s="97"/>
      <c r="AR11" s="97"/>
      <c r="AS11" s="96" t="e">
        <f t="shared" si="21"/>
        <v>#DIV/0!</v>
      </c>
      <c r="AT11" s="97">
        <f t="shared" si="22"/>
        <v>0</v>
      </c>
      <c r="AU11" s="97">
        <f t="shared" si="23"/>
        <v>0</v>
      </c>
      <c r="AV11" s="96" t="e">
        <f t="shared" si="24"/>
        <v>#DIV/0!</v>
      </c>
      <c r="AW11" s="4"/>
      <c r="AX11" s="4"/>
      <c r="AY11" s="96" t="e">
        <f t="shared" si="25"/>
        <v>#DIV/0!</v>
      </c>
      <c r="AZ11" s="4">
        <f t="shared" si="26"/>
        <v>0</v>
      </c>
      <c r="BA11" s="4">
        <f t="shared" si="27"/>
        <v>0</v>
      </c>
      <c r="BB11" s="96" t="e">
        <f t="shared" si="28"/>
        <v>#DIV/0!</v>
      </c>
      <c r="BC11" s="4"/>
      <c r="BD11" s="101"/>
      <c r="BE11" s="4"/>
      <c r="BF11" s="4"/>
      <c r="BG11" s="4">
        <v>0</v>
      </c>
      <c r="BH11" s="104" t="e">
        <f t="shared" si="29"/>
        <v>#DIV/0!</v>
      </c>
    </row>
    <row r="12" s="3" customFormat="1" customHeight="1" spans="1:60">
      <c r="A12" s="76" t="s">
        <v>409</v>
      </c>
      <c r="B12" s="77" t="s">
        <v>409</v>
      </c>
      <c r="C12" s="80" t="s">
        <v>424</v>
      </c>
      <c r="D12" s="12" t="s">
        <v>55</v>
      </c>
      <c r="E12" s="12" t="s">
        <v>55</v>
      </c>
      <c r="F12" s="281" t="s">
        <v>415</v>
      </c>
      <c r="G12" s="282" t="s">
        <v>415</v>
      </c>
      <c r="H12" s="77" t="s">
        <v>416</v>
      </c>
      <c r="I12" s="77">
        <v>60</v>
      </c>
      <c r="J12" s="4">
        <v>39949.6</v>
      </c>
      <c r="K12" s="4">
        <v>48502.36</v>
      </c>
      <c r="L12" s="96">
        <f t="shared" si="0"/>
        <v>0.214088751827302</v>
      </c>
      <c r="M12" s="4">
        <v>53457.4</v>
      </c>
      <c r="N12" s="4"/>
      <c r="O12" s="96">
        <f t="shared" si="1"/>
        <v>-1</v>
      </c>
      <c r="P12" s="4">
        <f t="shared" si="2"/>
        <v>93407</v>
      </c>
      <c r="Q12" s="4">
        <f t="shared" si="3"/>
        <v>48502.36</v>
      </c>
      <c r="R12" s="96">
        <f t="shared" si="4"/>
        <v>-0.480741700300834</v>
      </c>
      <c r="S12" s="97">
        <v>3511.2</v>
      </c>
      <c r="T12" s="97">
        <v>58906.72</v>
      </c>
      <c r="U12" s="96">
        <f t="shared" si="5"/>
        <v>15.7768056504899</v>
      </c>
      <c r="V12" s="98">
        <f t="shared" si="6"/>
        <v>96918.2</v>
      </c>
      <c r="W12" s="98">
        <f t="shared" si="7"/>
        <v>107409.08</v>
      </c>
      <c r="X12" s="96">
        <f t="shared" si="8"/>
        <v>0.108244684692865</v>
      </c>
      <c r="Y12" s="4"/>
      <c r="Z12" s="4">
        <v>111364.2</v>
      </c>
      <c r="AA12" s="96" t="e">
        <f t="shared" si="9"/>
        <v>#DIV/0!</v>
      </c>
      <c r="AB12" s="4">
        <f t="shared" si="10"/>
        <v>96918.2</v>
      </c>
      <c r="AC12" s="4">
        <f t="shared" si="11"/>
        <v>218773.28</v>
      </c>
      <c r="AD12" s="96">
        <f t="shared" si="12"/>
        <v>1.25729821643406</v>
      </c>
      <c r="AE12" s="4">
        <v>12352.88</v>
      </c>
      <c r="AF12" s="4"/>
      <c r="AG12" s="96">
        <f t="shared" si="13"/>
        <v>-1</v>
      </c>
      <c r="AH12" s="4">
        <f t="shared" si="14"/>
        <v>109271.08</v>
      </c>
      <c r="AI12" s="4">
        <f t="shared" si="15"/>
        <v>218773.28</v>
      </c>
      <c r="AJ12" s="96">
        <f t="shared" si="16"/>
        <v>1.00211510676018</v>
      </c>
      <c r="AK12" s="10">
        <v>29376.8</v>
      </c>
      <c r="AL12" s="10">
        <v>12125.48</v>
      </c>
      <c r="AM12" s="96">
        <f t="shared" si="17"/>
        <v>-0.587242994471828</v>
      </c>
      <c r="AN12" s="10">
        <f t="shared" si="18"/>
        <v>138647.88</v>
      </c>
      <c r="AO12" s="10">
        <f t="shared" si="19"/>
        <v>230898.76</v>
      </c>
      <c r="AP12" s="96">
        <f t="shared" si="20"/>
        <v>0.665360912839057</v>
      </c>
      <c r="AQ12" s="97">
        <v>40735.76</v>
      </c>
      <c r="AR12" s="97">
        <v>40795.2</v>
      </c>
      <c r="AS12" s="96">
        <f t="shared" si="21"/>
        <v>0.00145916020714965</v>
      </c>
      <c r="AT12" s="97">
        <f t="shared" si="22"/>
        <v>179383.64</v>
      </c>
      <c r="AU12" s="97">
        <f t="shared" si="23"/>
        <v>271693.96</v>
      </c>
      <c r="AV12" s="96">
        <f t="shared" si="24"/>
        <v>0.514597206300418</v>
      </c>
      <c r="AW12" s="4"/>
      <c r="AX12" s="4">
        <v>35606.44</v>
      </c>
      <c r="AY12" s="96" t="e">
        <f t="shared" si="25"/>
        <v>#DIV/0!</v>
      </c>
      <c r="AZ12" s="4">
        <f t="shared" si="26"/>
        <v>179383.64</v>
      </c>
      <c r="BA12" s="4">
        <f t="shared" si="27"/>
        <v>307300.4</v>
      </c>
      <c r="BB12" s="96">
        <f t="shared" si="28"/>
        <v>0.713090446821126</v>
      </c>
      <c r="BC12" s="4">
        <v>2182.44</v>
      </c>
      <c r="BD12" s="101">
        <v>25531.6</v>
      </c>
      <c r="BE12" s="4">
        <v>54562.52</v>
      </c>
      <c r="BF12" s="4">
        <v>68115.92</v>
      </c>
      <c r="BG12" s="4">
        <v>329776.12</v>
      </c>
      <c r="BH12" s="104">
        <f t="shared" si="29"/>
        <v>0.512167333333333</v>
      </c>
    </row>
    <row r="13" s="3" customFormat="1" customHeight="1" spans="1:60">
      <c r="A13" s="76" t="s">
        <v>409</v>
      </c>
      <c r="B13" s="77" t="s">
        <v>409</v>
      </c>
      <c r="C13" s="78" t="s">
        <v>425</v>
      </c>
      <c r="D13" s="12" t="s">
        <v>60</v>
      </c>
      <c r="E13" s="12" t="s">
        <v>60</v>
      </c>
      <c r="F13" s="281" t="s">
        <v>426</v>
      </c>
      <c r="G13" s="282" t="s">
        <v>426</v>
      </c>
      <c r="H13" s="77" t="s">
        <v>412</v>
      </c>
      <c r="I13" s="77"/>
      <c r="J13" s="4"/>
      <c r="K13" s="4"/>
      <c r="L13" s="96" t="e">
        <f t="shared" si="0"/>
        <v>#DIV/0!</v>
      </c>
      <c r="M13" s="4"/>
      <c r="N13" s="4"/>
      <c r="O13" s="96" t="e">
        <f t="shared" si="1"/>
        <v>#DIV/0!</v>
      </c>
      <c r="P13" s="4">
        <f t="shared" si="2"/>
        <v>0</v>
      </c>
      <c r="Q13" s="4">
        <f t="shared" si="3"/>
        <v>0</v>
      </c>
      <c r="R13" s="96" t="e">
        <f t="shared" si="4"/>
        <v>#DIV/0!</v>
      </c>
      <c r="S13" s="97"/>
      <c r="T13" s="97"/>
      <c r="U13" s="96" t="e">
        <f t="shared" si="5"/>
        <v>#DIV/0!</v>
      </c>
      <c r="V13" s="98">
        <f t="shared" si="6"/>
        <v>0</v>
      </c>
      <c r="W13" s="98">
        <f t="shared" si="7"/>
        <v>0</v>
      </c>
      <c r="X13" s="96" t="e">
        <f t="shared" si="8"/>
        <v>#DIV/0!</v>
      </c>
      <c r="Y13" s="4"/>
      <c r="Z13" s="4"/>
      <c r="AA13" s="96" t="e">
        <f t="shared" si="9"/>
        <v>#DIV/0!</v>
      </c>
      <c r="AB13" s="4">
        <f t="shared" si="10"/>
        <v>0</v>
      </c>
      <c r="AC13" s="4">
        <f t="shared" si="11"/>
        <v>0</v>
      </c>
      <c r="AD13" s="96" t="e">
        <f t="shared" si="12"/>
        <v>#DIV/0!</v>
      </c>
      <c r="AE13" s="4">
        <v>8890</v>
      </c>
      <c r="AF13" s="4"/>
      <c r="AG13" s="96">
        <f t="shared" si="13"/>
        <v>-1</v>
      </c>
      <c r="AH13" s="4">
        <f t="shared" si="14"/>
        <v>8890</v>
      </c>
      <c r="AI13" s="4">
        <f t="shared" si="15"/>
        <v>0</v>
      </c>
      <c r="AJ13" s="96">
        <f t="shared" si="16"/>
        <v>-1</v>
      </c>
      <c r="AK13" s="10"/>
      <c r="AL13" s="10"/>
      <c r="AM13" s="96" t="e">
        <f t="shared" si="17"/>
        <v>#DIV/0!</v>
      </c>
      <c r="AN13" s="10">
        <f t="shared" si="18"/>
        <v>8890</v>
      </c>
      <c r="AO13" s="10">
        <f t="shared" si="19"/>
        <v>0</v>
      </c>
      <c r="AP13" s="96">
        <f t="shared" si="20"/>
        <v>-1</v>
      </c>
      <c r="AQ13" s="97"/>
      <c r="AR13" s="97"/>
      <c r="AS13" s="96" t="e">
        <f t="shared" si="21"/>
        <v>#DIV/0!</v>
      </c>
      <c r="AT13" s="97">
        <f t="shared" si="22"/>
        <v>8890</v>
      </c>
      <c r="AU13" s="97">
        <f t="shared" si="23"/>
        <v>0</v>
      </c>
      <c r="AV13" s="96">
        <f t="shared" si="24"/>
        <v>-1</v>
      </c>
      <c r="AW13" s="4"/>
      <c r="AX13" s="4"/>
      <c r="AY13" s="96" t="e">
        <f t="shared" si="25"/>
        <v>#DIV/0!</v>
      </c>
      <c r="AZ13" s="4">
        <f t="shared" si="26"/>
        <v>8890</v>
      </c>
      <c r="BA13" s="4">
        <f t="shared" si="27"/>
        <v>0</v>
      </c>
      <c r="BB13" s="96">
        <f t="shared" si="28"/>
        <v>-1</v>
      </c>
      <c r="BC13" s="4"/>
      <c r="BD13" s="101"/>
      <c r="BE13" s="4"/>
      <c r="BF13" s="4"/>
      <c r="BG13" s="4">
        <v>8890</v>
      </c>
      <c r="BH13" s="104" t="e">
        <f t="shared" si="29"/>
        <v>#DIV/0!</v>
      </c>
    </row>
    <row r="14" s="3" customFormat="1" customHeight="1" spans="1:60">
      <c r="A14" s="76" t="s">
        <v>409</v>
      </c>
      <c r="B14" s="77" t="s">
        <v>409</v>
      </c>
      <c r="C14" s="78" t="s">
        <v>427</v>
      </c>
      <c r="D14" s="12" t="s">
        <v>60</v>
      </c>
      <c r="E14" s="12" t="s">
        <v>55</v>
      </c>
      <c r="F14" s="281" t="s">
        <v>411</v>
      </c>
      <c r="G14" s="282" t="s">
        <v>411</v>
      </c>
      <c r="H14" s="77" t="s">
        <v>412</v>
      </c>
      <c r="I14" s="77">
        <v>50</v>
      </c>
      <c r="J14" s="4">
        <v>50000</v>
      </c>
      <c r="K14" s="4">
        <v>100000</v>
      </c>
      <c r="L14" s="96">
        <f t="shared" si="0"/>
        <v>1</v>
      </c>
      <c r="M14" s="4"/>
      <c r="N14" s="4">
        <v>100000</v>
      </c>
      <c r="O14" s="96" t="e">
        <f t="shared" si="1"/>
        <v>#DIV/0!</v>
      </c>
      <c r="P14" s="4">
        <f t="shared" si="2"/>
        <v>50000</v>
      </c>
      <c r="Q14" s="4">
        <f t="shared" si="3"/>
        <v>200000</v>
      </c>
      <c r="R14" s="96">
        <f t="shared" si="4"/>
        <v>3</v>
      </c>
      <c r="S14" s="97">
        <v>20000</v>
      </c>
      <c r="T14" s="97">
        <v>50000</v>
      </c>
      <c r="U14" s="96">
        <f t="shared" si="5"/>
        <v>1.5</v>
      </c>
      <c r="V14" s="98">
        <f t="shared" si="6"/>
        <v>70000</v>
      </c>
      <c r="W14" s="98">
        <f t="shared" si="7"/>
        <v>250000</v>
      </c>
      <c r="X14" s="96">
        <f t="shared" si="8"/>
        <v>2.57142857142857</v>
      </c>
      <c r="Y14" s="4"/>
      <c r="Z14" s="4">
        <v>30000</v>
      </c>
      <c r="AA14" s="96" t="e">
        <f t="shared" si="9"/>
        <v>#DIV/0!</v>
      </c>
      <c r="AB14" s="4">
        <f t="shared" si="10"/>
        <v>70000</v>
      </c>
      <c r="AC14" s="4">
        <f t="shared" si="11"/>
        <v>280000</v>
      </c>
      <c r="AD14" s="96">
        <f t="shared" si="12"/>
        <v>3</v>
      </c>
      <c r="AE14" s="4">
        <v>30000</v>
      </c>
      <c r="AF14" s="4">
        <v>30000</v>
      </c>
      <c r="AG14" s="96">
        <f t="shared" si="13"/>
        <v>0</v>
      </c>
      <c r="AH14" s="4">
        <f t="shared" si="14"/>
        <v>100000</v>
      </c>
      <c r="AI14" s="4">
        <f t="shared" si="15"/>
        <v>310000</v>
      </c>
      <c r="AJ14" s="96">
        <f t="shared" si="16"/>
        <v>2.1</v>
      </c>
      <c r="AK14" s="10">
        <v>60000</v>
      </c>
      <c r="AL14" s="10">
        <v>50000</v>
      </c>
      <c r="AM14" s="96">
        <f t="shared" si="17"/>
        <v>-0.166666666666667</v>
      </c>
      <c r="AN14" s="10">
        <f t="shared" si="18"/>
        <v>160000</v>
      </c>
      <c r="AO14" s="10">
        <f t="shared" si="19"/>
        <v>360000</v>
      </c>
      <c r="AP14" s="96">
        <f t="shared" si="20"/>
        <v>1.25</v>
      </c>
      <c r="AQ14" s="97">
        <v>100000</v>
      </c>
      <c r="AR14" s="97">
        <v>261015</v>
      </c>
      <c r="AS14" s="96">
        <f t="shared" si="21"/>
        <v>1.61015</v>
      </c>
      <c r="AT14" s="97">
        <f t="shared" si="22"/>
        <v>260000</v>
      </c>
      <c r="AU14" s="97">
        <f t="shared" si="23"/>
        <v>621015</v>
      </c>
      <c r="AV14" s="96">
        <f t="shared" si="24"/>
        <v>1.38851923076923</v>
      </c>
      <c r="AW14" s="4">
        <v>183</v>
      </c>
      <c r="AX14" s="4"/>
      <c r="AY14" s="96">
        <f t="shared" si="25"/>
        <v>-1</v>
      </c>
      <c r="AZ14" s="4">
        <f t="shared" si="26"/>
        <v>260183</v>
      </c>
      <c r="BA14" s="4">
        <f t="shared" si="27"/>
        <v>621015</v>
      </c>
      <c r="BB14" s="96">
        <f t="shared" si="28"/>
        <v>1.38683926313402</v>
      </c>
      <c r="BC14" s="4">
        <v>64720</v>
      </c>
      <c r="BD14" s="101">
        <v>170000</v>
      </c>
      <c r="BE14" s="4">
        <v>100000</v>
      </c>
      <c r="BF14" s="4">
        <v>210000</v>
      </c>
      <c r="BG14" s="4">
        <v>804903</v>
      </c>
      <c r="BH14" s="104">
        <f t="shared" si="29"/>
        <v>1.24203</v>
      </c>
    </row>
    <row r="15" s="3" customFormat="1" customHeight="1" spans="1:60">
      <c r="A15" s="76" t="s">
        <v>409</v>
      </c>
      <c r="B15" s="77" t="s">
        <v>409</v>
      </c>
      <c r="C15" s="78" t="s">
        <v>428</v>
      </c>
      <c r="D15" s="12" t="s">
        <v>60</v>
      </c>
      <c r="E15" s="12" t="s">
        <v>60</v>
      </c>
      <c r="F15" s="281" t="s">
        <v>429</v>
      </c>
      <c r="G15" s="282" t="s">
        <v>429</v>
      </c>
      <c r="H15" s="77" t="s">
        <v>430</v>
      </c>
      <c r="I15" s="77"/>
      <c r="J15" s="4"/>
      <c r="K15" s="4"/>
      <c r="L15" s="96" t="e">
        <f t="shared" si="0"/>
        <v>#DIV/0!</v>
      </c>
      <c r="M15" s="4"/>
      <c r="N15" s="4"/>
      <c r="O15" s="96" t="e">
        <f t="shared" si="1"/>
        <v>#DIV/0!</v>
      </c>
      <c r="P15" s="4">
        <f t="shared" si="2"/>
        <v>0</v>
      </c>
      <c r="Q15" s="4">
        <f t="shared" si="3"/>
        <v>0</v>
      </c>
      <c r="R15" s="96" t="e">
        <f t="shared" si="4"/>
        <v>#DIV/0!</v>
      </c>
      <c r="S15" s="97"/>
      <c r="T15" s="97"/>
      <c r="U15" s="96" t="e">
        <f t="shared" si="5"/>
        <v>#DIV/0!</v>
      </c>
      <c r="V15" s="98">
        <f t="shared" si="6"/>
        <v>0</v>
      </c>
      <c r="W15" s="98">
        <f t="shared" si="7"/>
        <v>0</v>
      </c>
      <c r="X15" s="96" t="e">
        <f t="shared" si="8"/>
        <v>#DIV/0!</v>
      </c>
      <c r="Y15" s="4"/>
      <c r="Z15" s="4"/>
      <c r="AA15" s="96" t="e">
        <f t="shared" si="9"/>
        <v>#DIV/0!</v>
      </c>
      <c r="AB15" s="4">
        <f t="shared" si="10"/>
        <v>0</v>
      </c>
      <c r="AC15" s="4">
        <f t="shared" si="11"/>
        <v>0</v>
      </c>
      <c r="AD15" s="96" t="e">
        <f t="shared" si="12"/>
        <v>#DIV/0!</v>
      </c>
      <c r="AE15" s="4"/>
      <c r="AF15" s="4"/>
      <c r="AG15" s="96" t="e">
        <f t="shared" si="13"/>
        <v>#DIV/0!</v>
      </c>
      <c r="AH15" s="4">
        <f t="shared" si="14"/>
        <v>0</v>
      </c>
      <c r="AI15" s="4">
        <f t="shared" si="15"/>
        <v>0</v>
      </c>
      <c r="AJ15" s="96" t="e">
        <f t="shared" si="16"/>
        <v>#DIV/0!</v>
      </c>
      <c r="AK15" s="10"/>
      <c r="AL15" s="10"/>
      <c r="AM15" s="96" t="e">
        <f t="shared" si="17"/>
        <v>#DIV/0!</v>
      </c>
      <c r="AN15" s="10">
        <f t="shared" si="18"/>
        <v>0</v>
      </c>
      <c r="AO15" s="10">
        <f t="shared" si="19"/>
        <v>0</v>
      </c>
      <c r="AP15" s="96" t="e">
        <f t="shared" si="20"/>
        <v>#DIV/0!</v>
      </c>
      <c r="AQ15" s="97"/>
      <c r="AR15" s="97"/>
      <c r="AS15" s="96" t="e">
        <f t="shared" si="21"/>
        <v>#DIV/0!</v>
      </c>
      <c r="AT15" s="97">
        <f t="shared" si="22"/>
        <v>0</v>
      </c>
      <c r="AU15" s="97">
        <f t="shared" si="23"/>
        <v>0</v>
      </c>
      <c r="AV15" s="96" t="e">
        <f t="shared" si="24"/>
        <v>#DIV/0!</v>
      </c>
      <c r="AW15" s="4"/>
      <c r="AX15" s="4"/>
      <c r="AY15" s="96" t="e">
        <f t="shared" si="25"/>
        <v>#DIV/0!</v>
      </c>
      <c r="AZ15" s="4">
        <f t="shared" si="26"/>
        <v>0</v>
      </c>
      <c r="BA15" s="4">
        <f t="shared" si="27"/>
        <v>0</v>
      </c>
      <c r="BB15" s="96" t="e">
        <f t="shared" si="28"/>
        <v>#DIV/0!</v>
      </c>
      <c r="BC15" s="4"/>
      <c r="BD15" s="101"/>
      <c r="BE15" s="4"/>
      <c r="BF15" s="4"/>
      <c r="BG15" s="4">
        <v>0</v>
      </c>
      <c r="BH15" s="104" t="e">
        <f t="shared" si="29"/>
        <v>#DIV/0!</v>
      </c>
    </row>
    <row r="16" s="3" customFormat="1" customHeight="1" spans="1:60">
      <c r="A16" s="76" t="s">
        <v>409</v>
      </c>
      <c r="B16" s="77" t="s">
        <v>409</v>
      </c>
      <c r="C16" s="78" t="s">
        <v>431</v>
      </c>
      <c r="D16" s="12" t="s">
        <v>83</v>
      </c>
      <c r="E16" s="12" t="s">
        <v>83</v>
      </c>
      <c r="F16" s="12" t="s">
        <v>423</v>
      </c>
      <c r="G16" s="282" t="s">
        <v>432</v>
      </c>
      <c r="H16" s="77" t="s">
        <v>412</v>
      </c>
      <c r="I16" s="77"/>
      <c r="J16" s="4">
        <v>19598</v>
      </c>
      <c r="K16" s="4"/>
      <c r="L16" s="96">
        <f t="shared" si="0"/>
        <v>-1</v>
      </c>
      <c r="M16" s="4"/>
      <c r="N16" s="4"/>
      <c r="O16" s="96" t="e">
        <f t="shared" si="1"/>
        <v>#DIV/0!</v>
      </c>
      <c r="P16" s="4">
        <f t="shared" si="2"/>
        <v>19598</v>
      </c>
      <c r="Q16" s="4">
        <f t="shared" si="3"/>
        <v>0</v>
      </c>
      <c r="R16" s="96">
        <f t="shared" si="4"/>
        <v>-1</v>
      </c>
      <c r="S16" s="97">
        <v>12126</v>
      </c>
      <c r="T16" s="97"/>
      <c r="U16" s="96">
        <f t="shared" si="5"/>
        <v>-1</v>
      </c>
      <c r="V16" s="98">
        <f t="shared" si="6"/>
        <v>31724</v>
      </c>
      <c r="W16" s="98">
        <f t="shared" si="7"/>
        <v>0</v>
      </c>
      <c r="X16" s="96">
        <f t="shared" si="8"/>
        <v>-1</v>
      </c>
      <c r="Y16" s="4">
        <v>8048</v>
      </c>
      <c r="Z16" s="4"/>
      <c r="AA16" s="96">
        <f t="shared" si="9"/>
        <v>-1</v>
      </c>
      <c r="AB16" s="4">
        <f t="shared" si="10"/>
        <v>39772</v>
      </c>
      <c r="AC16" s="4">
        <f t="shared" si="11"/>
        <v>0</v>
      </c>
      <c r="AD16" s="96">
        <f t="shared" si="12"/>
        <v>-1</v>
      </c>
      <c r="AE16" s="4"/>
      <c r="AF16" s="4"/>
      <c r="AG16" s="96" t="e">
        <f t="shared" si="13"/>
        <v>#DIV/0!</v>
      </c>
      <c r="AH16" s="4">
        <f t="shared" si="14"/>
        <v>39772</v>
      </c>
      <c r="AI16" s="4">
        <f t="shared" si="15"/>
        <v>0</v>
      </c>
      <c r="AJ16" s="96">
        <f t="shared" si="16"/>
        <v>-1</v>
      </c>
      <c r="AK16" s="10">
        <v>4100</v>
      </c>
      <c r="AL16" s="10"/>
      <c r="AM16" s="96">
        <f t="shared" si="17"/>
        <v>-1</v>
      </c>
      <c r="AN16" s="10">
        <f t="shared" si="18"/>
        <v>43872</v>
      </c>
      <c r="AO16" s="10">
        <f t="shared" si="19"/>
        <v>0</v>
      </c>
      <c r="AP16" s="96">
        <f t="shared" si="20"/>
        <v>-1</v>
      </c>
      <c r="AQ16" s="97">
        <v>12498</v>
      </c>
      <c r="AR16" s="97"/>
      <c r="AS16" s="96">
        <f t="shared" si="21"/>
        <v>-1</v>
      </c>
      <c r="AT16" s="97">
        <f t="shared" si="22"/>
        <v>56370</v>
      </c>
      <c r="AU16" s="97">
        <f t="shared" si="23"/>
        <v>0</v>
      </c>
      <c r="AV16" s="96">
        <f t="shared" si="24"/>
        <v>-1</v>
      </c>
      <c r="AW16" s="4"/>
      <c r="AX16" s="4"/>
      <c r="AY16" s="96" t="e">
        <f t="shared" si="25"/>
        <v>#DIV/0!</v>
      </c>
      <c r="AZ16" s="4">
        <f t="shared" si="26"/>
        <v>56370</v>
      </c>
      <c r="BA16" s="4">
        <f t="shared" si="27"/>
        <v>0</v>
      </c>
      <c r="BB16" s="96">
        <f t="shared" si="28"/>
        <v>-1</v>
      </c>
      <c r="BC16" s="4"/>
      <c r="BD16" s="101"/>
      <c r="BE16" s="4"/>
      <c r="BF16" s="4"/>
      <c r="BG16" s="4">
        <v>56370</v>
      </c>
      <c r="BH16" s="104" t="e">
        <f t="shared" si="29"/>
        <v>#DIV/0!</v>
      </c>
    </row>
    <row r="17" s="3" customFormat="1" customHeight="1" spans="1:60">
      <c r="A17" s="76" t="s">
        <v>409</v>
      </c>
      <c r="B17" s="77" t="s">
        <v>409</v>
      </c>
      <c r="C17" s="81" t="s">
        <v>433</v>
      </c>
      <c r="D17" s="12" t="s">
        <v>83</v>
      </c>
      <c r="E17" s="12" t="s">
        <v>83</v>
      </c>
      <c r="F17" s="281" t="s">
        <v>415</v>
      </c>
      <c r="G17" s="282" t="s">
        <v>415</v>
      </c>
      <c r="H17" s="77" t="s">
        <v>416</v>
      </c>
      <c r="I17" s="77"/>
      <c r="J17" s="4">
        <v>120138</v>
      </c>
      <c r="K17" s="4"/>
      <c r="L17" s="96">
        <f t="shared" si="0"/>
        <v>-1</v>
      </c>
      <c r="M17" s="4">
        <v>5300</v>
      </c>
      <c r="N17" s="4"/>
      <c r="O17" s="96">
        <f t="shared" si="1"/>
        <v>-1</v>
      </c>
      <c r="P17" s="4">
        <f t="shared" si="2"/>
        <v>125438</v>
      </c>
      <c r="Q17" s="4">
        <f t="shared" si="3"/>
        <v>0</v>
      </c>
      <c r="R17" s="96">
        <f t="shared" si="4"/>
        <v>-1</v>
      </c>
      <c r="S17" s="97">
        <v>42550</v>
      </c>
      <c r="T17" s="97"/>
      <c r="U17" s="96">
        <f t="shared" si="5"/>
        <v>-1</v>
      </c>
      <c r="V17" s="98">
        <f t="shared" si="6"/>
        <v>167988</v>
      </c>
      <c r="W17" s="98">
        <f t="shared" si="7"/>
        <v>0</v>
      </c>
      <c r="X17" s="96">
        <f t="shared" si="8"/>
        <v>-1</v>
      </c>
      <c r="Y17" s="4">
        <v>21498</v>
      </c>
      <c r="Z17" s="4"/>
      <c r="AA17" s="96">
        <f t="shared" si="9"/>
        <v>-1</v>
      </c>
      <c r="AB17" s="4">
        <f t="shared" si="10"/>
        <v>189486</v>
      </c>
      <c r="AC17" s="4">
        <f t="shared" si="11"/>
        <v>0</v>
      </c>
      <c r="AD17" s="96">
        <f t="shared" si="12"/>
        <v>-1</v>
      </c>
      <c r="AE17" s="4">
        <v>-5350</v>
      </c>
      <c r="AF17" s="4"/>
      <c r="AG17" s="96">
        <f t="shared" si="13"/>
        <v>-1</v>
      </c>
      <c r="AH17" s="4">
        <f t="shared" si="14"/>
        <v>184136</v>
      </c>
      <c r="AI17" s="4">
        <f t="shared" si="15"/>
        <v>0</v>
      </c>
      <c r="AJ17" s="96">
        <f t="shared" si="16"/>
        <v>-1</v>
      </c>
      <c r="AK17" s="10">
        <v>-5100</v>
      </c>
      <c r="AL17" s="10"/>
      <c r="AM17" s="96">
        <f t="shared" si="17"/>
        <v>-1</v>
      </c>
      <c r="AN17" s="10">
        <f t="shared" si="18"/>
        <v>179036</v>
      </c>
      <c r="AO17" s="10">
        <f t="shared" si="19"/>
        <v>0</v>
      </c>
      <c r="AP17" s="96">
        <f t="shared" si="20"/>
        <v>-1</v>
      </c>
      <c r="AQ17" s="97"/>
      <c r="AR17" s="97"/>
      <c r="AS17" s="96" t="e">
        <f t="shared" si="21"/>
        <v>#DIV/0!</v>
      </c>
      <c r="AT17" s="97">
        <f t="shared" si="22"/>
        <v>179036</v>
      </c>
      <c r="AU17" s="97">
        <f t="shared" si="23"/>
        <v>0</v>
      </c>
      <c r="AV17" s="96">
        <f t="shared" si="24"/>
        <v>-1</v>
      </c>
      <c r="AW17" s="4"/>
      <c r="AX17" s="4"/>
      <c r="AY17" s="96" t="e">
        <f t="shared" si="25"/>
        <v>#DIV/0!</v>
      </c>
      <c r="AZ17" s="4">
        <f t="shared" si="26"/>
        <v>179036</v>
      </c>
      <c r="BA17" s="4">
        <f t="shared" si="27"/>
        <v>0</v>
      </c>
      <c r="BB17" s="96">
        <f t="shared" si="28"/>
        <v>-1</v>
      </c>
      <c r="BC17" s="4"/>
      <c r="BD17" s="101"/>
      <c r="BE17" s="4"/>
      <c r="BF17" s="4"/>
      <c r="BG17" s="4">
        <v>179036</v>
      </c>
      <c r="BH17" s="104" t="e">
        <f t="shared" si="29"/>
        <v>#DIV/0!</v>
      </c>
    </row>
    <row r="18" s="3" customFormat="1" customHeight="1" spans="1:60">
      <c r="A18" s="76" t="s">
        <v>409</v>
      </c>
      <c r="B18" s="77" t="s">
        <v>409</v>
      </c>
      <c r="C18" s="82" t="s">
        <v>434</v>
      </c>
      <c r="D18" s="12" t="s">
        <v>60</v>
      </c>
      <c r="E18" s="12" t="s">
        <v>60</v>
      </c>
      <c r="F18" s="281" t="s">
        <v>426</v>
      </c>
      <c r="G18" s="282" t="s">
        <v>426</v>
      </c>
      <c r="H18" s="77" t="s">
        <v>412</v>
      </c>
      <c r="I18" s="77"/>
      <c r="J18" s="4">
        <v>30747</v>
      </c>
      <c r="K18" s="4"/>
      <c r="L18" s="96">
        <f t="shared" si="0"/>
        <v>-1</v>
      </c>
      <c r="M18" s="4"/>
      <c r="N18" s="4"/>
      <c r="O18" s="96" t="e">
        <f t="shared" si="1"/>
        <v>#DIV/0!</v>
      </c>
      <c r="P18" s="4">
        <f t="shared" si="2"/>
        <v>30747</v>
      </c>
      <c r="Q18" s="4">
        <f t="shared" si="3"/>
        <v>0</v>
      </c>
      <c r="R18" s="96">
        <f t="shared" si="4"/>
        <v>-1</v>
      </c>
      <c r="S18" s="97"/>
      <c r="T18" s="97"/>
      <c r="U18" s="96" t="e">
        <f t="shared" si="5"/>
        <v>#DIV/0!</v>
      </c>
      <c r="V18" s="98">
        <f t="shared" si="6"/>
        <v>30747</v>
      </c>
      <c r="W18" s="98">
        <f t="shared" si="7"/>
        <v>0</v>
      </c>
      <c r="X18" s="96">
        <f t="shared" si="8"/>
        <v>-1</v>
      </c>
      <c r="Y18" s="4"/>
      <c r="Z18" s="4"/>
      <c r="AA18" s="96" t="e">
        <f t="shared" si="9"/>
        <v>#DIV/0!</v>
      </c>
      <c r="AB18" s="4">
        <f t="shared" si="10"/>
        <v>30747</v>
      </c>
      <c r="AC18" s="4">
        <f t="shared" si="11"/>
        <v>0</v>
      </c>
      <c r="AD18" s="96">
        <f t="shared" si="12"/>
        <v>-1</v>
      </c>
      <c r="AE18" s="4"/>
      <c r="AF18" s="4"/>
      <c r="AG18" s="96" t="e">
        <f t="shared" si="13"/>
        <v>#DIV/0!</v>
      </c>
      <c r="AH18" s="4">
        <f t="shared" si="14"/>
        <v>30747</v>
      </c>
      <c r="AI18" s="4">
        <f t="shared" si="15"/>
        <v>0</v>
      </c>
      <c r="AJ18" s="96">
        <f t="shared" si="16"/>
        <v>-1</v>
      </c>
      <c r="AK18" s="10"/>
      <c r="AL18" s="10"/>
      <c r="AM18" s="96" t="e">
        <f t="shared" si="17"/>
        <v>#DIV/0!</v>
      </c>
      <c r="AN18" s="10">
        <f t="shared" si="18"/>
        <v>30747</v>
      </c>
      <c r="AO18" s="10">
        <f t="shared" si="19"/>
        <v>0</v>
      </c>
      <c r="AP18" s="96">
        <f t="shared" si="20"/>
        <v>-1</v>
      </c>
      <c r="AQ18" s="97"/>
      <c r="AR18" s="97"/>
      <c r="AS18" s="96" t="e">
        <f t="shared" si="21"/>
        <v>#DIV/0!</v>
      </c>
      <c r="AT18" s="97">
        <f t="shared" si="22"/>
        <v>30747</v>
      </c>
      <c r="AU18" s="97">
        <f t="shared" si="23"/>
        <v>0</v>
      </c>
      <c r="AV18" s="96">
        <f t="shared" si="24"/>
        <v>-1</v>
      </c>
      <c r="AW18" s="4"/>
      <c r="AX18" s="4"/>
      <c r="AY18" s="96" t="e">
        <f t="shared" si="25"/>
        <v>#DIV/0!</v>
      </c>
      <c r="AZ18" s="4">
        <f t="shared" si="26"/>
        <v>30747</v>
      </c>
      <c r="BA18" s="4">
        <f t="shared" si="27"/>
        <v>0</v>
      </c>
      <c r="BB18" s="96">
        <f t="shared" si="28"/>
        <v>-1</v>
      </c>
      <c r="BC18" s="4"/>
      <c r="BD18" s="101"/>
      <c r="BE18" s="4"/>
      <c r="BF18" s="4"/>
      <c r="BG18" s="4">
        <v>30747</v>
      </c>
      <c r="BH18" s="104" t="e">
        <f t="shared" si="29"/>
        <v>#DIV/0!</v>
      </c>
    </row>
    <row r="19" s="3" customFormat="1" customHeight="1" spans="1:60">
      <c r="A19" s="76" t="s">
        <v>409</v>
      </c>
      <c r="B19" s="77" t="s">
        <v>409</v>
      </c>
      <c r="C19" s="81" t="s">
        <v>435</v>
      </c>
      <c r="D19" s="12" t="s">
        <v>60</v>
      </c>
      <c r="E19" s="12" t="s">
        <v>60</v>
      </c>
      <c r="F19" s="281" t="s">
        <v>415</v>
      </c>
      <c r="G19" s="282" t="s">
        <v>415</v>
      </c>
      <c r="H19" s="77" t="s">
        <v>416</v>
      </c>
      <c r="I19" s="77"/>
      <c r="J19" s="4">
        <v>6935</v>
      </c>
      <c r="K19" s="4"/>
      <c r="L19" s="96">
        <f t="shared" si="0"/>
        <v>-1</v>
      </c>
      <c r="M19" s="4"/>
      <c r="N19" s="4"/>
      <c r="O19" s="96" t="e">
        <f t="shared" si="1"/>
        <v>#DIV/0!</v>
      </c>
      <c r="P19" s="4">
        <f t="shared" si="2"/>
        <v>6935</v>
      </c>
      <c r="Q19" s="4">
        <f t="shared" si="3"/>
        <v>0</v>
      </c>
      <c r="R19" s="96">
        <f t="shared" si="4"/>
        <v>-1</v>
      </c>
      <c r="S19" s="97">
        <v>1790</v>
      </c>
      <c r="T19" s="97"/>
      <c r="U19" s="96">
        <f t="shared" si="5"/>
        <v>-1</v>
      </c>
      <c r="V19" s="98">
        <f t="shared" si="6"/>
        <v>8725</v>
      </c>
      <c r="W19" s="98">
        <f t="shared" si="7"/>
        <v>0</v>
      </c>
      <c r="X19" s="96">
        <f t="shared" si="8"/>
        <v>-1</v>
      </c>
      <c r="Y19" s="4">
        <v>3360</v>
      </c>
      <c r="Z19" s="4"/>
      <c r="AA19" s="96">
        <f t="shared" si="9"/>
        <v>-1</v>
      </c>
      <c r="AB19" s="4">
        <f t="shared" si="10"/>
        <v>12085</v>
      </c>
      <c r="AC19" s="4">
        <f t="shared" si="11"/>
        <v>0</v>
      </c>
      <c r="AD19" s="96">
        <f t="shared" si="12"/>
        <v>-1</v>
      </c>
      <c r="AE19" s="4"/>
      <c r="AF19" s="4"/>
      <c r="AG19" s="96" t="e">
        <f t="shared" si="13"/>
        <v>#DIV/0!</v>
      </c>
      <c r="AH19" s="4">
        <f t="shared" si="14"/>
        <v>12085</v>
      </c>
      <c r="AI19" s="4">
        <f t="shared" si="15"/>
        <v>0</v>
      </c>
      <c r="AJ19" s="96">
        <f t="shared" si="16"/>
        <v>-1</v>
      </c>
      <c r="AK19" s="10"/>
      <c r="AL19" s="10"/>
      <c r="AM19" s="96" t="e">
        <f t="shared" si="17"/>
        <v>#DIV/0!</v>
      </c>
      <c r="AN19" s="10">
        <f t="shared" si="18"/>
        <v>12085</v>
      </c>
      <c r="AO19" s="10">
        <f t="shared" si="19"/>
        <v>0</v>
      </c>
      <c r="AP19" s="96">
        <f t="shared" si="20"/>
        <v>-1</v>
      </c>
      <c r="AQ19" s="97"/>
      <c r="AR19" s="97"/>
      <c r="AS19" s="96" t="e">
        <f t="shared" si="21"/>
        <v>#DIV/0!</v>
      </c>
      <c r="AT19" s="97">
        <f t="shared" si="22"/>
        <v>12085</v>
      </c>
      <c r="AU19" s="97">
        <f t="shared" si="23"/>
        <v>0</v>
      </c>
      <c r="AV19" s="96">
        <f t="shared" si="24"/>
        <v>-1</v>
      </c>
      <c r="AW19" s="4"/>
      <c r="AX19" s="4"/>
      <c r="AY19" s="96" t="e">
        <f t="shared" si="25"/>
        <v>#DIV/0!</v>
      </c>
      <c r="AZ19" s="4">
        <f t="shared" si="26"/>
        <v>12085</v>
      </c>
      <c r="BA19" s="4">
        <f t="shared" si="27"/>
        <v>0</v>
      </c>
      <c r="BB19" s="96">
        <f t="shared" si="28"/>
        <v>-1</v>
      </c>
      <c r="BC19" s="4"/>
      <c r="BD19" s="101"/>
      <c r="BE19" s="4"/>
      <c r="BF19" s="4"/>
      <c r="BG19" s="4">
        <v>12085</v>
      </c>
      <c r="BH19" s="104" t="e">
        <f t="shared" si="29"/>
        <v>#DIV/0!</v>
      </c>
    </row>
    <row r="20" s="3" customFormat="1" customHeight="1" spans="1:60">
      <c r="A20" s="76" t="s">
        <v>409</v>
      </c>
      <c r="B20" s="77" t="s">
        <v>409</v>
      </c>
      <c r="C20" s="81" t="s">
        <v>436</v>
      </c>
      <c r="D20" s="12" t="s">
        <v>83</v>
      </c>
      <c r="E20" s="12" t="s">
        <v>83</v>
      </c>
      <c r="F20" s="281" t="s">
        <v>411</v>
      </c>
      <c r="G20" s="282" t="s">
        <v>411</v>
      </c>
      <c r="H20" s="77"/>
      <c r="I20" s="77"/>
      <c r="J20" s="4"/>
      <c r="K20" s="4"/>
      <c r="L20" s="96" t="e">
        <f t="shared" si="0"/>
        <v>#DIV/0!</v>
      </c>
      <c r="M20" s="4"/>
      <c r="N20" s="4"/>
      <c r="O20" s="96" t="e">
        <f t="shared" si="1"/>
        <v>#DIV/0!</v>
      </c>
      <c r="P20" s="4">
        <f t="shared" si="2"/>
        <v>0</v>
      </c>
      <c r="Q20" s="4">
        <f t="shared" si="3"/>
        <v>0</v>
      </c>
      <c r="R20" s="96" t="e">
        <f t="shared" si="4"/>
        <v>#DIV/0!</v>
      </c>
      <c r="S20" s="97"/>
      <c r="T20" s="97"/>
      <c r="U20" s="96" t="e">
        <f t="shared" si="5"/>
        <v>#DIV/0!</v>
      </c>
      <c r="V20" s="98">
        <f t="shared" si="6"/>
        <v>0</v>
      </c>
      <c r="W20" s="98">
        <f t="shared" si="7"/>
        <v>0</v>
      </c>
      <c r="X20" s="96" t="e">
        <f t="shared" si="8"/>
        <v>#DIV/0!</v>
      </c>
      <c r="Y20" s="4"/>
      <c r="Z20" s="4"/>
      <c r="AA20" s="96" t="e">
        <f t="shared" si="9"/>
        <v>#DIV/0!</v>
      </c>
      <c r="AB20" s="4">
        <f t="shared" si="10"/>
        <v>0</v>
      </c>
      <c r="AC20" s="4">
        <f t="shared" si="11"/>
        <v>0</v>
      </c>
      <c r="AD20" s="96" t="e">
        <f t="shared" si="12"/>
        <v>#DIV/0!</v>
      </c>
      <c r="AE20" s="4"/>
      <c r="AF20" s="4"/>
      <c r="AG20" s="96" t="e">
        <f t="shared" si="13"/>
        <v>#DIV/0!</v>
      </c>
      <c r="AH20" s="4">
        <f t="shared" si="14"/>
        <v>0</v>
      </c>
      <c r="AI20" s="4">
        <f t="shared" si="15"/>
        <v>0</v>
      </c>
      <c r="AJ20" s="96" t="e">
        <f t="shared" si="16"/>
        <v>#DIV/0!</v>
      </c>
      <c r="AK20" s="10"/>
      <c r="AL20" s="10"/>
      <c r="AM20" s="96" t="e">
        <f t="shared" si="17"/>
        <v>#DIV/0!</v>
      </c>
      <c r="AN20" s="10">
        <f t="shared" si="18"/>
        <v>0</v>
      </c>
      <c r="AO20" s="10">
        <f t="shared" si="19"/>
        <v>0</v>
      </c>
      <c r="AP20" s="96" t="e">
        <f t="shared" si="20"/>
        <v>#DIV/0!</v>
      </c>
      <c r="AQ20" s="97"/>
      <c r="AR20" s="97"/>
      <c r="AS20" s="96" t="e">
        <f t="shared" si="21"/>
        <v>#DIV/0!</v>
      </c>
      <c r="AT20" s="97">
        <f t="shared" si="22"/>
        <v>0</v>
      </c>
      <c r="AU20" s="97">
        <f t="shared" si="23"/>
        <v>0</v>
      </c>
      <c r="AV20" s="96" t="e">
        <f t="shared" si="24"/>
        <v>#DIV/0!</v>
      </c>
      <c r="AW20" s="4"/>
      <c r="AX20" s="4"/>
      <c r="AY20" s="96" t="e">
        <f t="shared" si="25"/>
        <v>#DIV/0!</v>
      </c>
      <c r="AZ20" s="4">
        <f t="shared" si="26"/>
        <v>0</v>
      </c>
      <c r="BA20" s="4">
        <f t="shared" si="27"/>
        <v>0</v>
      </c>
      <c r="BB20" s="96" t="e">
        <f t="shared" si="28"/>
        <v>#DIV/0!</v>
      </c>
      <c r="BC20" s="4"/>
      <c r="BD20" s="101"/>
      <c r="BE20" s="4"/>
      <c r="BF20" s="4"/>
      <c r="BG20" s="4">
        <v>0</v>
      </c>
      <c r="BH20" s="104" t="e">
        <f t="shared" si="29"/>
        <v>#DIV/0!</v>
      </c>
    </row>
    <row r="21" s="3" customFormat="1" customHeight="1" spans="1:60">
      <c r="A21" s="76" t="s">
        <v>409</v>
      </c>
      <c r="B21" s="77" t="s">
        <v>409</v>
      </c>
      <c r="C21" s="81" t="s">
        <v>437</v>
      </c>
      <c r="D21" s="12" t="s">
        <v>60</v>
      </c>
      <c r="E21" s="12" t="s">
        <v>60</v>
      </c>
      <c r="F21" s="281" t="s">
        <v>438</v>
      </c>
      <c r="G21" s="282" t="s">
        <v>438</v>
      </c>
      <c r="H21" s="77" t="s">
        <v>430</v>
      </c>
      <c r="I21" s="77"/>
      <c r="J21" s="4"/>
      <c r="K21" s="4"/>
      <c r="L21" s="96" t="e">
        <f t="shared" si="0"/>
        <v>#DIV/0!</v>
      </c>
      <c r="M21" s="4"/>
      <c r="N21" s="4"/>
      <c r="O21" s="96" t="e">
        <f t="shared" si="1"/>
        <v>#DIV/0!</v>
      </c>
      <c r="P21" s="4">
        <f t="shared" si="2"/>
        <v>0</v>
      </c>
      <c r="Q21" s="4">
        <f t="shared" si="3"/>
        <v>0</v>
      </c>
      <c r="R21" s="96" t="e">
        <f t="shared" si="4"/>
        <v>#DIV/0!</v>
      </c>
      <c r="S21" s="97"/>
      <c r="T21" s="97"/>
      <c r="U21" s="96" t="e">
        <f t="shared" si="5"/>
        <v>#DIV/0!</v>
      </c>
      <c r="V21" s="98">
        <f t="shared" si="6"/>
        <v>0</v>
      </c>
      <c r="W21" s="98">
        <f t="shared" si="7"/>
        <v>0</v>
      </c>
      <c r="X21" s="96" t="e">
        <f t="shared" si="8"/>
        <v>#DIV/0!</v>
      </c>
      <c r="Y21" s="4"/>
      <c r="Z21" s="4"/>
      <c r="AA21" s="96" t="e">
        <f t="shared" si="9"/>
        <v>#DIV/0!</v>
      </c>
      <c r="AB21" s="4">
        <f t="shared" si="10"/>
        <v>0</v>
      </c>
      <c r="AC21" s="4">
        <f t="shared" si="11"/>
        <v>0</v>
      </c>
      <c r="AD21" s="96" t="e">
        <f t="shared" si="12"/>
        <v>#DIV/0!</v>
      </c>
      <c r="AE21" s="4"/>
      <c r="AF21" s="4"/>
      <c r="AG21" s="96" t="e">
        <f t="shared" si="13"/>
        <v>#DIV/0!</v>
      </c>
      <c r="AH21" s="4">
        <f t="shared" si="14"/>
        <v>0</v>
      </c>
      <c r="AI21" s="4">
        <f t="shared" si="15"/>
        <v>0</v>
      </c>
      <c r="AJ21" s="96" t="e">
        <f t="shared" si="16"/>
        <v>#DIV/0!</v>
      </c>
      <c r="AK21" s="10"/>
      <c r="AL21" s="10"/>
      <c r="AM21" s="96" t="e">
        <f t="shared" si="17"/>
        <v>#DIV/0!</v>
      </c>
      <c r="AN21" s="10">
        <f t="shared" si="18"/>
        <v>0</v>
      </c>
      <c r="AO21" s="10">
        <f t="shared" si="19"/>
        <v>0</v>
      </c>
      <c r="AP21" s="96" t="e">
        <f t="shared" si="20"/>
        <v>#DIV/0!</v>
      </c>
      <c r="AQ21" s="97"/>
      <c r="AR21" s="97"/>
      <c r="AS21" s="96" t="e">
        <f t="shared" si="21"/>
        <v>#DIV/0!</v>
      </c>
      <c r="AT21" s="97">
        <f t="shared" si="22"/>
        <v>0</v>
      </c>
      <c r="AU21" s="97">
        <f t="shared" si="23"/>
        <v>0</v>
      </c>
      <c r="AV21" s="96" t="e">
        <f t="shared" si="24"/>
        <v>#DIV/0!</v>
      </c>
      <c r="AW21" s="4"/>
      <c r="AX21" s="4"/>
      <c r="AY21" s="96" t="e">
        <f t="shared" si="25"/>
        <v>#DIV/0!</v>
      </c>
      <c r="AZ21" s="4">
        <f t="shared" si="26"/>
        <v>0</v>
      </c>
      <c r="BA21" s="4">
        <f t="shared" si="27"/>
        <v>0</v>
      </c>
      <c r="BB21" s="96" t="e">
        <f t="shared" si="28"/>
        <v>#DIV/0!</v>
      </c>
      <c r="BC21" s="4"/>
      <c r="BD21" s="101"/>
      <c r="BE21" s="4"/>
      <c r="BF21" s="4"/>
      <c r="BG21" s="4">
        <v>0</v>
      </c>
      <c r="BH21" s="104" t="e">
        <f t="shared" si="29"/>
        <v>#DIV/0!</v>
      </c>
    </row>
    <row r="22" s="3" customFormat="1" customHeight="1" spans="1:60">
      <c r="A22" s="76" t="s">
        <v>409</v>
      </c>
      <c r="B22" s="77" t="s">
        <v>409</v>
      </c>
      <c r="C22" s="81" t="s">
        <v>439</v>
      </c>
      <c r="D22" s="12" t="s">
        <v>60</v>
      </c>
      <c r="E22" s="12" t="s">
        <v>60</v>
      </c>
      <c r="F22" s="12" t="s">
        <v>423</v>
      </c>
      <c r="G22" s="282" t="s">
        <v>440</v>
      </c>
      <c r="H22" s="77" t="s">
        <v>412</v>
      </c>
      <c r="I22" s="77"/>
      <c r="J22" s="4"/>
      <c r="K22" s="4"/>
      <c r="L22" s="96" t="e">
        <f t="shared" si="0"/>
        <v>#DIV/0!</v>
      </c>
      <c r="M22" s="4"/>
      <c r="N22" s="4"/>
      <c r="O22" s="96" t="e">
        <f t="shared" si="1"/>
        <v>#DIV/0!</v>
      </c>
      <c r="P22" s="4">
        <f t="shared" si="2"/>
        <v>0</v>
      </c>
      <c r="Q22" s="4">
        <f t="shared" si="3"/>
        <v>0</v>
      </c>
      <c r="R22" s="96" t="e">
        <f t="shared" si="4"/>
        <v>#DIV/0!</v>
      </c>
      <c r="S22" s="97"/>
      <c r="T22" s="97"/>
      <c r="U22" s="96" t="e">
        <f t="shared" si="5"/>
        <v>#DIV/0!</v>
      </c>
      <c r="V22" s="98">
        <f t="shared" si="6"/>
        <v>0</v>
      </c>
      <c r="W22" s="98">
        <f t="shared" si="7"/>
        <v>0</v>
      </c>
      <c r="X22" s="96" t="e">
        <f t="shared" si="8"/>
        <v>#DIV/0!</v>
      </c>
      <c r="Y22" s="4"/>
      <c r="Z22" s="4"/>
      <c r="AA22" s="96" t="e">
        <f t="shared" si="9"/>
        <v>#DIV/0!</v>
      </c>
      <c r="AB22" s="4">
        <f t="shared" si="10"/>
        <v>0</v>
      </c>
      <c r="AC22" s="4">
        <f t="shared" si="11"/>
        <v>0</v>
      </c>
      <c r="AD22" s="96" t="e">
        <f t="shared" si="12"/>
        <v>#DIV/0!</v>
      </c>
      <c r="AE22" s="4"/>
      <c r="AF22" s="4"/>
      <c r="AG22" s="96" t="e">
        <f t="shared" si="13"/>
        <v>#DIV/0!</v>
      </c>
      <c r="AH22" s="4">
        <f t="shared" si="14"/>
        <v>0</v>
      </c>
      <c r="AI22" s="4">
        <f t="shared" si="15"/>
        <v>0</v>
      </c>
      <c r="AJ22" s="96" t="e">
        <f t="shared" si="16"/>
        <v>#DIV/0!</v>
      </c>
      <c r="AK22" s="10"/>
      <c r="AL22" s="10"/>
      <c r="AM22" s="96" t="e">
        <f t="shared" si="17"/>
        <v>#DIV/0!</v>
      </c>
      <c r="AN22" s="10">
        <f t="shared" si="18"/>
        <v>0</v>
      </c>
      <c r="AO22" s="10">
        <f t="shared" si="19"/>
        <v>0</v>
      </c>
      <c r="AP22" s="96" t="e">
        <f t="shared" si="20"/>
        <v>#DIV/0!</v>
      </c>
      <c r="AQ22" s="97"/>
      <c r="AR22" s="97"/>
      <c r="AS22" s="96" t="e">
        <f t="shared" si="21"/>
        <v>#DIV/0!</v>
      </c>
      <c r="AT22" s="97">
        <f t="shared" si="22"/>
        <v>0</v>
      </c>
      <c r="AU22" s="97">
        <f t="shared" si="23"/>
        <v>0</v>
      </c>
      <c r="AV22" s="96" t="e">
        <f t="shared" si="24"/>
        <v>#DIV/0!</v>
      </c>
      <c r="AW22" s="4"/>
      <c r="AX22" s="4"/>
      <c r="AY22" s="96" t="e">
        <f t="shared" si="25"/>
        <v>#DIV/0!</v>
      </c>
      <c r="AZ22" s="4">
        <f t="shared" si="26"/>
        <v>0</v>
      </c>
      <c r="BA22" s="4">
        <f t="shared" si="27"/>
        <v>0</v>
      </c>
      <c r="BB22" s="96" t="e">
        <f t="shared" si="28"/>
        <v>#DIV/0!</v>
      </c>
      <c r="BC22" s="4"/>
      <c r="BD22" s="101"/>
      <c r="BE22" s="4"/>
      <c r="BF22" s="4"/>
      <c r="BG22" s="4">
        <v>0</v>
      </c>
      <c r="BH22" s="104" t="e">
        <f t="shared" si="29"/>
        <v>#DIV/0!</v>
      </c>
    </row>
    <row r="23" s="1" customFormat="1" customHeight="1" spans="1:60">
      <c r="A23" s="76" t="s">
        <v>409</v>
      </c>
      <c r="B23" s="77" t="s">
        <v>409</v>
      </c>
      <c r="C23" s="83" t="s">
        <v>441</v>
      </c>
      <c r="D23" s="12" t="s">
        <v>83</v>
      </c>
      <c r="E23" s="12" t="s">
        <v>83</v>
      </c>
      <c r="F23" s="281" t="s">
        <v>415</v>
      </c>
      <c r="G23" s="283" t="s">
        <v>415</v>
      </c>
      <c r="H23" s="77" t="s">
        <v>416</v>
      </c>
      <c r="I23" s="77">
        <v>75</v>
      </c>
      <c r="J23" s="4">
        <v>27260</v>
      </c>
      <c r="K23" s="4">
        <v>5740</v>
      </c>
      <c r="L23" s="96">
        <f t="shared" si="0"/>
        <v>-0.789435069699193</v>
      </c>
      <c r="M23" s="4"/>
      <c r="N23" s="4"/>
      <c r="O23" s="96" t="e">
        <f t="shared" si="1"/>
        <v>#DIV/0!</v>
      </c>
      <c r="P23" s="4">
        <f t="shared" si="2"/>
        <v>27260</v>
      </c>
      <c r="Q23" s="4">
        <f t="shared" si="3"/>
        <v>5740</v>
      </c>
      <c r="R23" s="96">
        <f t="shared" si="4"/>
        <v>-0.789435069699193</v>
      </c>
      <c r="S23" s="97">
        <v>39798</v>
      </c>
      <c r="T23" s="97">
        <v>171582</v>
      </c>
      <c r="U23" s="96">
        <f t="shared" si="5"/>
        <v>3.31132217699382</v>
      </c>
      <c r="V23" s="98">
        <f t="shared" si="6"/>
        <v>67058</v>
      </c>
      <c r="W23" s="98">
        <f t="shared" si="7"/>
        <v>177322</v>
      </c>
      <c r="X23" s="96">
        <f t="shared" si="8"/>
        <v>1.64430791255331</v>
      </c>
      <c r="Y23" s="4">
        <v>16600</v>
      </c>
      <c r="Z23" s="4">
        <v>18753</v>
      </c>
      <c r="AA23" s="96">
        <f t="shared" si="9"/>
        <v>0.129698795180723</v>
      </c>
      <c r="AB23" s="4">
        <f t="shared" si="10"/>
        <v>83658</v>
      </c>
      <c r="AC23" s="4">
        <f t="shared" si="11"/>
        <v>196075</v>
      </c>
      <c r="AD23" s="96">
        <f t="shared" si="12"/>
        <v>1.3437686772335</v>
      </c>
      <c r="AE23" s="4">
        <v>13180</v>
      </c>
      <c r="AF23" s="4">
        <v>9903</v>
      </c>
      <c r="AG23" s="96">
        <f t="shared" si="13"/>
        <v>-0.248634294385432</v>
      </c>
      <c r="AH23" s="4">
        <f t="shared" si="14"/>
        <v>96838</v>
      </c>
      <c r="AI23" s="4">
        <f t="shared" si="15"/>
        <v>205978</v>
      </c>
      <c r="AJ23" s="96">
        <f t="shared" si="16"/>
        <v>1.12703690699932</v>
      </c>
      <c r="AK23" s="10">
        <v>14700</v>
      </c>
      <c r="AL23" s="10">
        <v>47569</v>
      </c>
      <c r="AM23" s="96">
        <f t="shared" si="17"/>
        <v>2.23598639455782</v>
      </c>
      <c r="AN23" s="10">
        <f t="shared" si="18"/>
        <v>111538</v>
      </c>
      <c r="AO23" s="10">
        <f t="shared" si="19"/>
        <v>253547</v>
      </c>
      <c r="AP23" s="96">
        <f t="shared" si="20"/>
        <v>1.27318940630099</v>
      </c>
      <c r="AQ23" s="97">
        <v>24650</v>
      </c>
      <c r="AR23" s="97">
        <v>8027</v>
      </c>
      <c r="AS23" s="96">
        <f t="shared" si="21"/>
        <v>-0.674361054766734</v>
      </c>
      <c r="AT23" s="97">
        <f t="shared" si="22"/>
        <v>136188</v>
      </c>
      <c r="AU23" s="97">
        <f t="shared" si="23"/>
        <v>261574</v>
      </c>
      <c r="AV23" s="96">
        <f t="shared" si="24"/>
        <v>0.920683173260493</v>
      </c>
      <c r="AW23" s="4">
        <v>7800</v>
      </c>
      <c r="AX23" s="4">
        <v>18191</v>
      </c>
      <c r="AY23" s="96">
        <f t="shared" si="25"/>
        <v>1.33217948717949</v>
      </c>
      <c r="AZ23" s="4">
        <f t="shared" si="26"/>
        <v>143988</v>
      </c>
      <c r="BA23" s="4">
        <f t="shared" si="27"/>
        <v>279765</v>
      </c>
      <c r="BB23" s="96">
        <f t="shared" si="28"/>
        <v>0.942974414534544</v>
      </c>
      <c r="BC23" s="4">
        <v>78325</v>
      </c>
      <c r="BD23" s="101">
        <v>155793</v>
      </c>
      <c r="BE23" s="4">
        <v>68760</v>
      </c>
      <c r="BF23" s="4">
        <v>115959</v>
      </c>
      <c r="BG23" s="4">
        <v>562825</v>
      </c>
      <c r="BH23" s="104">
        <f t="shared" si="29"/>
        <v>0.37302</v>
      </c>
    </row>
    <row r="24" s="3" customFormat="1" customHeight="1" spans="1:60">
      <c r="A24" s="76" t="s">
        <v>409</v>
      </c>
      <c r="B24" s="77" t="s">
        <v>409</v>
      </c>
      <c r="C24" s="81" t="s">
        <v>442</v>
      </c>
      <c r="D24" s="12" t="s">
        <v>60</v>
      </c>
      <c r="E24" s="12" t="s">
        <v>60</v>
      </c>
      <c r="F24" s="12" t="s">
        <v>423</v>
      </c>
      <c r="G24" s="282" t="s">
        <v>443</v>
      </c>
      <c r="H24" s="77" t="s">
        <v>412</v>
      </c>
      <c r="I24" s="77"/>
      <c r="J24" s="4"/>
      <c r="K24" s="4"/>
      <c r="L24" s="96" t="e">
        <f t="shared" si="0"/>
        <v>#DIV/0!</v>
      </c>
      <c r="M24" s="4"/>
      <c r="N24" s="4"/>
      <c r="O24" s="96" t="e">
        <f t="shared" si="1"/>
        <v>#DIV/0!</v>
      </c>
      <c r="P24" s="4">
        <f t="shared" si="2"/>
        <v>0</v>
      </c>
      <c r="Q24" s="4">
        <f t="shared" si="3"/>
        <v>0</v>
      </c>
      <c r="R24" s="96" t="e">
        <f t="shared" si="4"/>
        <v>#DIV/0!</v>
      </c>
      <c r="S24" s="97"/>
      <c r="T24" s="97"/>
      <c r="U24" s="96" t="e">
        <f t="shared" si="5"/>
        <v>#DIV/0!</v>
      </c>
      <c r="V24" s="98">
        <f t="shared" si="6"/>
        <v>0</v>
      </c>
      <c r="W24" s="98">
        <f t="shared" si="7"/>
        <v>0</v>
      </c>
      <c r="X24" s="96" t="e">
        <f t="shared" si="8"/>
        <v>#DIV/0!</v>
      </c>
      <c r="Y24" s="4"/>
      <c r="Z24" s="4"/>
      <c r="AA24" s="96" t="e">
        <f t="shared" si="9"/>
        <v>#DIV/0!</v>
      </c>
      <c r="AB24" s="4">
        <f t="shared" si="10"/>
        <v>0</v>
      </c>
      <c r="AC24" s="4">
        <f t="shared" si="11"/>
        <v>0</v>
      </c>
      <c r="AD24" s="96" t="e">
        <f t="shared" si="12"/>
        <v>#DIV/0!</v>
      </c>
      <c r="AE24" s="4"/>
      <c r="AF24" s="4"/>
      <c r="AG24" s="96" t="e">
        <f t="shared" si="13"/>
        <v>#DIV/0!</v>
      </c>
      <c r="AH24" s="4">
        <f t="shared" si="14"/>
        <v>0</v>
      </c>
      <c r="AI24" s="4">
        <f t="shared" si="15"/>
        <v>0</v>
      </c>
      <c r="AJ24" s="96" t="e">
        <f t="shared" si="16"/>
        <v>#DIV/0!</v>
      </c>
      <c r="AK24" s="10"/>
      <c r="AL24" s="10"/>
      <c r="AM24" s="96" t="e">
        <f t="shared" si="17"/>
        <v>#DIV/0!</v>
      </c>
      <c r="AN24" s="10">
        <f t="shared" si="18"/>
        <v>0</v>
      </c>
      <c r="AO24" s="10">
        <f t="shared" si="19"/>
        <v>0</v>
      </c>
      <c r="AP24" s="96" t="e">
        <f t="shared" si="20"/>
        <v>#DIV/0!</v>
      </c>
      <c r="AQ24" s="97"/>
      <c r="AR24" s="97"/>
      <c r="AS24" s="96" t="e">
        <f t="shared" si="21"/>
        <v>#DIV/0!</v>
      </c>
      <c r="AT24" s="97">
        <f t="shared" si="22"/>
        <v>0</v>
      </c>
      <c r="AU24" s="97">
        <f t="shared" si="23"/>
        <v>0</v>
      </c>
      <c r="AV24" s="96" t="e">
        <f t="shared" si="24"/>
        <v>#DIV/0!</v>
      </c>
      <c r="AW24" s="4"/>
      <c r="AX24" s="4"/>
      <c r="AY24" s="96" t="e">
        <f t="shared" si="25"/>
        <v>#DIV/0!</v>
      </c>
      <c r="AZ24" s="4">
        <f t="shared" si="26"/>
        <v>0</v>
      </c>
      <c r="BA24" s="4">
        <f t="shared" si="27"/>
        <v>0</v>
      </c>
      <c r="BB24" s="96" t="e">
        <f t="shared" si="28"/>
        <v>#DIV/0!</v>
      </c>
      <c r="BC24" s="4"/>
      <c r="BD24" s="101"/>
      <c r="BE24" s="4"/>
      <c r="BF24" s="4"/>
      <c r="BG24" s="4">
        <v>0</v>
      </c>
      <c r="BH24" s="104" t="e">
        <f t="shared" si="29"/>
        <v>#DIV/0!</v>
      </c>
    </row>
    <row r="25" s="3" customFormat="1" customHeight="1" spans="1:60">
      <c r="A25" s="76" t="s">
        <v>409</v>
      </c>
      <c r="B25" s="77" t="s">
        <v>409</v>
      </c>
      <c r="C25" s="81" t="s">
        <v>444</v>
      </c>
      <c r="D25" s="12" t="s">
        <v>83</v>
      </c>
      <c r="E25" s="12" t="s">
        <v>83</v>
      </c>
      <c r="F25" s="12" t="s">
        <v>423</v>
      </c>
      <c r="G25" s="282" t="s">
        <v>443</v>
      </c>
      <c r="H25" s="77" t="s">
        <v>412</v>
      </c>
      <c r="I25" s="77">
        <v>110</v>
      </c>
      <c r="J25" s="4">
        <v>17400</v>
      </c>
      <c r="K25" s="4"/>
      <c r="L25" s="96">
        <f t="shared" si="0"/>
        <v>-1</v>
      </c>
      <c r="M25" s="4">
        <v>3300</v>
      </c>
      <c r="N25" s="4">
        <v>62580</v>
      </c>
      <c r="O25" s="96">
        <f t="shared" si="1"/>
        <v>17.9636363636364</v>
      </c>
      <c r="P25" s="4">
        <f t="shared" si="2"/>
        <v>20700</v>
      </c>
      <c r="Q25" s="4">
        <f t="shared" si="3"/>
        <v>62580</v>
      </c>
      <c r="R25" s="96">
        <f t="shared" si="4"/>
        <v>2.0231884057971</v>
      </c>
      <c r="S25" s="97">
        <v>58298</v>
      </c>
      <c r="T25" s="97">
        <v>122189</v>
      </c>
      <c r="U25" s="96">
        <f t="shared" si="5"/>
        <v>1.09593811108443</v>
      </c>
      <c r="V25" s="98">
        <f t="shared" si="6"/>
        <v>78998</v>
      </c>
      <c r="W25" s="98">
        <f t="shared" si="7"/>
        <v>184769</v>
      </c>
      <c r="X25" s="96">
        <f t="shared" si="8"/>
        <v>1.33890731410922</v>
      </c>
      <c r="Y25" s="4">
        <v>67034</v>
      </c>
      <c r="Z25" s="4">
        <v>103708</v>
      </c>
      <c r="AA25" s="96">
        <f t="shared" si="9"/>
        <v>0.547095503774204</v>
      </c>
      <c r="AB25" s="4">
        <f t="shared" si="10"/>
        <v>146032</v>
      </c>
      <c r="AC25" s="4">
        <f t="shared" si="11"/>
        <v>288477</v>
      </c>
      <c r="AD25" s="96">
        <f t="shared" si="12"/>
        <v>0.975436890544538</v>
      </c>
      <c r="AE25" s="4">
        <v>67348</v>
      </c>
      <c r="AF25" s="4">
        <v>118753</v>
      </c>
      <c r="AG25" s="96">
        <f t="shared" si="13"/>
        <v>0.763274336283186</v>
      </c>
      <c r="AH25" s="4">
        <f t="shared" si="14"/>
        <v>213380</v>
      </c>
      <c r="AI25" s="4">
        <f t="shared" si="15"/>
        <v>407230</v>
      </c>
      <c r="AJ25" s="96">
        <f t="shared" si="16"/>
        <v>0.908473146499203</v>
      </c>
      <c r="AK25" s="10">
        <v>72780</v>
      </c>
      <c r="AL25" s="10">
        <v>180556</v>
      </c>
      <c r="AM25" s="96">
        <f t="shared" si="17"/>
        <v>1.48084638636988</v>
      </c>
      <c r="AN25" s="10">
        <f t="shared" si="18"/>
        <v>286160</v>
      </c>
      <c r="AO25" s="10">
        <f t="shared" si="19"/>
        <v>587786</v>
      </c>
      <c r="AP25" s="96">
        <f t="shared" si="20"/>
        <v>1.05404668716802</v>
      </c>
      <c r="AQ25" s="97">
        <v>15500</v>
      </c>
      <c r="AR25" s="97">
        <v>30071</v>
      </c>
      <c r="AS25" s="96">
        <f t="shared" si="21"/>
        <v>0.940064516129032</v>
      </c>
      <c r="AT25" s="97">
        <f t="shared" si="22"/>
        <v>301660</v>
      </c>
      <c r="AU25" s="97">
        <f t="shared" si="23"/>
        <v>617857</v>
      </c>
      <c r="AV25" s="96">
        <f t="shared" si="24"/>
        <v>1.04819001524896</v>
      </c>
      <c r="AW25" s="4">
        <v>59910</v>
      </c>
      <c r="AX25" s="4">
        <v>53234</v>
      </c>
      <c r="AY25" s="96">
        <f t="shared" si="25"/>
        <v>-0.111433817392756</v>
      </c>
      <c r="AZ25" s="4">
        <f t="shared" si="26"/>
        <v>361570</v>
      </c>
      <c r="BA25" s="4">
        <f t="shared" si="27"/>
        <v>671091</v>
      </c>
      <c r="BB25" s="96">
        <f t="shared" si="28"/>
        <v>0.856047238432392</v>
      </c>
      <c r="BC25" s="4">
        <v>73542</v>
      </c>
      <c r="BD25" s="101">
        <v>220523</v>
      </c>
      <c r="BE25" s="4">
        <v>158890</v>
      </c>
      <c r="BF25" s="4">
        <v>64510</v>
      </c>
      <c r="BG25" s="4">
        <v>879035</v>
      </c>
      <c r="BH25" s="104">
        <f t="shared" si="29"/>
        <v>0.610082727272727</v>
      </c>
    </row>
    <row r="26" s="3" customFormat="1" customHeight="1" spans="1:60">
      <c r="A26" s="76" t="s">
        <v>409</v>
      </c>
      <c r="B26" s="77" t="s">
        <v>409</v>
      </c>
      <c r="C26" s="78" t="s">
        <v>445</v>
      </c>
      <c r="D26" s="12" t="s">
        <v>87</v>
      </c>
      <c r="E26" s="12" t="s">
        <v>87</v>
      </c>
      <c r="F26" s="12" t="s">
        <v>423</v>
      </c>
      <c r="G26" s="282" t="s">
        <v>443</v>
      </c>
      <c r="H26" s="77" t="s">
        <v>446</v>
      </c>
      <c r="I26" s="77"/>
      <c r="J26" s="4">
        <v>5270</v>
      </c>
      <c r="K26" s="4">
        <v>30721.94</v>
      </c>
      <c r="L26" s="96">
        <f t="shared" si="0"/>
        <v>4.82959013282732</v>
      </c>
      <c r="M26" s="4">
        <v>19220</v>
      </c>
      <c r="N26" s="4">
        <v>3251.56</v>
      </c>
      <c r="O26" s="96">
        <f t="shared" si="1"/>
        <v>-0.830824141519251</v>
      </c>
      <c r="P26" s="4">
        <f t="shared" si="2"/>
        <v>24490</v>
      </c>
      <c r="Q26" s="4">
        <f t="shared" si="3"/>
        <v>33973.5</v>
      </c>
      <c r="R26" s="96">
        <f t="shared" si="4"/>
        <v>0.387239689669253</v>
      </c>
      <c r="S26" s="97">
        <v>6350</v>
      </c>
      <c r="T26" s="97">
        <v>17977.56</v>
      </c>
      <c r="U26" s="96">
        <f t="shared" si="5"/>
        <v>1.83111181102362</v>
      </c>
      <c r="V26" s="98">
        <f t="shared" si="6"/>
        <v>30840</v>
      </c>
      <c r="W26" s="98">
        <f t="shared" si="7"/>
        <v>51951.06</v>
      </c>
      <c r="X26" s="96">
        <f t="shared" si="8"/>
        <v>0.684535019455253</v>
      </c>
      <c r="Y26" s="4">
        <v>11488.2</v>
      </c>
      <c r="Z26" s="4">
        <v>20480.06</v>
      </c>
      <c r="AA26" s="96">
        <f t="shared" si="9"/>
        <v>0.782703991922146</v>
      </c>
      <c r="AB26" s="4">
        <f t="shared" si="10"/>
        <v>42328.2</v>
      </c>
      <c r="AC26" s="4">
        <f t="shared" si="11"/>
        <v>72431.12</v>
      </c>
      <c r="AD26" s="96">
        <f t="shared" si="12"/>
        <v>0.711178835858836</v>
      </c>
      <c r="AE26" s="4">
        <v>5121</v>
      </c>
      <c r="AF26" s="4"/>
      <c r="AG26" s="96">
        <f t="shared" si="13"/>
        <v>-1</v>
      </c>
      <c r="AH26" s="4">
        <f t="shared" si="14"/>
        <v>47449.2</v>
      </c>
      <c r="AI26" s="4">
        <f t="shared" si="15"/>
        <v>72431.12</v>
      </c>
      <c r="AJ26" s="96">
        <f t="shared" si="16"/>
        <v>0.526498233900677</v>
      </c>
      <c r="AK26" s="10">
        <v>15150</v>
      </c>
      <c r="AL26" s="10">
        <v>40700.9</v>
      </c>
      <c r="AM26" s="96">
        <f t="shared" si="17"/>
        <v>1.68652805280528</v>
      </c>
      <c r="AN26" s="10">
        <f t="shared" si="18"/>
        <v>62599.2</v>
      </c>
      <c r="AO26" s="10">
        <f t="shared" si="19"/>
        <v>113132.02</v>
      </c>
      <c r="AP26" s="96">
        <f t="shared" si="20"/>
        <v>0.807243862541374</v>
      </c>
      <c r="AQ26" s="97">
        <v>101.3</v>
      </c>
      <c r="AR26" s="97">
        <v>309</v>
      </c>
      <c r="AS26" s="96">
        <f t="shared" si="21"/>
        <v>2.05034550839092</v>
      </c>
      <c r="AT26" s="97">
        <f t="shared" si="22"/>
        <v>62700.5</v>
      </c>
      <c r="AU26" s="97">
        <f t="shared" si="23"/>
        <v>113441.02</v>
      </c>
      <c r="AV26" s="96">
        <f t="shared" si="24"/>
        <v>0.809252238817872</v>
      </c>
      <c r="AW26" s="4">
        <v>0</v>
      </c>
      <c r="AX26" s="4">
        <v>7749.56</v>
      </c>
      <c r="AY26" s="96" t="e">
        <f t="shared" si="25"/>
        <v>#DIV/0!</v>
      </c>
      <c r="AZ26" s="4">
        <f t="shared" si="26"/>
        <v>62700.5</v>
      </c>
      <c r="BA26" s="4">
        <f t="shared" si="27"/>
        <v>121190.58</v>
      </c>
      <c r="BB26" s="96">
        <f t="shared" si="28"/>
        <v>0.932848701366018</v>
      </c>
      <c r="BC26" s="4">
        <v>18676</v>
      </c>
      <c r="BD26" s="101">
        <v>62574.2</v>
      </c>
      <c r="BE26" s="4">
        <v>14270.76</v>
      </c>
      <c r="BF26" s="4">
        <v>71901.24</v>
      </c>
      <c r="BG26" s="4">
        <v>230122.7</v>
      </c>
      <c r="BH26" s="104" t="e">
        <f t="shared" si="29"/>
        <v>#DIV/0!</v>
      </c>
    </row>
    <row r="27" s="3" customFormat="1" customHeight="1" spans="1:60">
      <c r="A27" s="76" t="s">
        <v>409</v>
      </c>
      <c r="B27" s="77" t="s">
        <v>409</v>
      </c>
      <c r="C27" s="78" t="s">
        <v>447</v>
      </c>
      <c r="D27" s="12" t="s">
        <v>64</v>
      </c>
      <c r="E27" s="12" t="s">
        <v>64</v>
      </c>
      <c r="F27" s="281" t="s">
        <v>438</v>
      </c>
      <c r="G27" s="282" t="s">
        <v>438</v>
      </c>
      <c r="H27" s="77" t="s">
        <v>430</v>
      </c>
      <c r="I27" s="77">
        <v>70</v>
      </c>
      <c r="J27" s="4">
        <v>66035</v>
      </c>
      <c r="K27" s="4"/>
      <c r="L27" s="96">
        <f t="shared" si="0"/>
        <v>-1</v>
      </c>
      <c r="M27" s="4">
        <v>7715</v>
      </c>
      <c r="N27" s="4">
        <v>12400</v>
      </c>
      <c r="O27" s="96">
        <f t="shared" si="1"/>
        <v>0.607258587167855</v>
      </c>
      <c r="P27" s="4">
        <f t="shared" si="2"/>
        <v>73750</v>
      </c>
      <c r="Q27" s="4">
        <f t="shared" si="3"/>
        <v>12400</v>
      </c>
      <c r="R27" s="96">
        <f t="shared" si="4"/>
        <v>-0.831864406779661</v>
      </c>
      <c r="S27" s="97">
        <v>45495</v>
      </c>
      <c r="T27" s="97">
        <v>10831</v>
      </c>
      <c r="U27" s="96">
        <f t="shared" si="5"/>
        <v>-0.76192988240466</v>
      </c>
      <c r="V27" s="98">
        <f t="shared" si="6"/>
        <v>119245</v>
      </c>
      <c r="W27" s="98">
        <f t="shared" si="7"/>
        <v>23231</v>
      </c>
      <c r="X27" s="96">
        <f t="shared" si="8"/>
        <v>-0.805182607237201</v>
      </c>
      <c r="Y27" s="4">
        <v>7084</v>
      </c>
      <c r="Z27" s="4">
        <v>35125</v>
      </c>
      <c r="AA27" s="96">
        <f t="shared" si="9"/>
        <v>3.95835686053077</v>
      </c>
      <c r="AB27" s="4">
        <f t="shared" si="10"/>
        <v>126329</v>
      </c>
      <c r="AC27" s="4">
        <f t="shared" si="11"/>
        <v>58356</v>
      </c>
      <c r="AD27" s="96">
        <f t="shared" si="12"/>
        <v>-0.538063310878737</v>
      </c>
      <c r="AE27" s="4">
        <v>28101</v>
      </c>
      <c r="AF27" s="4">
        <v>11948</v>
      </c>
      <c r="AG27" s="96">
        <f t="shared" si="13"/>
        <v>-0.574819401444788</v>
      </c>
      <c r="AH27" s="4">
        <f t="shared" si="14"/>
        <v>154430</v>
      </c>
      <c r="AI27" s="4">
        <f t="shared" si="15"/>
        <v>70304</v>
      </c>
      <c r="AJ27" s="96">
        <f t="shared" si="16"/>
        <v>-0.544751667422133</v>
      </c>
      <c r="AK27" s="10">
        <v>18286</v>
      </c>
      <c r="AL27" s="10">
        <v>117838.5</v>
      </c>
      <c r="AM27" s="96">
        <f t="shared" si="17"/>
        <v>5.44419227824565</v>
      </c>
      <c r="AN27" s="10">
        <f t="shared" si="18"/>
        <v>172716</v>
      </c>
      <c r="AO27" s="10">
        <f t="shared" si="19"/>
        <v>188142.5</v>
      </c>
      <c r="AP27" s="96">
        <f t="shared" si="20"/>
        <v>0.0893171449084045</v>
      </c>
      <c r="AQ27" s="97">
        <v>14715</v>
      </c>
      <c r="AR27" s="97">
        <v>23451.46</v>
      </c>
      <c r="AS27" s="96">
        <f t="shared" si="21"/>
        <v>0.593711179068977</v>
      </c>
      <c r="AT27" s="97">
        <f t="shared" si="22"/>
        <v>187431</v>
      </c>
      <c r="AU27" s="97">
        <f t="shared" si="23"/>
        <v>211593.96</v>
      </c>
      <c r="AV27" s="96">
        <f t="shared" si="24"/>
        <v>0.128916561294556</v>
      </c>
      <c r="AW27" s="4">
        <v>26645</v>
      </c>
      <c r="AX27" s="4">
        <v>23450</v>
      </c>
      <c r="AY27" s="96">
        <f t="shared" si="25"/>
        <v>-0.119909926815538</v>
      </c>
      <c r="AZ27" s="4">
        <f t="shared" si="26"/>
        <v>214076</v>
      </c>
      <c r="BA27" s="4">
        <f t="shared" si="27"/>
        <v>235043.96</v>
      </c>
      <c r="BB27" s="96">
        <f t="shared" si="28"/>
        <v>0.0979463368149629</v>
      </c>
      <c r="BC27" s="4">
        <v>45576</v>
      </c>
      <c r="BD27" s="101">
        <v>117631</v>
      </c>
      <c r="BE27" s="4">
        <v>102421.75</v>
      </c>
      <c r="BF27" s="4">
        <v>129488</v>
      </c>
      <c r="BG27" s="4">
        <v>609192.75</v>
      </c>
      <c r="BH27" s="104">
        <f t="shared" si="29"/>
        <v>0.335777085714286</v>
      </c>
    </row>
    <row r="28" s="3" customFormat="1" customHeight="1" spans="1:60">
      <c r="A28" s="76" t="s">
        <v>409</v>
      </c>
      <c r="B28" s="77" t="s">
        <v>448</v>
      </c>
      <c r="C28" s="78" t="s">
        <v>449</v>
      </c>
      <c r="D28" s="12" t="s">
        <v>60</v>
      </c>
      <c r="E28" s="12" t="s">
        <v>60</v>
      </c>
      <c r="F28" s="12" t="s">
        <v>450</v>
      </c>
      <c r="G28" s="77" t="s">
        <v>451</v>
      </c>
      <c r="H28" s="77" t="s">
        <v>452</v>
      </c>
      <c r="I28" s="77"/>
      <c r="J28" s="4"/>
      <c r="K28" s="4"/>
      <c r="L28" s="96" t="e">
        <f t="shared" si="0"/>
        <v>#DIV/0!</v>
      </c>
      <c r="M28" s="4"/>
      <c r="N28" s="4"/>
      <c r="O28" s="96" t="e">
        <f t="shared" si="1"/>
        <v>#DIV/0!</v>
      </c>
      <c r="P28" s="4">
        <f t="shared" si="2"/>
        <v>0</v>
      </c>
      <c r="Q28" s="4">
        <f t="shared" si="3"/>
        <v>0</v>
      </c>
      <c r="R28" s="96" t="e">
        <f t="shared" si="4"/>
        <v>#DIV/0!</v>
      </c>
      <c r="S28" s="97"/>
      <c r="T28" s="97"/>
      <c r="U28" s="96" t="e">
        <f t="shared" si="5"/>
        <v>#DIV/0!</v>
      </c>
      <c r="V28" s="98">
        <f t="shared" si="6"/>
        <v>0</v>
      </c>
      <c r="W28" s="98">
        <f t="shared" si="7"/>
        <v>0</v>
      </c>
      <c r="X28" s="96" t="e">
        <f t="shared" si="8"/>
        <v>#DIV/0!</v>
      </c>
      <c r="Y28" s="4"/>
      <c r="Z28" s="4"/>
      <c r="AA28" s="96" t="e">
        <f t="shared" si="9"/>
        <v>#DIV/0!</v>
      </c>
      <c r="AB28" s="4">
        <f t="shared" si="10"/>
        <v>0</v>
      </c>
      <c r="AC28" s="4">
        <f t="shared" si="11"/>
        <v>0</v>
      </c>
      <c r="AD28" s="96" t="e">
        <f t="shared" si="12"/>
        <v>#DIV/0!</v>
      </c>
      <c r="AE28" s="4"/>
      <c r="AF28" s="4"/>
      <c r="AG28" s="96" t="e">
        <f t="shared" si="13"/>
        <v>#DIV/0!</v>
      </c>
      <c r="AH28" s="4">
        <f t="shared" si="14"/>
        <v>0</v>
      </c>
      <c r="AI28" s="4">
        <f t="shared" si="15"/>
        <v>0</v>
      </c>
      <c r="AJ28" s="96" t="e">
        <f t="shared" si="16"/>
        <v>#DIV/0!</v>
      </c>
      <c r="AK28" s="10"/>
      <c r="AL28" s="10"/>
      <c r="AM28" s="96" t="e">
        <f t="shared" si="17"/>
        <v>#DIV/0!</v>
      </c>
      <c r="AN28" s="10">
        <f t="shared" si="18"/>
        <v>0</v>
      </c>
      <c r="AO28" s="10">
        <f t="shared" si="19"/>
        <v>0</v>
      </c>
      <c r="AP28" s="96" t="e">
        <f t="shared" si="20"/>
        <v>#DIV/0!</v>
      </c>
      <c r="AQ28" s="97"/>
      <c r="AR28" s="97"/>
      <c r="AS28" s="96" t="e">
        <f t="shared" si="21"/>
        <v>#DIV/0!</v>
      </c>
      <c r="AT28" s="97">
        <f t="shared" si="22"/>
        <v>0</v>
      </c>
      <c r="AU28" s="97">
        <f t="shared" si="23"/>
        <v>0</v>
      </c>
      <c r="AV28" s="96" t="e">
        <f t="shared" si="24"/>
        <v>#DIV/0!</v>
      </c>
      <c r="AW28" s="4"/>
      <c r="AX28" s="4"/>
      <c r="AY28" s="96" t="e">
        <f t="shared" si="25"/>
        <v>#DIV/0!</v>
      </c>
      <c r="AZ28" s="4">
        <f t="shared" si="26"/>
        <v>0</v>
      </c>
      <c r="BA28" s="4">
        <f t="shared" si="27"/>
        <v>0</v>
      </c>
      <c r="BB28" s="96" t="e">
        <f t="shared" si="28"/>
        <v>#DIV/0!</v>
      </c>
      <c r="BC28" s="4"/>
      <c r="BD28" s="101"/>
      <c r="BE28" s="4"/>
      <c r="BF28" s="4"/>
      <c r="BG28" s="4">
        <v>0</v>
      </c>
      <c r="BH28" s="104" t="e">
        <f t="shared" si="29"/>
        <v>#DIV/0!</v>
      </c>
    </row>
    <row r="29" s="3" customFormat="1" customHeight="1" spans="1:60">
      <c r="A29" s="76" t="s">
        <v>409</v>
      </c>
      <c r="B29" s="77" t="s">
        <v>448</v>
      </c>
      <c r="C29" s="78" t="s">
        <v>453</v>
      </c>
      <c r="D29" s="12" t="s">
        <v>60</v>
      </c>
      <c r="E29" s="12" t="s">
        <v>60</v>
      </c>
      <c r="F29" s="12" t="s">
        <v>450</v>
      </c>
      <c r="G29" s="77" t="s">
        <v>451</v>
      </c>
      <c r="H29" s="77" t="s">
        <v>452</v>
      </c>
      <c r="I29" s="77"/>
      <c r="J29" s="4"/>
      <c r="K29" s="4"/>
      <c r="L29" s="96" t="e">
        <f t="shared" si="0"/>
        <v>#DIV/0!</v>
      </c>
      <c r="M29" s="4"/>
      <c r="N29" s="4"/>
      <c r="O29" s="96" t="e">
        <f t="shared" si="1"/>
        <v>#DIV/0!</v>
      </c>
      <c r="P29" s="4">
        <f t="shared" si="2"/>
        <v>0</v>
      </c>
      <c r="Q29" s="4">
        <f t="shared" si="3"/>
        <v>0</v>
      </c>
      <c r="R29" s="96" t="e">
        <f t="shared" si="4"/>
        <v>#DIV/0!</v>
      </c>
      <c r="S29" s="97"/>
      <c r="T29" s="97"/>
      <c r="U29" s="96" t="e">
        <f t="shared" si="5"/>
        <v>#DIV/0!</v>
      </c>
      <c r="V29" s="98">
        <f t="shared" si="6"/>
        <v>0</v>
      </c>
      <c r="W29" s="98">
        <f t="shared" si="7"/>
        <v>0</v>
      </c>
      <c r="X29" s="96" t="e">
        <f t="shared" si="8"/>
        <v>#DIV/0!</v>
      </c>
      <c r="Y29" s="4"/>
      <c r="Z29" s="4"/>
      <c r="AA29" s="96" t="e">
        <f t="shared" si="9"/>
        <v>#DIV/0!</v>
      </c>
      <c r="AB29" s="4">
        <f t="shared" si="10"/>
        <v>0</v>
      </c>
      <c r="AC29" s="4">
        <f t="shared" si="11"/>
        <v>0</v>
      </c>
      <c r="AD29" s="96" t="e">
        <f t="shared" si="12"/>
        <v>#DIV/0!</v>
      </c>
      <c r="AE29" s="4"/>
      <c r="AF29" s="4"/>
      <c r="AG29" s="96" t="e">
        <f t="shared" si="13"/>
        <v>#DIV/0!</v>
      </c>
      <c r="AH29" s="4">
        <f t="shared" si="14"/>
        <v>0</v>
      </c>
      <c r="AI29" s="4">
        <f t="shared" si="15"/>
        <v>0</v>
      </c>
      <c r="AJ29" s="96" t="e">
        <f t="shared" si="16"/>
        <v>#DIV/0!</v>
      </c>
      <c r="AK29" s="10"/>
      <c r="AL29" s="10"/>
      <c r="AM29" s="96" t="e">
        <f t="shared" si="17"/>
        <v>#DIV/0!</v>
      </c>
      <c r="AN29" s="10">
        <f t="shared" si="18"/>
        <v>0</v>
      </c>
      <c r="AO29" s="10">
        <f t="shared" si="19"/>
        <v>0</v>
      </c>
      <c r="AP29" s="96" t="e">
        <f t="shared" si="20"/>
        <v>#DIV/0!</v>
      </c>
      <c r="AQ29" s="97"/>
      <c r="AR29" s="97"/>
      <c r="AS29" s="96" t="e">
        <f t="shared" si="21"/>
        <v>#DIV/0!</v>
      </c>
      <c r="AT29" s="97">
        <f t="shared" si="22"/>
        <v>0</v>
      </c>
      <c r="AU29" s="97">
        <f t="shared" si="23"/>
        <v>0</v>
      </c>
      <c r="AV29" s="96" t="e">
        <f t="shared" si="24"/>
        <v>#DIV/0!</v>
      </c>
      <c r="AW29" s="4"/>
      <c r="AX29" s="4"/>
      <c r="AY29" s="96" t="e">
        <f t="shared" si="25"/>
        <v>#DIV/0!</v>
      </c>
      <c r="AZ29" s="4">
        <f t="shared" si="26"/>
        <v>0</v>
      </c>
      <c r="BA29" s="4">
        <f t="shared" si="27"/>
        <v>0</v>
      </c>
      <c r="BB29" s="96" t="e">
        <f t="shared" si="28"/>
        <v>#DIV/0!</v>
      </c>
      <c r="BC29" s="4"/>
      <c r="BD29" s="101"/>
      <c r="BE29" s="4"/>
      <c r="BF29" s="4"/>
      <c r="BG29" s="4">
        <v>0</v>
      </c>
      <c r="BH29" s="104" t="e">
        <f t="shared" si="29"/>
        <v>#DIV/0!</v>
      </c>
    </row>
    <row r="30" s="3" customFormat="1" customHeight="1" spans="1:60">
      <c r="A30" s="76" t="s">
        <v>409</v>
      </c>
      <c r="B30" s="77" t="s">
        <v>409</v>
      </c>
      <c r="C30" s="84" t="s">
        <v>454</v>
      </c>
      <c r="D30" s="12" t="s">
        <v>60</v>
      </c>
      <c r="E30" s="12" t="s">
        <v>60</v>
      </c>
      <c r="F30" s="12" t="s">
        <v>415</v>
      </c>
      <c r="G30" s="77" t="s">
        <v>415</v>
      </c>
      <c r="H30" s="77" t="s">
        <v>416</v>
      </c>
      <c r="I30" s="77"/>
      <c r="J30" s="4">
        <v>43775</v>
      </c>
      <c r="K30" s="4">
        <v>15899</v>
      </c>
      <c r="L30" s="96">
        <f t="shared" si="0"/>
        <v>-0.636801827527127</v>
      </c>
      <c r="M30" s="4">
        <v>6740</v>
      </c>
      <c r="N30" s="4">
        <v>59967</v>
      </c>
      <c r="O30" s="96">
        <f t="shared" si="1"/>
        <v>7.89718100890208</v>
      </c>
      <c r="P30" s="4">
        <f t="shared" si="2"/>
        <v>50515</v>
      </c>
      <c r="Q30" s="4">
        <f t="shared" si="3"/>
        <v>75866</v>
      </c>
      <c r="R30" s="96">
        <f t="shared" si="4"/>
        <v>0.501850935365733</v>
      </c>
      <c r="S30" s="97">
        <v>7780</v>
      </c>
      <c r="T30" s="97">
        <v>21038</v>
      </c>
      <c r="U30" s="96">
        <f t="shared" si="5"/>
        <v>1.70411311053985</v>
      </c>
      <c r="V30" s="98">
        <f t="shared" si="6"/>
        <v>58295</v>
      </c>
      <c r="W30" s="98">
        <f t="shared" si="7"/>
        <v>96904</v>
      </c>
      <c r="X30" s="96">
        <f t="shared" si="8"/>
        <v>0.662303799639763</v>
      </c>
      <c r="Y30" s="4">
        <v>243032</v>
      </c>
      <c r="Z30" s="4"/>
      <c r="AA30" s="96">
        <f t="shared" si="9"/>
        <v>-1</v>
      </c>
      <c r="AB30" s="4">
        <f t="shared" si="10"/>
        <v>301327</v>
      </c>
      <c r="AC30" s="4">
        <f t="shared" si="11"/>
        <v>96904</v>
      </c>
      <c r="AD30" s="96">
        <f t="shared" si="12"/>
        <v>-0.678409170104239</v>
      </c>
      <c r="AE30" s="4">
        <v>209</v>
      </c>
      <c r="AF30" s="4">
        <v>12061</v>
      </c>
      <c r="AG30" s="96">
        <f t="shared" si="13"/>
        <v>56.7081339712919</v>
      </c>
      <c r="AH30" s="4">
        <f t="shared" si="14"/>
        <v>301536</v>
      </c>
      <c r="AI30" s="4">
        <f t="shared" si="15"/>
        <v>108965</v>
      </c>
      <c r="AJ30" s="96">
        <f t="shared" si="16"/>
        <v>-0.638633529661467</v>
      </c>
      <c r="AK30" s="10">
        <v>56327</v>
      </c>
      <c r="AL30" s="10"/>
      <c r="AM30" s="96">
        <f t="shared" si="17"/>
        <v>-1</v>
      </c>
      <c r="AN30" s="10">
        <f t="shared" si="18"/>
        <v>357863</v>
      </c>
      <c r="AO30" s="10">
        <f t="shared" si="19"/>
        <v>108965</v>
      </c>
      <c r="AP30" s="96">
        <f t="shared" si="20"/>
        <v>-0.695511969664369</v>
      </c>
      <c r="AQ30" s="97">
        <v>79445</v>
      </c>
      <c r="AR30" s="97">
        <v>2270</v>
      </c>
      <c r="AS30" s="96">
        <f t="shared" si="21"/>
        <v>-0.971426773239348</v>
      </c>
      <c r="AT30" s="97">
        <f t="shared" si="22"/>
        <v>437308</v>
      </c>
      <c r="AU30" s="97">
        <f t="shared" si="23"/>
        <v>111235</v>
      </c>
      <c r="AV30" s="96">
        <f t="shared" si="24"/>
        <v>-0.745636942383858</v>
      </c>
      <c r="AW30" s="4">
        <v>72244</v>
      </c>
      <c r="AX30" s="4">
        <v>13489</v>
      </c>
      <c r="AY30" s="96">
        <f t="shared" si="25"/>
        <v>-0.813285532362549</v>
      </c>
      <c r="AZ30" s="4">
        <f t="shared" si="26"/>
        <v>509552</v>
      </c>
      <c r="BA30" s="4">
        <f t="shared" si="27"/>
        <v>124724</v>
      </c>
      <c r="BB30" s="96">
        <f t="shared" si="28"/>
        <v>-0.755228121958112</v>
      </c>
      <c r="BC30" s="4">
        <v>34820</v>
      </c>
      <c r="BD30" s="101">
        <v>83150</v>
      </c>
      <c r="BE30" s="4">
        <v>32470</v>
      </c>
      <c r="BF30" s="4">
        <v>80053</v>
      </c>
      <c r="BG30" s="4">
        <v>740045</v>
      </c>
      <c r="BH30" s="104" t="e">
        <f t="shared" si="29"/>
        <v>#DIV/0!</v>
      </c>
    </row>
    <row r="31" s="3" customFormat="1" customHeight="1" spans="1:60">
      <c r="A31" s="76" t="s">
        <v>409</v>
      </c>
      <c r="B31" s="77" t="s">
        <v>448</v>
      </c>
      <c r="C31" s="84" t="s">
        <v>455</v>
      </c>
      <c r="D31" s="12" t="s">
        <v>60</v>
      </c>
      <c r="E31" s="12" t="s">
        <v>60</v>
      </c>
      <c r="F31" s="12" t="s">
        <v>450</v>
      </c>
      <c r="G31" s="77" t="s">
        <v>450</v>
      </c>
      <c r="H31" s="77" t="s">
        <v>452</v>
      </c>
      <c r="I31" s="77"/>
      <c r="J31" s="4">
        <v>14850</v>
      </c>
      <c r="K31" s="4">
        <v>62800</v>
      </c>
      <c r="L31" s="96">
        <f t="shared" si="0"/>
        <v>3.22895622895623</v>
      </c>
      <c r="M31" s="4">
        <v>43687</v>
      </c>
      <c r="N31" s="4">
        <v>57110</v>
      </c>
      <c r="O31" s="96">
        <f t="shared" si="1"/>
        <v>0.307253874150205</v>
      </c>
      <c r="P31" s="4">
        <f t="shared" si="2"/>
        <v>58537</v>
      </c>
      <c r="Q31" s="4">
        <f t="shared" si="3"/>
        <v>119910</v>
      </c>
      <c r="R31" s="96">
        <f t="shared" si="4"/>
        <v>1.04844799016007</v>
      </c>
      <c r="S31" s="97">
        <v>9390</v>
      </c>
      <c r="T31" s="97">
        <v>77505</v>
      </c>
      <c r="U31" s="96">
        <f t="shared" si="5"/>
        <v>7.25399361022364</v>
      </c>
      <c r="V31" s="98">
        <f t="shared" si="6"/>
        <v>67927</v>
      </c>
      <c r="W31" s="98">
        <f t="shared" si="7"/>
        <v>197415</v>
      </c>
      <c r="X31" s="96">
        <f t="shared" si="8"/>
        <v>1.90628174363655</v>
      </c>
      <c r="Y31" s="4">
        <v>35538</v>
      </c>
      <c r="Z31" s="4">
        <v>141075</v>
      </c>
      <c r="AA31" s="96">
        <f t="shared" si="9"/>
        <v>2.96969441161574</v>
      </c>
      <c r="AB31" s="4">
        <f t="shared" si="10"/>
        <v>103465</v>
      </c>
      <c r="AC31" s="4">
        <f t="shared" si="11"/>
        <v>338490</v>
      </c>
      <c r="AD31" s="96">
        <f t="shared" si="12"/>
        <v>2.27154110085536</v>
      </c>
      <c r="AE31" s="4">
        <v>78386</v>
      </c>
      <c r="AF31" s="4">
        <v>86370</v>
      </c>
      <c r="AG31" s="96">
        <f t="shared" si="13"/>
        <v>0.101854923072998</v>
      </c>
      <c r="AH31" s="4">
        <f t="shared" si="14"/>
        <v>181851</v>
      </c>
      <c r="AI31" s="4">
        <f t="shared" si="15"/>
        <v>424860</v>
      </c>
      <c r="AJ31" s="96">
        <f t="shared" si="16"/>
        <v>1.33630829635251</v>
      </c>
      <c r="AK31" s="10">
        <v>54614</v>
      </c>
      <c r="AL31" s="10">
        <v>69086</v>
      </c>
      <c r="AM31" s="96">
        <f t="shared" si="17"/>
        <v>0.264986999670414</v>
      </c>
      <c r="AN31" s="10">
        <f t="shared" si="18"/>
        <v>236465</v>
      </c>
      <c r="AO31" s="10">
        <f t="shared" si="19"/>
        <v>493946</v>
      </c>
      <c r="AP31" s="96">
        <f t="shared" si="20"/>
        <v>1.08887573213795</v>
      </c>
      <c r="AQ31" s="97">
        <v>52200</v>
      </c>
      <c r="AR31" s="97">
        <v>-201288</v>
      </c>
      <c r="AS31" s="96">
        <f t="shared" si="21"/>
        <v>-4.85609195402299</v>
      </c>
      <c r="AT31" s="97">
        <f t="shared" si="22"/>
        <v>288665</v>
      </c>
      <c r="AU31" s="97">
        <f t="shared" si="23"/>
        <v>292658</v>
      </c>
      <c r="AV31" s="96">
        <f t="shared" si="24"/>
        <v>0.0138326433755391</v>
      </c>
      <c r="AW31" s="4">
        <v>29350</v>
      </c>
      <c r="AX31" s="4"/>
      <c r="AY31" s="96">
        <f t="shared" si="25"/>
        <v>-1</v>
      </c>
      <c r="AZ31" s="4">
        <f t="shared" si="26"/>
        <v>318015</v>
      </c>
      <c r="BA31" s="4">
        <f t="shared" si="27"/>
        <v>292658</v>
      </c>
      <c r="BB31" s="96">
        <f t="shared" si="28"/>
        <v>-0.0797352326148137</v>
      </c>
      <c r="BC31" s="4">
        <v>146789</v>
      </c>
      <c r="BD31" s="101">
        <v>67280</v>
      </c>
      <c r="BE31" s="4">
        <v>98050</v>
      </c>
      <c r="BF31" s="4">
        <v>192540</v>
      </c>
      <c r="BG31" s="4">
        <v>822674</v>
      </c>
      <c r="BH31" s="104" t="e">
        <f t="shared" si="29"/>
        <v>#DIV/0!</v>
      </c>
    </row>
    <row r="32" s="3" customFormat="1" customHeight="1" spans="1:60">
      <c r="A32" s="76" t="s">
        <v>409</v>
      </c>
      <c r="B32" s="77" t="s">
        <v>409</v>
      </c>
      <c r="C32" s="84" t="s">
        <v>456</v>
      </c>
      <c r="D32" s="12" t="s">
        <v>83</v>
      </c>
      <c r="E32" s="12" t="s">
        <v>83</v>
      </c>
      <c r="F32" s="12" t="s">
        <v>415</v>
      </c>
      <c r="G32" s="77" t="s">
        <v>415</v>
      </c>
      <c r="H32" s="77" t="s">
        <v>416</v>
      </c>
      <c r="I32" s="77"/>
      <c r="J32" s="4">
        <v>3462</v>
      </c>
      <c r="K32" s="4"/>
      <c r="L32" s="96">
        <f t="shared" si="0"/>
        <v>-1</v>
      </c>
      <c r="M32" s="4"/>
      <c r="N32" s="4"/>
      <c r="O32" s="96" t="e">
        <f t="shared" si="1"/>
        <v>#DIV/0!</v>
      </c>
      <c r="P32" s="4">
        <f t="shared" si="2"/>
        <v>3462</v>
      </c>
      <c r="Q32" s="4">
        <f t="shared" si="3"/>
        <v>0</v>
      </c>
      <c r="R32" s="96">
        <f t="shared" si="4"/>
        <v>-1</v>
      </c>
      <c r="S32" s="97">
        <v>8942</v>
      </c>
      <c r="T32" s="97"/>
      <c r="U32" s="96">
        <f t="shared" si="5"/>
        <v>-1</v>
      </c>
      <c r="V32" s="98">
        <f t="shared" si="6"/>
        <v>12404</v>
      </c>
      <c r="W32" s="98">
        <f t="shared" si="7"/>
        <v>0</v>
      </c>
      <c r="X32" s="96">
        <f t="shared" si="8"/>
        <v>-1</v>
      </c>
      <c r="Y32" s="4">
        <v>12270</v>
      </c>
      <c r="Z32" s="4"/>
      <c r="AA32" s="96">
        <f t="shared" si="9"/>
        <v>-1</v>
      </c>
      <c r="AB32" s="4">
        <f t="shared" si="10"/>
        <v>24674</v>
      </c>
      <c r="AC32" s="4">
        <f t="shared" si="11"/>
        <v>0</v>
      </c>
      <c r="AD32" s="96">
        <f t="shared" si="12"/>
        <v>-1</v>
      </c>
      <c r="AE32" s="4"/>
      <c r="AF32" s="4"/>
      <c r="AG32" s="96" t="e">
        <f t="shared" si="13"/>
        <v>#DIV/0!</v>
      </c>
      <c r="AH32" s="4">
        <f t="shared" si="14"/>
        <v>24674</v>
      </c>
      <c r="AI32" s="4">
        <f t="shared" si="15"/>
        <v>0</v>
      </c>
      <c r="AJ32" s="96">
        <f t="shared" si="16"/>
        <v>-1</v>
      </c>
      <c r="AK32" s="10"/>
      <c r="AL32" s="10"/>
      <c r="AM32" s="96" t="e">
        <f t="shared" si="17"/>
        <v>#DIV/0!</v>
      </c>
      <c r="AN32" s="10">
        <f t="shared" si="18"/>
        <v>24674</v>
      </c>
      <c r="AO32" s="10">
        <f t="shared" si="19"/>
        <v>0</v>
      </c>
      <c r="AP32" s="96">
        <f t="shared" si="20"/>
        <v>-1</v>
      </c>
      <c r="AQ32" s="97"/>
      <c r="AR32" s="97"/>
      <c r="AS32" s="96" t="e">
        <f t="shared" si="21"/>
        <v>#DIV/0!</v>
      </c>
      <c r="AT32" s="97">
        <f t="shared" si="22"/>
        <v>24674</v>
      </c>
      <c r="AU32" s="97">
        <f t="shared" si="23"/>
        <v>0</v>
      </c>
      <c r="AV32" s="96">
        <f t="shared" si="24"/>
        <v>-1</v>
      </c>
      <c r="AW32" s="4"/>
      <c r="AX32" s="4"/>
      <c r="AY32" s="96" t="e">
        <f t="shared" si="25"/>
        <v>#DIV/0!</v>
      </c>
      <c r="AZ32" s="4">
        <f t="shared" si="26"/>
        <v>24674</v>
      </c>
      <c r="BA32" s="4">
        <f t="shared" si="27"/>
        <v>0</v>
      </c>
      <c r="BB32" s="96">
        <f t="shared" si="28"/>
        <v>-1</v>
      </c>
      <c r="BC32" s="4"/>
      <c r="BD32" s="101"/>
      <c r="BE32" s="4"/>
      <c r="BF32" s="4"/>
      <c r="BG32" s="4">
        <v>24674</v>
      </c>
      <c r="BH32" s="104" t="e">
        <f t="shared" si="29"/>
        <v>#DIV/0!</v>
      </c>
    </row>
    <row r="33" s="3" customFormat="1" customHeight="1" spans="1:60">
      <c r="A33" s="76" t="s">
        <v>409</v>
      </c>
      <c r="B33" s="77" t="s">
        <v>409</v>
      </c>
      <c r="C33" s="84" t="s">
        <v>457</v>
      </c>
      <c r="D33" s="12" t="s">
        <v>60</v>
      </c>
      <c r="E33" s="12" t="s">
        <v>60</v>
      </c>
      <c r="F33" s="12" t="s">
        <v>438</v>
      </c>
      <c r="G33" s="77" t="s">
        <v>438</v>
      </c>
      <c r="H33" s="77" t="s">
        <v>430</v>
      </c>
      <c r="I33" s="77"/>
      <c r="J33" s="4">
        <v>7660</v>
      </c>
      <c r="K33" s="4"/>
      <c r="L33" s="96">
        <f t="shared" si="0"/>
        <v>-1</v>
      </c>
      <c r="M33" s="4">
        <v>11541</v>
      </c>
      <c r="N33" s="4"/>
      <c r="O33" s="96">
        <f t="shared" si="1"/>
        <v>-1</v>
      </c>
      <c r="P33" s="4">
        <f t="shared" si="2"/>
        <v>19201</v>
      </c>
      <c r="Q33" s="4">
        <f t="shared" si="3"/>
        <v>0</v>
      </c>
      <c r="R33" s="96">
        <f t="shared" si="4"/>
        <v>-1</v>
      </c>
      <c r="S33" s="97"/>
      <c r="T33" s="97"/>
      <c r="U33" s="96" t="e">
        <f t="shared" si="5"/>
        <v>#DIV/0!</v>
      </c>
      <c r="V33" s="98">
        <f t="shared" si="6"/>
        <v>19201</v>
      </c>
      <c r="W33" s="98">
        <f t="shared" si="7"/>
        <v>0</v>
      </c>
      <c r="X33" s="96">
        <f t="shared" si="8"/>
        <v>-1</v>
      </c>
      <c r="Y33" s="4">
        <v>4450</v>
      </c>
      <c r="Z33" s="4"/>
      <c r="AA33" s="96">
        <f t="shared" si="9"/>
        <v>-1</v>
      </c>
      <c r="AB33" s="4">
        <f t="shared" si="10"/>
        <v>23651</v>
      </c>
      <c r="AC33" s="4">
        <f t="shared" si="11"/>
        <v>0</v>
      </c>
      <c r="AD33" s="96">
        <f t="shared" si="12"/>
        <v>-1</v>
      </c>
      <c r="AE33" s="4">
        <v>10832</v>
      </c>
      <c r="AF33" s="4"/>
      <c r="AG33" s="96">
        <f t="shared" si="13"/>
        <v>-1</v>
      </c>
      <c r="AH33" s="4">
        <f t="shared" si="14"/>
        <v>34483</v>
      </c>
      <c r="AI33" s="4">
        <f t="shared" si="15"/>
        <v>0</v>
      </c>
      <c r="AJ33" s="96">
        <f t="shared" si="16"/>
        <v>-1</v>
      </c>
      <c r="AK33" s="10"/>
      <c r="AL33" s="10"/>
      <c r="AM33" s="96" t="e">
        <f t="shared" si="17"/>
        <v>#DIV/0!</v>
      </c>
      <c r="AN33" s="10">
        <f t="shared" si="18"/>
        <v>34483</v>
      </c>
      <c r="AO33" s="10">
        <f t="shared" si="19"/>
        <v>0</v>
      </c>
      <c r="AP33" s="96">
        <f t="shared" si="20"/>
        <v>-1</v>
      </c>
      <c r="AQ33" s="97"/>
      <c r="AR33" s="97"/>
      <c r="AS33" s="96" t="e">
        <f t="shared" si="21"/>
        <v>#DIV/0!</v>
      </c>
      <c r="AT33" s="97">
        <f t="shared" si="22"/>
        <v>34483</v>
      </c>
      <c r="AU33" s="97">
        <f t="shared" si="23"/>
        <v>0</v>
      </c>
      <c r="AV33" s="96">
        <f t="shared" si="24"/>
        <v>-1</v>
      </c>
      <c r="AW33" s="4">
        <v>3500</v>
      </c>
      <c r="AX33" s="4"/>
      <c r="AY33" s="96">
        <f t="shared" si="25"/>
        <v>-1</v>
      </c>
      <c r="AZ33" s="4">
        <f t="shared" si="26"/>
        <v>37983</v>
      </c>
      <c r="BA33" s="4">
        <f t="shared" si="27"/>
        <v>0</v>
      </c>
      <c r="BB33" s="96">
        <f t="shared" si="28"/>
        <v>-1</v>
      </c>
      <c r="BC33" s="4">
        <v>12400</v>
      </c>
      <c r="BD33" s="101">
        <v>1600</v>
      </c>
      <c r="BE33" s="4"/>
      <c r="BF33" s="4"/>
      <c r="BG33" s="4">
        <v>51983</v>
      </c>
      <c r="BH33" s="104" t="e">
        <f t="shared" si="29"/>
        <v>#DIV/0!</v>
      </c>
    </row>
    <row r="34" s="1" customFormat="1" customHeight="1" spans="1:60">
      <c r="A34" s="76" t="s">
        <v>409</v>
      </c>
      <c r="B34" s="77" t="s">
        <v>409</v>
      </c>
      <c r="C34" s="84" t="s">
        <v>458</v>
      </c>
      <c r="D34" s="12" t="s">
        <v>83</v>
      </c>
      <c r="E34" s="12" t="s">
        <v>83</v>
      </c>
      <c r="F34" s="12" t="s">
        <v>459</v>
      </c>
      <c r="G34" s="8" t="s">
        <v>459</v>
      </c>
      <c r="H34" s="77" t="s">
        <v>430</v>
      </c>
      <c r="I34" s="77">
        <v>100</v>
      </c>
      <c r="J34" s="4">
        <v>61750</v>
      </c>
      <c r="K34" s="4">
        <v>-2200</v>
      </c>
      <c r="L34" s="96">
        <f t="shared" si="0"/>
        <v>-1.03562753036437</v>
      </c>
      <c r="M34" s="4"/>
      <c r="N34" s="4"/>
      <c r="O34" s="96" t="e">
        <f t="shared" si="1"/>
        <v>#DIV/0!</v>
      </c>
      <c r="P34" s="4">
        <f t="shared" si="2"/>
        <v>61750</v>
      </c>
      <c r="Q34" s="4">
        <f t="shared" si="3"/>
        <v>-2200</v>
      </c>
      <c r="R34" s="96">
        <f t="shared" si="4"/>
        <v>-1.03562753036437</v>
      </c>
      <c r="S34" s="97">
        <v>58058</v>
      </c>
      <c r="T34" s="97">
        <v>55310</v>
      </c>
      <c r="U34" s="96">
        <f t="shared" si="5"/>
        <v>-0.0473319783664611</v>
      </c>
      <c r="V34" s="98">
        <f t="shared" si="6"/>
        <v>119808</v>
      </c>
      <c r="W34" s="98">
        <f t="shared" si="7"/>
        <v>53110</v>
      </c>
      <c r="X34" s="96">
        <f t="shared" si="8"/>
        <v>-0.556707398504274</v>
      </c>
      <c r="Y34" s="4">
        <v>50146</v>
      </c>
      <c r="Z34" s="4">
        <v>48806</v>
      </c>
      <c r="AA34" s="96">
        <f t="shared" si="9"/>
        <v>-0.0267219718422207</v>
      </c>
      <c r="AB34" s="4">
        <f t="shared" si="10"/>
        <v>169954</v>
      </c>
      <c r="AC34" s="4">
        <f t="shared" si="11"/>
        <v>101916</v>
      </c>
      <c r="AD34" s="96">
        <f t="shared" si="12"/>
        <v>-0.400331854501806</v>
      </c>
      <c r="AE34" s="4"/>
      <c r="AF34" s="4">
        <v>32645</v>
      </c>
      <c r="AG34" s="96" t="e">
        <f t="shared" si="13"/>
        <v>#DIV/0!</v>
      </c>
      <c r="AH34" s="4">
        <f t="shared" si="14"/>
        <v>169954</v>
      </c>
      <c r="AI34" s="4">
        <f t="shared" si="15"/>
        <v>134561</v>
      </c>
      <c r="AJ34" s="96">
        <f t="shared" si="16"/>
        <v>-0.208250467773633</v>
      </c>
      <c r="AK34" s="10">
        <v>4500</v>
      </c>
      <c r="AL34" s="10">
        <v>48676</v>
      </c>
      <c r="AM34" s="96">
        <f t="shared" si="17"/>
        <v>9.81688888888889</v>
      </c>
      <c r="AN34" s="10">
        <f t="shared" si="18"/>
        <v>174454</v>
      </c>
      <c r="AO34" s="10">
        <f t="shared" si="19"/>
        <v>183237</v>
      </c>
      <c r="AP34" s="96">
        <f t="shared" si="20"/>
        <v>0.0503456498561226</v>
      </c>
      <c r="AQ34" s="97">
        <v>21264</v>
      </c>
      <c r="AR34" s="97">
        <v>6788</v>
      </c>
      <c r="AS34" s="96">
        <f t="shared" si="21"/>
        <v>-0.680775018811136</v>
      </c>
      <c r="AT34" s="97">
        <f t="shared" si="22"/>
        <v>195718</v>
      </c>
      <c r="AU34" s="97">
        <f t="shared" si="23"/>
        <v>190025</v>
      </c>
      <c r="AV34" s="96">
        <f t="shared" si="24"/>
        <v>-0.0290877691372281</v>
      </c>
      <c r="AW34" s="4">
        <v>75899</v>
      </c>
      <c r="AX34" s="4">
        <v>8075</v>
      </c>
      <c r="AY34" s="96">
        <f t="shared" si="25"/>
        <v>-0.893608611444156</v>
      </c>
      <c r="AZ34" s="4">
        <f t="shared" si="26"/>
        <v>271617</v>
      </c>
      <c r="BA34" s="4">
        <f t="shared" si="27"/>
        <v>198100</v>
      </c>
      <c r="BB34" s="96">
        <f t="shared" si="28"/>
        <v>-0.270664207321339</v>
      </c>
      <c r="BC34" s="4">
        <v>98871</v>
      </c>
      <c r="BD34" s="101">
        <v>200035.2</v>
      </c>
      <c r="BE34" s="4">
        <v>93493</v>
      </c>
      <c r="BF34" s="4">
        <v>114731</v>
      </c>
      <c r="BG34" s="4">
        <v>778747.2</v>
      </c>
      <c r="BH34" s="104">
        <f t="shared" si="29"/>
        <v>0.1981</v>
      </c>
    </row>
    <row r="35" s="3" customFormat="1" customHeight="1" spans="1:60">
      <c r="A35" s="76" t="s">
        <v>409</v>
      </c>
      <c r="B35" s="77" t="s">
        <v>409</v>
      </c>
      <c r="C35" s="84" t="s">
        <v>460</v>
      </c>
      <c r="D35" s="12" t="s">
        <v>60</v>
      </c>
      <c r="E35" s="12" t="s">
        <v>60</v>
      </c>
      <c r="F35" s="12" t="s">
        <v>459</v>
      </c>
      <c r="G35" s="77" t="s">
        <v>459</v>
      </c>
      <c r="H35" s="77" t="s">
        <v>430</v>
      </c>
      <c r="I35" s="77"/>
      <c r="J35" s="4"/>
      <c r="K35" s="4"/>
      <c r="L35" s="96" t="e">
        <f t="shared" si="0"/>
        <v>#DIV/0!</v>
      </c>
      <c r="M35" s="4"/>
      <c r="N35" s="4"/>
      <c r="O35" s="96" t="e">
        <f t="shared" si="1"/>
        <v>#DIV/0!</v>
      </c>
      <c r="P35" s="4">
        <f t="shared" si="2"/>
        <v>0</v>
      </c>
      <c r="Q35" s="4">
        <f t="shared" si="3"/>
        <v>0</v>
      </c>
      <c r="R35" s="96" t="e">
        <f t="shared" si="4"/>
        <v>#DIV/0!</v>
      </c>
      <c r="S35" s="97"/>
      <c r="T35" s="97"/>
      <c r="U35" s="96" t="e">
        <f t="shared" si="5"/>
        <v>#DIV/0!</v>
      </c>
      <c r="V35" s="98">
        <f t="shared" si="6"/>
        <v>0</v>
      </c>
      <c r="W35" s="98">
        <f t="shared" si="7"/>
        <v>0</v>
      </c>
      <c r="X35" s="96" t="e">
        <f t="shared" si="8"/>
        <v>#DIV/0!</v>
      </c>
      <c r="Y35" s="4"/>
      <c r="Z35" s="4"/>
      <c r="AA35" s="96" t="e">
        <f t="shared" si="9"/>
        <v>#DIV/0!</v>
      </c>
      <c r="AB35" s="4">
        <f t="shared" si="10"/>
        <v>0</v>
      </c>
      <c r="AC35" s="4">
        <f t="shared" si="11"/>
        <v>0</v>
      </c>
      <c r="AD35" s="96" t="e">
        <f t="shared" si="12"/>
        <v>#DIV/0!</v>
      </c>
      <c r="AE35" s="4"/>
      <c r="AF35" s="4"/>
      <c r="AG35" s="96" t="e">
        <f t="shared" si="13"/>
        <v>#DIV/0!</v>
      </c>
      <c r="AH35" s="4">
        <f t="shared" si="14"/>
        <v>0</v>
      </c>
      <c r="AI35" s="4">
        <f t="shared" si="15"/>
        <v>0</v>
      </c>
      <c r="AJ35" s="96" t="e">
        <f t="shared" si="16"/>
        <v>#DIV/0!</v>
      </c>
      <c r="AK35" s="10"/>
      <c r="AL35" s="10"/>
      <c r="AM35" s="96" t="e">
        <f t="shared" si="17"/>
        <v>#DIV/0!</v>
      </c>
      <c r="AN35" s="10">
        <f t="shared" si="18"/>
        <v>0</v>
      </c>
      <c r="AO35" s="10">
        <f t="shared" si="19"/>
        <v>0</v>
      </c>
      <c r="AP35" s="96" t="e">
        <f t="shared" si="20"/>
        <v>#DIV/0!</v>
      </c>
      <c r="AQ35" s="97"/>
      <c r="AR35" s="97"/>
      <c r="AS35" s="96" t="e">
        <f t="shared" si="21"/>
        <v>#DIV/0!</v>
      </c>
      <c r="AT35" s="97">
        <f t="shared" si="22"/>
        <v>0</v>
      </c>
      <c r="AU35" s="97">
        <f t="shared" si="23"/>
        <v>0</v>
      </c>
      <c r="AV35" s="96" t="e">
        <f t="shared" si="24"/>
        <v>#DIV/0!</v>
      </c>
      <c r="AW35" s="4"/>
      <c r="AX35" s="4"/>
      <c r="AY35" s="96" t="e">
        <f t="shared" si="25"/>
        <v>#DIV/0!</v>
      </c>
      <c r="AZ35" s="4">
        <f t="shared" si="26"/>
        <v>0</v>
      </c>
      <c r="BA35" s="4">
        <f t="shared" si="27"/>
        <v>0</v>
      </c>
      <c r="BB35" s="96" t="e">
        <f t="shared" si="28"/>
        <v>#DIV/0!</v>
      </c>
      <c r="BC35" s="4"/>
      <c r="BD35" s="101"/>
      <c r="BE35" s="4"/>
      <c r="BF35" s="4"/>
      <c r="BG35" s="4">
        <v>0</v>
      </c>
      <c r="BH35" s="104" t="e">
        <f t="shared" si="29"/>
        <v>#DIV/0!</v>
      </c>
    </row>
    <row r="36" s="3" customFormat="1" customHeight="1" spans="1:60">
      <c r="A36" s="76" t="s">
        <v>409</v>
      </c>
      <c r="B36" s="77" t="s">
        <v>409</v>
      </c>
      <c r="C36" s="84" t="s">
        <v>461</v>
      </c>
      <c r="D36" s="12" t="s">
        <v>60</v>
      </c>
      <c r="E36" s="12" t="s">
        <v>60</v>
      </c>
      <c r="F36" s="12" t="s">
        <v>423</v>
      </c>
      <c r="G36" s="77" t="s">
        <v>443</v>
      </c>
      <c r="H36" s="77" t="s">
        <v>412</v>
      </c>
      <c r="I36" s="77"/>
      <c r="J36" s="4">
        <v>34839</v>
      </c>
      <c r="K36" s="4">
        <v>8829</v>
      </c>
      <c r="L36" s="96">
        <f t="shared" si="0"/>
        <v>-0.746577111857401</v>
      </c>
      <c r="M36" s="4">
        <v>11479</v>
      </c>
      <c r="N36" s="4">
        <v>6210</v>
      </c>
      <c r="O36" s="96">
        <f t="shared" si="1"/>
        <v>-0.459012109068734</v>
      </c>
      <c r="P36" s="4">
        <f t="shared" si="2"/>
        <v>46318</v>
      </c>
      <c r="Q36" s="4">
        <f t="shared" si="3"/>
        <v>15039</v>
      </c>
      <c r="R36" s="96">
        <f t="shared" si="4"/>
        <v>-0.675309814758841</v>
      </c>
      <c r="S36" s="97">
        <v>22740</v>
      </c>
      <c r="T36" s="97"/>
      <c r="U36" s="96">
        <f t="shared" si="5"/>
        <v>-1</v>
      </c>
      <c r="V36" s="98">
        <f t="shared" si="6"/>
        <v>69058</v>
      </c>
      <c r="W36" s="98">
        <f t="shared" si="7"/>
        <v>15039</v>
      </c>
      <c r="X36" s="96">
        <f t="shared" si="8"/>
        <v>-0.782226534217614</v>
      </c>
      <c r="Y36" s="4">
        <v>20780</v>
      </c>
      <c r="Z36" s="4"/>
      <c r="AA36" s="96">
        <f t="shared" ref="AA36:AA67" si="30">Z36/Y36-1</f>
        <v>-1</v>
      </c>
      <c r="AB36" s="4">
        <f t="shared" ref="AB36:AB67" si="31">Y36+V36</f>
        <v>89838</v>
      </c>
      <c r="AC36" s="4">
        <f t="shared" ref="AC36:AC67" si="32">Z36+W36</f>
        <v>15039</v>
      </c>
      <c r="AD36" s="96">
        <f t="shared" ref="AD36:AD67" si="33">AC36/AB36-1</f>
        <v>-0.832598677619716</v>
      </c>
      <c r="AE36" s="4">
        <v>26850</v>
      </c>
      <c r="AF36" s="4">
        <v>700</v>
      </c>
      <c r="AG36" s="96">
        <f t="shared" ref="AG36:AG78" si="34">AF36/AE36-1</f>
        <v>-0.973929236499069</v>
      </c>
      <c r="AH36" s="4">
        <f t="shared" ref="AH36:AH77" si="35">AE36+AB36</f>
        <v>116688</v>
      </c>
      <c r="AI36" s="4">
        <f t="shared" ref="AI36:AI77" si="36">AF36+AC36</f>
        <v>15739</v>
      </c>
      <c r="AJ36" s="96">
        <f t="shared" ref="AJ36:AJ78" si="37">AI36/AH36-1</f>
        <v>-0.865118949677773</v>
      </c>
      <c r="AK36" s="10">
        <v>10134</v>
      </c>
      <c r="AL36" s="10">
        <v>4603</v>
      </c>
      <c r="AM36" s="96">
        <f t="shared" ref="AM36:AM79" si="38">AL36/AK36-1</f>
        <v>-0.545786461417012</v>
      </c>
      <c r="AN36" s="10">
        <f t="shared" ref="AN36:AN78" si="39">AK36+AH36</f>
        <v>126822</v>
      </c>
      <c r="AO36" s="10">
        <f t="shared" ref="AO36:AO78" si="40">AL36+AI36</f>
        <v>20342</v>
      </c>
      <c r="AP36" s="96">
        <f t="shared" ref="AP36:AP79" si="41">AO36/AN36-1</f>
        <v>-0.839601961804734</v>
      </c>
      <c r="AQ36" s="97">
        <v>16340</v>
      </c>
      <c r="AR36" s="97">
        <v>3678</v>
      </c>
      <c r="AS36" s="96">
        <f t="shared" ref="AS36:AS67" si="42">AR36/AQ36-1</f>
        <v>-0.774908200734394</v>
      </c>
      <c r="AT36" s="97">
        <f t="shared" ref="AT36:AT67" si="43">AQ36+AN36</f>
        <v>143162</v>
      </c>
      <c r="AU36" s="97">
        <f t="shared" ref="AU36:AU67" si="44">AR36+AO36</f>
        <v>24020</v>
      </c>
      <c r="AV36" s="96">
        <f t="shared" ref="AV36:AV67" si="45">AU36/AT36-1</f>
        <v>-0.832218046688367</v>
      </c>
      <c r="AW36" s="4">
        <v>790</v>
      </c>
      <c r="AX36" s="4">
        <v>0</v>
      </c>
      <c r="AY36" s="96">
        <f t="shared" ref="AY36:AY67" si="46">AX36/AW36-1</f>
        <v>-1</v>
      </c>
      <c r="AZ36" s="4">
        <f t="shared" ref="AZ36:AZ67" si="47">AW36+AT36</f>
        <v>143952</v>
      </c>
      <c r="BA36" s="4">
        <f t="shared" ref="BA36:BA67" si="48">AX36+AU36</f>
        <v>24020</v>
      </c>
      <c r="BB36" s="96">
        <f t="shared" ref="BB36:BB67" si="49">BA36/AZ36-1</f>
        <v>-0.833138824052462</v>
      </c>
      <c r="BC36" s="4">
        <v>16200</v>
      </c>
      <c r="BD36" s="101">
        <v>69670</v>
      </c>
      <c r="BE36" s="4">
        <v>729</v>
      </c>
      <c r="BF36" s="4">
        <v>7310</v>
      </c>
      <c r="BG36" s="4">
        <v>237861</v>
      </c>
      <c r="BH36" s="104" t="e">
        <f t="shared" ref="BH36:BH67" si="50">BA36/10000/I36</f>
        <v>#DIV/0!</v>
      </c>
    </row>
    <row r="37" s="3" customFormat="1" spans="1:60">
      <c r="A37" s="76" t="s">
        <v>409</v>
      </c>
      <c r="B37" s="77" t="s">
        <v>409</v>
      </c>
      <c r="C37" s="84" t="s">
        <v>462</v>
      </c>
      <c r="D37" s="12" t="s">
        <v>60</v>
      </c>
      <c r="E37" s="12" t="s">
        <v>60</v>
      </c>
      <c r="F37" s="12" t="s">
        <v>423</v>
      </c>
      <c r="G37" s="77" t="s">
        <v>443</v>
      </c>
      <c r="H37" s="77" t="s">
        <v>412</v>
      </c>
      <c r="I37" s="77">
        <v>140</v>
      </c>
      <c r="J37" s="4">
        <v>207903</v>
      </c>
      <c r="K37" s="4">
        <v>76400</v>
      </c>
      <c r="L37" s="96">
        <f t="shared" si="0"/>
        <v>-0.63252093524384</v>
      </c>
      <c r="M37" s="4">
        <v>25890</v>
      </c>
      <c r="N37" s="4">
        <v>25970</v>
      </c>
      <c r="O37" s="96">
        <f t="shared" si="1"/>
        <v>0.00308999613750482</v>
      </c>
      <c r="P37" s="4">
        <f t="shared" si="2"/>
        <v>233793</v>
      </c>
      <c r="Q37" s="4">
        <f t="shared" si="3"/>
        <v>102370</v>
      </c>
      <c r="R37" s="96">
        <f t="shared" si="4"/>
        <v>-0.562134024543079</v>
      </c>
      <c r="S37" s="97">
        <v>281469</v>
      </c>
      <c r="T37" s="97">
        <v>97837</v>
      </c>
      <c r="U37" s="96">
        <f t="shared" si="5"/>
        <v>-0.652405771150642</v>
      </c>
      <c r="V37" s="98">
        <f t="shared" si="6"/>
        <v>515262</v>
      </c>
      <c r="W37" s="98">
        <f t="shared" si="7"/>
        <v>200207</v>
      </c>
      <c r="X37" s="96">
        <f t="shared" si="8"/>
        <v>-0.611446215711619</v>
      </c>
      <c r="Y37" s="4">
        <v>106769</v>
      </c>
      <c r="Z37" s="4">
        <v>93504</v>
      </c>
      <c r="AA37" s="96">
        <f t="shared" si="30"/>
        <v>-0.124240182075322</v>
      </c>
      <c r="AB37" s="4">
        <f t="shared" si="31"/>
        <v>622031</v>
      </c>
      <c r="AC37" s="4">
        <f t="shared" si="32"/>
        <v>293711</v>
      </c>
      <c r="AD37" s="96">
        <f t="shared" si="33"/>
        <v>-0.527819353054751</v>
      </c>
      <c r="AE37" s="4">
        <v>72586</v>
      </c>
      <c r="AF37" s="4">
        <v>109555.5</v>
      </c>
      <c r="AG37" s="96">
        <f t="shared" si="34"/>
        <v>0.509319979059323</v>
      </c>
      <c r="AH37" s="4">
        <f t="shared" si="35"/>
        <v>694617</v>
      </c>
      <c r="AI37" s="4">
        <f t="shared" si="36"/>
        <v>403266.5</v>
      </c>
      <c r="AJ37" s="96">
        <f t="shared" si="37"/>
        <v>-0.4194404974252</v>
      </c>
      <c r="AK37" s="10">
        <v>72556</v>
      </c>
      <c r="AL37" s="10">
        <v>95211</v>
      </c>
      <c r="AM37" s="96">
        <f t="shared" si="38"/>
        <v>0.312241578918353</v>
      </c>
      <c r="AN37" s="10">
        <f t="shared" si="39"/>
        <v>767173</v>
      </c>
      <c r="AO37" s="10">
        <f t="shared" si="40"/>
        <v>498477.5</v>
      </c>
      <c r="AP37" s="96">
        <f t="shared" si="41"/>
        <v>-0.350241079912875</v>
      </c>
      <c r="AQ37" s="97">
        <v>137409</v>
      </c>
      <c r="AR37" s="97">
        <v>80792</v>
      </c>
      <c r="AS37" s="96">
        <f t="shared" si="42"/>
        <v>-0.412032690726226</v>
      </c>
      <c r="AT37" s="97">
        <f t="shared" si="43"/>
        <v>904582</v>
      </c>
      <c r="AU37" s="97">
        <f t="shared" si="44"/>
        <v>579269.5</v>
      </c>
      <c r="AV37" s="96">
        <f t="shared" si="45"/>
        <v>-0.359627430127949</v>
      </c>
      <c r="AW37" s="4">
        <v>101648</v>
      </c>
      <c r="AX37" s="4">
        <v>69864</v>
      </c>
      <c r="AY37" s="96">
        <f t="shared" si="46"/>
        <v>-0.31268691956556</v>
      </c>
      <c r="AZ37" s="4">
        <f t="shared" si="47"/>
        <v>1006230</v>
      </c>
      <c r="BA37" s="4">
        <f t="shared" si="48"/>
        <v>649133.5</v>
      </c>
      <c r="BB37" s="96">
        <f t="shared" si="49"/>
        <v>-0.354885562942866</v>
      </c>
      <c r="BC37" s="4">
        <v>112500</v>
      </c>
      <c r="BD37" s="101">
        <v>121825</v>
      </c>
      <c r="BE37" s="4">
        <v>76845</v>
      </c>
      <c r="BF37" s="4">
        <v>98590</v>
      </c>
      <c r="BG37" s="4">
        <v>1415990</v>
      </c>
      <c r="BH37" s="104">
        <f t="shared" si="50"/>
        <v>0.463666785714286</v>
      </c>
    </row>
    <row r="38" s="3" customFormat="1" spans="1:60">
      <c r="A38" s="76" t="s">
        <v>409</v>
      </c>
      <c r="B38" s="77" t="s">
        <v>409</v>
      </c>
      <c r="C38" s="84" t="s">
        <v>463</v>
      </c>
      <c r="D38" s="12" t="s">
        <v>83</v>
      </c>
      <c r="E38" s="12" t="s">
        <v>83</v>
      </c>
      <c r="F38" s="12" t="s">
        <v>426</v>
      </c>
      <c r="G38" s="77" t="s">
        <v>426</v>
      </c>
      <c r="H38" s="77" t="s">
        <v>412</v>
      </c>
      <c r="I38" s="77"/>
      <c r="J38" s="4">
        <v>12000</v>
      </c>
      <c r="K38" s="4"/>
      <c r="L38" s="96">
        <f t="shared" si="0"/>
        <v>-1</v>
      </c>
      <c r="M38" s="4">
        <v>7398</v>
      </c>
      <c r="N38" s="4"/>
      <c r="O38" s="96">
        <f t="shared" si="1"/>
        <v>-1</v>
      </c>
      <c r="P38" s="4">
        <f t="shared" si="2"/>
        <v>19398</v>
      </c>
      <c r="Q38" s="4">
        <f t="shared" si="3"/>
        <v>0</v>
      </c>
      <c r="R38" s="96">
        <f t="shared" si="4"/>
        <v>-1</v>
      </c>
      <c r="S38" s="97">
        <v>15850</v>
      </c>
      <c r="T38" s="97"/>
      <c r="U38" s="96">
        <f t="shared" si="5"/>
        <v>-1</v>
      </c>
      <c r="V38" s="98">
        <f t="shared" si="6"/>
        <v>35248</v>
      </c>
      <c r="W38" s="98">
        <f t="shared" si="7"/>
        <v>0</v>
      </c>
      <c r="X38" s="96">
        <f t="shared" si="8"/>
        <v>-1</v>
      </c>
      <c r="Y38" s="4"/>
      <c r="Z38" s="4"/>
      <c r="AA38" s="96" t="e">
        <f t="shared" si="30"/>
        <v>#DIV/0!</v>
      </c>
      <c r="AB38" s="4">
        <f t="shared" si="31"/>
        <v>35248</v>
      </c>
      <c r="AC38" s="4">
        <f t="shared" si="32"/>
        <v>0</v>
      </c>
      <c r="AD38" s="96">
        <f t="shared" si="33"/>
        <v>-1</v>
      </c>
      <c r="AE38" s="4"/>
      <c r="AF38" s="4"/>
      <c r="AG38" s="96" t="e">
        <f t="shared" si="34"/>
        <v>#DIV/0!</v>
      </c>
      <c r="AH38" s="4">
        <f t="shared" si="35"/>
        <v>35248</v>
      </c>
      <c r="AI38" s="4">
        <f t="shared" si="36"/>
        <v>0</v>
      </c>
      <c r="AJ38" s="96">
        <f t="shared" si="37"/>
        <v>-1</v>
      </c>
      <c r="AK38" s="10"/>
      <c r="AL38" s="10"/>
      <c r="AM38" s="96" t="e">
        <f t="shared" si="38"/>
        <v>#DIV/0!</v>
      </c>
      <c r="AN38" s="10">
        <f t="shared" si="39"/>
        <v>35248</v>
      </c>
      <c r="AO38" s="10">
        <f t="shared" si="40"/>
        <v>0</v>
      </c>
      <c r="AP38" s="96">
        <f t="shared" si="41"/>
        <v>-1</v>
      </c>
      <c r="AQ38" s="97"/>
      <c r="AR38" s="97"/>
      <c r="AS38" s="96" t="e">
        <f t="shared" si="42"/>
        <v>#DIV/0!</v>
      </c>
      <c r="AT38" s="97">
        <f t="shared" si="43"/>
        <v>35248</v>
      </c>
      <c r="AU38" s="97">
        <f t="shared" si="44"/>
        <v>0</v>
      </c>
      <c r="AV38" s="96">
        <f t="shared" si="45"/>
        <v>-1</v>
      </c>
      <c r="AW38" s="4"/>
      <c r="AX38" s="4"/>
      <c r="AY38" s="96" t="e">
        <f t="shared" si="46"/>
        <v>#DIV/0!</v>
      </c>
      <c r="AZ38" s="4">
        <f t="shared" si="47"/>
        <v>35248</v>
      </c>
      <c r="BA38" s="4">
        <f t="shared" si="48"/>
        <v>0</v>
      </c>
      <c r="BB38" s="96">
        <f t="shared" si="49"/>
        <v>-1</v>
      </c>
      <c r="BC38" s="4"/>
      <c r="BD38" s="101"/>
      <c r="BE38" s="4"/>
      <c r="BF38" s="4"/>
      <c r="BG38" s="4">
        <v>35248</v>
      </c>
      <c r="BH38" s="104" t="e">
        <f t="shared" si="50"/>
        <v>#DIV/0!</v>
      </c>
    </row>
    <row r="39" s="3" customFormat="1" spans="1:60">
      <c r="A39" s="76" t="s">
        <v>409</v>
      </c>
      <c r="B39" s="77" t="s">
        <v>409</v>
      </c>
      <c r="C39" s="84" t="s">
        <v>464</v>
      </c>
      <c r="D39" s="12" t="s">
        <v>60</v>
      </c>
      <c r="E39" s="12" t="s">
        <v>60</v>
      </c>
      <c r="F39" s="12" t="s">
        <v>459</v>
      </c>
      <c r="G39" s="77" t="s">
        <v>459</v>
      </c>
      <c r="H39" s="77" t="s">
        <v>430</v>
      </c>
      <c r="I39" s="77"/>
      <c r="J39" s="4">
        <v>19719</v>
      </c>
      <c r="K39" s="4">
        <v>7500</v>
      </c>
      <c r="L39" s="96">
        <f t="shared" si="0"/>
        <v>-0.619656169176936</v>
      </c>
      <c r="M39" s="4">
        <v>8260</v>
      </c>
      <c r="N39" s="4"/>
      <c r="O39" s="96">
        <f t="shared" si="1"/>
        <v>-1</v>
      </c>
      <c r="P39" s="4">
        <f t="shared" si="2"/>
        <v>27979</v>
      </c>
      <c r="Q39" s="4">
        <f t="shared" si="3"/>
        <v>7500</v>
      </c>
      <c r="R39" s="96">
        <f t="shared" si="4"/>
        <v>-0.731941813502984</v>
      </c>
      <c r="S39" s="97">
        <v>8576</v>
      </c>
      <c r="T39" s="97">
        <v>7496</v>
      </c>
      <c r="U39" s="96">
        <f t="shared" si="5"/>
        <v>-0.125932835820896</v>
      </c>
      <c r="V39" s="98">
        <f t="shared" si="6"/>
        <v>36555</v>
      </c>
      <c r="W39" s="98">
        <f t="shared" si="7"/>
        <v>14996</v>
      </c>
      <c r="X39" s="96">
        <f t="shared" si="8"/>
        <v>-0.589768841471755</v>
      </c>
      <c r="Y39" s="4"/>
      <c r="Z39" s="4"/>
      <c r="AA39" s="96" t="e">
        <f t="shared" si="30"/>
        <v>#DIV/0!</v>
      </c>
      <c r="AB39" s="4">
        <f t="shared" si="31"/>
        <v>36555</v>
      </c>
      <c r="AC39" s="4">
        <f t="shared" si="32"/>
        <v>14996</v>
      </c>
      <c r="AD39" s="96">
        <f t="shared" si="33"/>
        <v>-0.589768841471755</v>
      </c>
      <c r="AE39" s="4">
        <v>3500</v>
      </c>
      <c r="AF39" s="4">
        <v>7728</v>
      </c>
      <c r="AG39" s="96">
        <f t="shared" si="34"/>
        <v>1.208</v>
      </c>
      <c r="AH39" s="4">
        <f t="shared" si="35"/>
        <v>40055</v>
      </c>
      <c r="AI39" s="4">
        <f t="shared" si="36"/>
        <v>22724</v>
      </c>
      <c r="AJ39" s="96">
        <f t="shared" si="37"/>
        <v>-0.432680064910748</v>
      </c>
      <c r="AK39" s="10">
        <v>13500</v>
      </c>
      <c r="AL39" s="10">
        <v>6281</v>
      </c>
      <c r="AM39" s="96">
        <f t="shared" si="38"/>
        <v>-0.534740740740741</v>
      </c>
      <c r="AN39" s="10">
        <f t="shared" si="39"/>
        <v>53555</v>
      </c>
      <c r="AO39" s="10">
        <f t="shared" si="40"/>
        <v>29005</v>
      </c>
      <c r="AP39" s="96">
        <f t="shared" si="41"/>
        <v>-0.458407244888432</v>
      </c>
      <c r="AQ39" s="97">
        <v>0</v>
      </c>
      <c r="AR39" s="97">
        <v>868</v>
      </c>
      <c r="AS39" s="96" t="e">
        <f t="shared" si="42"/>
        <v>#DIV/0!</v>
      </c>
      <c r="AT39" s="97">
        <f t="shared" si="43"/>
        <v>53555</v>
      </c>
      <c r="AU39" s="97">
        <f t="shared" si="44"/>
        <v>29873</v>
      </c>
      <c r="AV39" s="96">
        <f t="shared" si="45"/>
        <v>-0.44219960787975</v>
      </c>
      <c r="AW39" s="4">
        <v>41500</v>
      </c>
      <c r="AX39" s="4">
        <v>1900</v>
      </c>
      <c r="AY39" s="96">
        <f t="shared" si="46"/>
        <v>-0.95421686746988</v>
      </c>
      <c r="AZ39" s="4">
        <f t="shared" si="47"/>
        <v>95055</v>
      </c>
      <c r="BA39" s="4">
        <f t="shared" si="48"/>
        <v>31773</v>
      </c>
      <c r="BB39" s="96">
        <f t="shared" si="49"/>
        <v>-0.665740886854979</v>
      </c>
      <c r="BC39" s="4">
        <v>12930</v>
      </c>
      <c r="BD39" s="101">
        <v>11288</v>
      </c>
      <c r="BE39" s="4">
        <v>9500</v>
      </c>
      <c r="BF39" s="4">
        <v>8438</v>
      </c>
      <c r="BG39" s="4">
        <v>137211</v>
      </c>
      <c r="BH39" s="104" t="e">
        <f t="shared" si="50"/>
        <v>#DIV/0!</v>
      </c>
    </row>
    <row r="40" s="3" customFormat="1" spans="1:60">
      <c r="A40" s="76" t="s">
        <v>409</v>
      </c>
      <c r="B40" s="77" t="s">
        <v>409</v>
      </c>
      <c r="C40" s="84" t="s">
        <v>465</v>
      </c>
      <c r="D40" s="12" t="s">
        <v>60</v>
      </c>
      <c r="E40" s="12" t="s">
        <v>60</v>
      </c>
      <c r="F40" s="12" t="s">
        <v>466</v>
      </c>
      <c r="G40" s="77" t="s">
        <v>466</v>
      </c>
      <c r="H40" s="77" t="s">
        <v>430</v>
      </c>
      <c r="I40" s="77"/>
      <c r="J40" s="4"/>
      <c r="K40" s="4"/>
      <c r="L40" s="96" t="e">
        <f t="shared" si="0"/>
        <v>#DIV/0!</v>
      </c>
      <c r="M40" s="4"/>
      <c r="N40" s="4"/>
      <c r="O40" s="96" t="e">
        <f t="shared" si="1"/>
        <v>#DIV/0!</v>
      </c>
      <c r="P40" s="4">
        <f t="shared" si="2"/>
        <v>0</v>
      </c>
      <c r="Q40" s="4">
        <f t="shared" si="3"/>
        <v>0</v>
      </c>
      <c r="R40" s="96" t="e">
        <f t="shared" si="4"/>
        <v>#DIV/0!</v>
      </c>
      <c r="S40" s="97"/>
      <c r="T40" s="97"/>
      <c r="U40" s="96" t="e">
        <f t="shared" si="5"/>
        <v>#DIV/0!</v>
      </c>
      <c r="V40" s="98">
        <f t="shared" si="6"/>
        <v>0</v>
      </c>
      <c r="W40" s="98">
        <f t="shared" si="7"/>
        <v>0</v>
      </c>
      <c r="X40" s="96" t="e">
        <f t="shared" si="8"/>
        <v>#DIV/0!</v>
      </c>
      <c r="Y40" s="4"/>
      <c r="Z40" s="4"/>
      <c r="AA40" s="96" t="e">
        <f t="shared" si="30"/>
        <v>#DIV/0!</v>
      </c>
      <c r="AB40" s="4">
        <f t="shared" si="31"/>
        <v>0</v>
      </c>
      <c r="AC40" s="4">
        <f t="shared" si="32"/>
        <v>0</v>
      </c>
      <c r="AD40" s="96" t="e">
        <f t="shared" si="33"/>
        <v>#DIV/0!</v>
      </c>
      <c r="AE40" s="4"/>
      <c r="AF40" s="4"/>
      <c r="AG40" s="96" t="e">
        <f t="shared" si="34"/>
        <v>#DIV/0!</v>
      </c>
      <c r="AH40" s="4">
        <f t="shared" si="35"/>
        <v>0</v>
      </c>
      <c r="AI40" s="4">
        <f t="shared" si="36"/>
        <v>0</v>
      </c>
      <c r="AJ40" s="96" t="e">
        <f t="shared" si="37"/>
        <v>#DIV/0!</v>
      </c>
      <c r="AK40" s="10"/>
      <c r="AL40" s="10"/>
      <c r="AM40" s="96" t="e">
        <f t="shared" si="38"/>
        <v>#DIV/0!</v>
      </c>
      <c r="AN40" s="10">
        <f t="shared" si="39"/>
        <v>0</v>
      </c>
      <c r="AO40" s="10">
        <f t="shared" si="40"/>
        <v>0</v>
      </c>
      <c r="AP40" s="96" t="e">
        <f t="shared" si="41"/>
        <v>#DIV/0!</v>
      </c>
      <c r="AQ40" s="97"/>
      <c r="AR40" s="97"/>
      <c r="AS40" s="96" t="e">
        <f t="shared" si="42"/>
        <v>#DIV/0!</v>
      </c>
      <c r="AT40" s="97">
        <f t="shared" si="43"/>
        <v>0</v>
      </c>
      <c r="AU40" s="97">
        <f t="shared" si="44"/>
        <v>0</v>
      </c>
      <c r="AV40" s="96" t="e">
        <f t="shared" si="45"/>
        <v>#DIV/0!</v>
      </c>
      <c r="AW40" s="4"/>
      <c r="AX40" s="4"/>
      <c r="AY40" s="96" t="e">
        <f t="shared" si="46"/>
        <v>#DIV/0!</v>
      </c>
      <c r="AZ40" s="4">
        <f t="shared" si="47"/>
        <v>0</v>
      </c>
      <c r="BA40" s="4">
        <f t="shared" si="48"/>
        <v>0</v>
      </c>
      <c r="BB40" s="96" t="e">
        <f t="shared" si="49"/>
        <v>#DIV/0!</v>
      </c>
      <c r="BC40" s="4"/>
      <c r="BD40" s="101"/>
      <c r="BE40" s="4"/>
      <c r="BF40" s="4"/>
      <c r="BG40" s="4">
        <v>0</v>
      </c>
      <c r="BH40" s="104" t="e">
        <f t="shared" si="50"/>
        <v>#DIV/0!</v>
      </c>
    </row>
    <row r="41" s="3" customFormat="1" spans="1:60">
      <c r="A41" s="76" t="s">
        <v>409</v>
      </c>
      <c r="B41" s="77" t="s">
        <v>409</v>
      </c>
      <c r="C41" s="84" t="s">
        <v>467</v>
      </c>
      <c r="D41" s="12" t="s">
        <v>101</v>
      </c>
      <c r="E41" s="12" t="s">
        <v>101</v>
      </c>
      <c r="F41" s="12" t="s">
        <v>466</v>
      </c>
      <c r="G41" s="77" t="s">
        <v>466</v>
      </c>
      <c r="H41" s="77" t="s">
        <v>430</v>
      </c>
      <c r="I41" s="77"/>
      <c r="J41" s="4"/>
      <c r="K41" s="4"/>
      <c r="L41" s="96" t="e">
        <f t="shared" si="0"/>
        <v>#DIV/0!</v>
      </c>
      <c r="M41" s="4"/>
      <c r="N41" s="4"/>
      <c r="O41" s="96" t="e">
        <f t="shared" si="1"/>
        <v>#DIV/0!</v>
      </c>
      <c r="P41" s="4">
        <f t="shared" si="2"/>
        <v>0</v>
      </c>
      <c r="Q41" s="4">
        <f t="shared" si="3"/>
        <v>0</v>
      </c>
      <c r="R41" s="96" t="e">
        <f t="shared" si="4"/>
        <v>#DIV/0!</v>
      </c>
      <c r="S41" s="97"/>
      <c r="T41" s="97"/>
      <c r="U41" s="96" t="e">
        <f t="shared" si="5"/>
        <v>#DIV/0!</v>
      </c>
      <c r="V41" s="98">
        <f t="shared" si="6"/>
        <v>0</v>
      </c>
      <c r="W41" s="98">
        <f t="shared" si="7"/>
        <v>0</v>
      </c>
      <c r="X41" s="96" t="e">
        <f t="shared" si="8"/>
        <v>#DIV/0!</v>
      </c>
      <c r="Y41" s="4"/>
      <c r="Z41" s="4"/>
      <c r="AA41" s="96" t="e">
        <f t="shared" si="30"/>
        <v>#DIV/0!</v>
      </c>
      <c r="AB41" s="4">
        <f t="shared" si="31"/>
        <v>0</v>
      </c>
      <c r="AC41" s="4">
        <f t="shared" si="32"/>
        <v>0</v>
      </c>
      <c r="AD41" s="96" t="e">
        <f t="shared" si="33"/>
        <v>#DIV/0!</v>
      </c>
      <c r="AE41" s="4"/>
      <c r="AF41" s="4"/>
      <c r="AG41" s="96" t="e">
        <f t="shared" si="34"/>
        <v>#DIV/0!</v>
      </c>
      <c r="AH41" s="4">
        <f t="shared" si="35"/>
        <v>0</v>
      </c>
      <c r="AI41" s="4">
        <f t="shared" si="36"/>
        <v>0</v>
      </c>
      <c r="AJ41" s="96" t="e">
        <f t="shared" si="37"/>
        <v>#DIV/0!</v>
      </c>
      <c r="AK41" s="10"/>
      <c r="AL41" s="10"/>
      <c r="AM41" s="96" t="e">
        <f t="shared" si="38"/>
        <v>#DIV/0!</v>
      </c>
      <c r="AN41" s="10">
        <f t="shared" si="39"/>
        <v>0</v>
      </c>
      <c r="AO41" s="10">
        <f t="shared" si="40"/>
        <v>0</v>
      </c>
      <c r="AP41" s="96" t="e">
        <f t="shared" si="41"/>
        <v>#DIV/0!</v>
      </c>
      <c r="AQ41" s="97"/>
      <c r="AR41" s="97"/>
      <c r="AS41" s="96" t="e">
        <f t="shared" si="42"/>
        <v>#DIV/0!</v>
      </c>
      <c r="AT41" s="97">
        <f t="shared" si="43"/>
        <v>0</v>
      </c>
      <c r="AU41" s="97">
        <f t="shared" si="44"/>
        <v>0</v>
      </c>
      <c r="AV41" s="96" t="e">
        <f t="shared" si="45"/>
        <v>#DIV/0!</v>
      </c>
      <c r="AW41" s="4"/>
      <c r="AX41" s="4"/>
      <c r="AY41" s="96" t="e">
        <f t="shared" si="46"/>
        <v>#DIV/0!</v>
      </c>
      <c r="AZ41" s="4">
        <f t="shared" si="47"/>
        <v>0</v>
      </c>
      <c r="BA41" s="4">
        <f t="shared" si="48"/>
        <v>0</v>
      </c>
      <c r="BB41" s="96" t="e">
        <f t="shared" si="49"/>
        <v>#DIV/0!</v>
      </c>
      <c r="BC41" s="4"/>
      <c r="BD41" s="101"/>
      <c r="BE41" s="4"/>
      <c r="BF41" s="4"/>
      <c r="BG41" s="4">
        <v>0</v>
      </c>
      <c r="BH41" s="104" t="e">
        <f t="shared" si="50"/>
        <v>#DIV/0!</v>
      </c>
    </row>
    <row r="42" s="3" customFormat="1" spans="1:60">
      <c r="A42" s="76" t="s">
        <v>409</v>
      </c>
      <c r="B42" s="77" t="s">
        <v>448</v>
      </c>
      <c r="C42" s="84" t="s">
        <v>468</v>
      </c>
      <c r="D42" s="12" t="s">
        <v>60</v>
      </c>
      <c r="E42" s="12" t="s">
        <v>60</v>
      </c>
      <c r="F42" s="12" t="s">
        <v>469</v>
      </c>
      <c r="G42" s="77" t="s">
        <v>469</v>
      </c>
      <c r="H42" s="77" t="s">
        <v>452</v>
      </c>
      <c r="I42" s="77">
        <v>10</v>
      </c>
      <c r="J42" s="4">
        <v>12950</v>
      </c>
      <c r="K42" s="4"/>
      <c r="L42" s="96">
        <f t="shared" si="0"/>
        <v>-1</v>
      </c>
      <c r="M42" s="4"/>
      <c r="N42" s="4"/>
      <c r="O42" s="96" t="e">
        <f t="shared" si="1"/>
        <v>#DIV/0!</v>
      </c>
      <c r="P42" s="4">
        <f t="shared" si="2"/>
        <v>12950</v>
      </c>
      <c r="Q42" s="4">
        <f t="shared" si="3"/>
        <v>0</v>
      </c>
      <c r="R42" s="96">
        <f t="shared" si="4"/>
        <v>-1</v>
      </c>
      <c r="S42" s="97"/>
      <c r="T42" s="97"/>
      <c r="U42" s="96" t="e">
        <f t="shared" si="5"/>
        <v>#DIV/0!</v>
      </c>
      <c r="V42" s="98">
        <f t="shared" si="6"/>
        <v>12950</v>
      </c>
      <c r="W42" s="98">
        <f t="shared" si="7"/>
        <v>0</v>
      </c>
      <c r="X42" s="96">
        <f t="shared" si="8"/>
        <v>-1</v>
      </c>
      <c r="Y42" s="4">
        <v>5718</v>
      </c>
      <c r="Z42" s="4"/>
      <c r="AA42" s="96">
        <f t="shared" si="30"/>
        <v>-1</v>
      </c>
      <c r="AB42" s="4">
        <f t="shared" si="31"/>
        <v>18668</v>
      </c>
      <c r="AC42" s="4">
        <f t="shared" si="32"/>
        <v>0</v>
      </c>
      <c r="AD42" s="96">
        <f t="shared" si="33"/>
        <v>-1</v>
      </c>
      <c r="AE42" s="4">
        <v>23000</v>
      </c>
      <c r="AF42" s="4"/>
      <c r="AG42" s="96">
        <f t="shared" si="34"/>
        <v>-1</v>
      </c>
      <c r="AH42" s="4">
        <f t="shared" si="35"/>
        <v>41668</v>
      </c>
      <c r="AI42" s="4">
        <f t="shared" si="36"/>
        <v>0</v>
      </c>
      <c r="AJ42" s="96">
        <f t="shared" si="37"/>
        <v>-1</v>
      </c>
      <c r="AK42" s="10"/>
      <c r="AL42" s="10"/>
      <c r="AM42" s="96" t="e">
        <f t="shared" si="38"/>
        <v>#DIV/0!</v>
      </c>
      <c r="AN42" s="10">
        <f t="shared" si="39"/>
        <v>41668</v>
      </c>
      <c r="AO42" s="10">
        <f t="shared" si="40"/>
        <v>0</v>
      </c>
      <c r="AP42" s="96">
        <f t="shared" si="41"/>
        <v>-1</v>
      </c>
      <c r="AQ42" s="97"/>
      <c r="AR42" s="97">
        <v>15400</v>
      </c>
      <c r="AS42" s="96" t="e">
        <f t="shared" si="42"/>
        <v>#DIV/0!</v>
      </c>
      <c r="AT42" s="97">
        <f t="shared" si="43"/>
        <v>41668</v>
      </c>
      <c r="AU42" s="97">
        <f t="shared" si="44"/>
        <v>15400</v>
      </c>
      <c r="AV42" s="96">
        <f t="shared" si="45"/>
        <v>-0.630411826821542</v>
      </c>
      <c r="AW42" s="4"/>
      <c r="AX42" s="4">
        <v>6743</v>
      </c>
      <c r="AY42" s="96" t="e">
        <f t="shared" si="46"/>
        <v>#DIV/0!</v>
      </c>
      <c r="AZ42" s="4">
        <f t="shared" si="47"/>
        <v>41668</v>
      </c>
      <c r="BA42" s="4">
        <f t="shared" si="48"/>
        <v>22143</v>
      </c>
      <c r="BB42" s="96">
        <f t="shared" si="49"/>
        <v>-0.468585005279831</v>
      </c>
      <c r="BC42" s="4"/>
      <c r="BD42" s="101"/>
      <c r="BE42" s="4"/>
      <c r="BF42" s="4"/>
      <c r="BG42" s="4">
        <v>41668</v>
      </c>
      <c r="BH42" s="104">
        <f t="shared" si="50"/>
        <v>0.22143</v>
      </c>
    </row>
    <row r="43" s="3" customFormat="1" spans="1:60">
      <c r="A43" s="76" t="s">
        <v>409</v>
      </c>
      <c r="B43" s="77" t="s">
        <v>409</v>
      </c>
      <c r="C43" s="84" t="s">
        <v>470</v>
      </c>
      <c r="D43" s="12" t="s">
        <v>60</v>
      </c>
      <c r="E43" s="12" t="s">
        <v>60</v>
      </c>
      <c r="F43" s="12" t="s">
        <v>415</v>
      </c>
      <c r="G43" s="77" t="s">
        <v>415</v>
      </c>
      <c r="H43" s="77" t="s">
        <v>416</v>
      </c>
      <c r="I43" s="77"/>
      <c r="J43" s="4"/>
      <c r="K43" s="4"/>
      <c r="L43" s="96" t="e">
        <f t="shared" si="0"/>
        <v>#DIV/0!</v>
      </c>
      <c r="M43" s="4"/>
      <c r="N43" s="4"/>
      <c r="O43" s="96" t="e">
        <f t="shared" si="1"/>
        <v>#DIV/0!</v>
      </c>
      <c r="P43" s="4">
        <f t="shared" si="2"/>
        <v>0</v>
      </c>
      <c r="Q43" s="4">
        <f t="shared" si="3"/>
        <v>0</v>
      </c>
      <c r="R43" s="96" t="e">
        <f t="shared" si="4"/>
        <v>#DIV/0!</v>
      </c>
      <c r="S43" s="97"/>
      <c r="T43" s="97"/>
      <c r="U43" s="96" t="e">
        <f t="shared" si="5"/>
        <v>#DIV/0!</v>
      </c>
      <c r="V43" s="98">
        <f t="shared" si="6"/>
        <v>0</v>
      </c>
      <c r="W43" s="98">
        <f t="shared" si="7"/>
        <v>0</v>
      </c>
      <c r="X43" s="96" t="e">
        <f t="shared" si="8"/>
        <v>#DIV/0!</v>
      </c>
      <c r="Y43" s="4"/>
      <c r="Z43" s="4"/>
      <c r="AA43" s="96" t="e">
        <f t="shared" si="30"/>
        <v>#DIV/0!</v>
      </c>
      <c r="AB43" s="4">
        <f t="shared" si="31"/>
        <v>0</v>
      </c>
      <c r="AC43" s="4">
        <f t="shared" si="32"/>
        <v>0</v>
      </c>
      <c r="AD43" s="96" t="e">
        <f t="shared" si="33"/>
        <v>#DIV/0!</v>
      </c>
      <c r="AE43" s="4"/>
      <c r="AF43" s="4"/>
      <c r="AG43" s="96" t="e">
        <f t="shared" si="34"/>
        <v>#DIV/0!</v>
      </c>
      <c r="AH43" s="4">
        <f t="shared" si="35"/>
        <v>0</v>
      </c>
      <c r="AI43" s="4">
        <f t="shared" si="36"/>
        <v>0</v>
      </c>
      <c r="AJ43" s="96" t="e">
        <f t="shared" si="37"/>
        <v>#DIV/0!</v>
      </c>
      <c r="AK43" s="10"/>
      <c r="AL43" s="10"/>
      <c r="AM43" s="96" t="e">
        <f t="shared" si="38"/>
        <v>#DIV/0!</v>
      </c>
      <c r="AN43" s="10">
        <f t="shared" si="39"/>
        <v>0</v>
      </c>
      <c r="AO43" s="10">
        <f t="shared" si="40"/>
        <v>0</v>
      </c>
      <c r="AP43" s="96" t="e">
        <f t="shared" si="41"/>
        <v>#DIV/0!</v>
      </c>
      <c r="AQ43" s="97"/>
      <c r="AR43" s="97"/>
      <c r="AS43" s="96" t="e">
        <f t="shared" si="42"/>
        <v>#DIV/0!</v>
      </c>
      <c r="AT43" s="97">
        <f t="shared" si="43"/>
        <v>0</v>
      </c>
      <c r="AU43" s="97">
        <f t="shared" si="44"/>
        <v>0</v>
      </c>
      <c r="AV43" s="96" t="e">
        <f t="shared" si="45"/>
        <v>#DIV/0!</v>
      </c>
      <c r="AW43" s="4"/>
      <c r="AX43" s="4"/>
      <c r="AY43" s="96" t="e">
        <f t="shared" si="46"/>
        <v>#DIV/0!</v>
      </c>
      <c r="AZ43" s="4">
        <f t="shared" si="47"/>
        <v>0</v>
      </c>
      <c r="BA43" s="4">
        <f t="shared" si="48"/>
        <v>0</v>
      </c>
      <c r="BB43" s="96" t="e">
        <f t="shared" si="49"/>
        <v>#DIV/0!</v>
      </c>
      <c r="BC43" s="4"/>
      <c r="BD43" s="101"/>
      <c r="BE43" s="4"/>
      <c r="BF43" s="4"/>
      <c r="BG43" s="4">
        <v>0</v>
      </c>
      <c r="BH43" s="104" t="e">
        <f t="shared" si="50"/>
        <v>#DIV/0!</v>
      </c>
    </row>
    <row r="44" s="3" customFormat="1" spans="1:60">
      <c r="A44" s="76" t="s">
        <v>409</v>
      </c>
      <c r="B44" s="77" t="s">
        <v>409</v>
      </c>
      <c r="C44" s="84" t="s">
        <v>471</v>
      </c>
      <c r="D44" s="12" t="s">
        <v>60</v>
      </c>
      <c r="E44" s="12" t="s">
        <v>60</v>
      </c>
      <c r="F44" s="12" t="s">
        <v>438</v>
      </c>
      <c r="G44" s="77" t="s">
        <v>438</v>
      </c>
      <c r="H44" s="77" t="s">
        <v>430</v>
      </c>
      <c r="I44" s="77"/>
      <c r="J44" s="4"/>
      <c r="K44" s="4"/>
      <c r="L44" s="96" t="e">
        <f t="shared" si="0"/>
        <v>#DIV/0!</v>
      </c>
      <c r="M44" s="4"/>
      <c r="N44" s="4"/>
      <c r="O44" s="96" t="e">
        <f t="shared" si="1"/>
        <v>#DIV/0!</v>
      </c>
      <c r="P44" s="4">
        <f t="shared" si="2"/>
        <v>0</v>
      </c>
      <c r="Q44" s="4">
        <f t="shared" si="3"/>
        <v>0</v>
      </c>
      <c r="R44" s="96" t="e">
        <f t="shared" si="4"/>
        <v>#DIV/0!</v>
      </c>
      <c r="S44" s="97"/>
      <c r="T44" s="97"/>
      <c r="U44" s="96" t="e">
        <f t="shared" si="5"/>
        <v>#DIV/0!</v>
      </c>
      <c r="V44" s="98">
        <f t="shared" si="6"/>
        <v>0</v>
      </c>
      <c r="W44" s="98">
        <f t="shared" si="7"/>
        <v>0</v>
      </c>
      <c r="X44" s="96" t="e">
        <f t="shared" si="8"/>
        <v>#DIV/0!</v>
      </c>
      <c r="Y44" s="4"/>
      <c r="Z44" s="4"/>
      <c r="AA44" s="96" t="e">
        <f t="shared" si="30"/>
        <v>#DIV/0!</v>
      </c>
      <c r="AB44" s="4">
        <f t="shared" si="31"/>
        <v>0</v>
      </c>
      <c r="AC44" s="4">
        <f t="shared" si="32"/>
        <v>0</v>
      </c>
      <c r="AD44" s="96" t="e">
        <f t="shared" si="33"/>
        <v>#DIV/0!</v>
      </c>
      <c r="AE44" s="4"/>
      <c r="AF44" s="4"/>
      <c r="AG44" s="96" t="e">
        <f t="shared" si="34"/>
        <v>#DIV/0!</v>
      </c>
      <c r="AH44" s="4">
        <f t="shared" si="35"/>
        <v>0</v>
      </c>
      <c r="AI44" s="4">
        <f t="shared" si="36"/>
        <v>0</v>
      </c>
      <c r="AJ44" s="96" t="e">
        <f t="shared" si="37"/>
        <v>#DIV/0!</v>
      </c>
      <c r="AK44" s="10"/>
      <c r="AL44" s="10"/>
      <c r="AM44" s="96" t="e">
        <f t="shared" si="38"/>
        <v>#DIV/0!</v>
      </c>
      <c r="AN44" s="10">
        <f t="shared" si="39"/>
        <v>0</v>
      </c>
      <c r="AO44" s="10">
        <f t="shared" si="40"/>
        <v>0</v>
      </c>
      <c r="AP44" s="96" t="e">
        <f t="shared" si="41"/>
        <v>#DIV/0!</v>
      </c>
      <c r="AQ44" s="97"/>
      <c r="AR44" s="97"/>
      <c r="AS44" s="96" t="e">
        <f t="shared" si="42"/>
        <v>#DIV/0!</v>
      </c>
      <c r="AT44" s="97">
        <f t="shared" si="43"/>
        <v>0</v>
      </c>
      <c r="AU44" s="97">
        <f t="shared" si="44"/>
        <v>0</v>
      </c>
      <c r="AV44" s="96" t="e">
        <f t="shared" si="45"/>
        <v>#DIV/0!</v>
      </c>
      <c r="AW44" s="4"/>
      <c r="AX44" s="4"/>
      <c r="AY44" s="96" t="e">
        <f t="shared" si="46"/>
        <v>#DIV/0!</v>
      </c>
      <c r="AZ44" s="4">
        <f t="shared" si="47"/>
        <v>0</v>
      </c>
      <c r="BA44" s="4">
        <f t="shared" si="48"/>
        <v>0</v>
      </c>
      <c r="BB44" s="96" t="e">
        <f t="shared" si="49"/>
        <v>#DIV/0!</v>
      </c>
      <c r="BC44" s="4"/>
      <c r="BD44" s="101"/>
      <c r="BE44" s="4"/>
      <c r="BF44" s="4"/>
      <c r="BG44" s="4">
        <v>0</v>
      </c>
      <c r="BH44" s="104" t="e">
        <f t="shared" si="50"/>
        <v>#DIV/0!</v>
      </c>
    </row>
    <row r="45" s="3" customFormat="1" spans="1:60">
      <c r="A45" s="76" t="s">
        <v>409</v>
      </c>
      <c r="B45" s="77" t="s">
        <v>448</v>
      </c>
      <c r="C45" s="84" t="s">
        <v>472</v>
      </c>
      <c r="D45" s="12" t="s">
        <v>101</v>
      </c>
      <c r="E45" s="12" t="s">
        <v>101</v>
      </c>
      <c r="F45" s="12" t="s">
        <v>473</v>
      </c>
      <c r="G45" s="77" t="s">
        <v>473</v>
      </c>
      <c r="H45" s="77" t="s">
        <v>452</v>
      </c>
      <c r="I45" s="77"/>
      <c r="J45" s="4">
        <v>8000</v>
      </c>
      <c r="K45" s="4"/>
      <c r="L45" s="96">
        <f t="shared" si="0"/>
        <v>-1</v>
      </c>
      <c r="M45" s="4"/>
      <c r="N45" s="4"/>
      <c r="O45" s="96" t="e">
        <f t="shared" si="1"/>
        <v>#DIV/0!</v>
      </c>
      <c r="P45" s="4">
        <f t="shared" si="2"/>
        <v>8000</v>
      </c>
      <c r="Q45" s="4">
        <f t="shared" si="3"/>
        <v>0</v>
      </c>
      <c r="R45" s="96">
        <f t="shared" si="4"/>
        <v>-1</v>
      </c>
      <c r="S45" s="97">
        <v>21660</v>
      </c>
      <c r="T45" s="97"/>
      <c r="U45" s="96">
        <f t="shared" si="5"/>
        <v>-1</v>
      </c>
      <c r="V45" s="98">
        <f t="shared" si="6"/>
        <v>29660</v>
      </c>
      <c r="W45" s="98">
        <f t="shared" si="7"/>
        <v>0</v>
      </c>
      <c r="X45" s="96">
        <f t="shared" si="8"/>
        <v>-1</v>
      </c>
      <c r="Y45" s="4"/>
      <c r="Z45" s="4"/>
      <c r="AA45" s="96" t="e">
        <f t="shared" si="30"/>
        <v>#DIV/0!</v>
      </c>
      <c r="AB45" s="4">
        <f t="shared" si="31"/>
        <v>29660</v>
      </c>
      <c r="AC45" s="4">
        <f t="shared" si="32"/>
        <v>0</v>
      </c>
      <c r="AD45" s="96">
        <f t="shared" si="33"/>
        <v>-1</v>
      </c>
      <c r="AE45" s="4"/>
      <c r="AF45" s="4"/>
      <c r="AG45" s="96" t="e">
        <f t="shared" si="34"/>
        <v>#DIV/0!</v>
      </c>
      <c r="AH45" s="4">
        <f t="shared" si="35"/>
        <v>29660</v>
      </c>
      <c r="AI45" s="4">
        <f t="shared" si="36"/>
        <v>0</v>
      </c>
      <c r="AJ45" s="96">
        <f t="shared" si="37"/>
        <v>-1</v>
      </c>
      <c r="AK45" s="10"/>
      <c r="AL45" s="10"/>
      <c r="AM45" s="96" t="e">
        <f t="shared" si="38"/>
        <v>#DIV/0!</v>
      </c>
      <c r="AN45" s="10">
        <f t="shared" si="39"/>
        <v>29660</v>
      </c>
      <c r="AO45" s="10">
        <f t="shared" si="40"/>
        <v>0</v>
      </c>
      <c r="AP45" s="96">
        <f t="shared" si="41"/>
        <v>-1</v>
      </c>
      <c r="AQ45" s="97"/>
      <c r="AR45" s="97"/>
      <c r="AS45" s="96" t="e">
        <f t="shared" si="42"/>
        <v>#DIV/0!</v>
      </c>
      <c r="AT45" s="97">
        <f t="shared" si="43"/>
        <v>29660</v>
      </c>
      <c r="AU45" s="97">
        <f t="shared" si="44"/>
        <v>0</v>
      </c>
      <c r="AV45" s="96">
        <f t="shared" si="45"/>
        <v>-1</v>
      </c>
      <c r="AW45" s="4"/>
      <c r="AX45" s="4"/>
      <c r="AY45" s="96" t="e">
        <f t="shared" si="46"/>
        <v>#DIV/0!</v>
      </c>
      <c r="AZ45" s="4">
        <f t="shared" si="47"/>
        <v>29660</v>
      </c>
      <c r="BA45" s="4">
        <f t="shared" si="48"/>
        <v>0</v>
      </c>
      <c r="BB45" s="96">
        <f t="shared" si="49"/>
        <v>-1</v>
      </c>
      <c r="BC45" s="4"/>
      <c r="BD45" s="101"/>
      <c r="BE45" s="4"/>
      <c r="BF45" s="4"/>
      <c r="BG45" s="4">
        <v>29660</v>
      </c>
      <c r="BH45" s="104" t="e">
        <f t="shared" si="50"/>
        <v>#DIV/0!</v>
      </c>
    </row>
    <row r="46" s="3" customFormat="1" spans="1:60">
      <c r="A46" s="76" t="s">
        <v>409</v>
      </c>
      <c r="B46" s="77" t="s">
        <v>409</v>
      </c>
      <c r="C46" s="84" t="s">
        <v>474</v>
      </c>
      <c r="D46" s="12" t="s">
        <v>60</v>
      </c>
      <c r="E46" s="12" t="s">
        <v>60</v>
      </c>
      <c r="F46" s="12" t="s">
        <v>415</v>
      </c>
      <c r="G46" s="77" t="s">
        <v>415</v>
      </c>
      <c r="H46" s="77" t="s">
        <v>416</v>
      </c>
      <c r="I46" s="77"/>
      <c r="J46" s="4"/>
      <c r="K46" s="4"/>
      <c r="L46" s="96" t="e">
        <f t="shared" si="0"/>
        <v>#DIV/0!</v>
      </c>
      <c r="M46" s="4"/>
      <c r="N46" s="4"/>
      <c r="O46" s="96" t="e">
        <f t="shared" si="1"/>
        <v>#DIV/0!</v>
      </c>
      <c r="P46" s="4">
        <f t="shared" si="2"/>
        <v>0</v>
      </c>
      <c r="Q46" s="4">
        <f t="shared" si="3"/>
        <v>0</v>
      </c>
      <c r="R46" s="96" t="e">
        <f t="shared" si="4"/>
        <v>#DIV/0!</v>
      </c>
      <c r="S46" s="97">
        <v>1580</v>
      </c>
      <c r="T46" s="97"/>
      <c r="U46" s="96">
        <f t="shared" si="5"/>
        <v>-1</v>
      </c>
      <c r="V46" s="98">
        <f t="shared" si="6"/>
        <v>1580</v>
      </c>
      <c r="W46" s="98">
        <f t="shared" si="7"/>
        <v>0</v>
      </c>
      <c r="X46" s="96">
        <f t="shared" si="8"/>
        <v>-1</v>
      </c>
      <c r="Y46" s="4"/>
      <c r="Z46" s="4"/>
      <c r="AA46" s="96" t="e">
        <f t="shared" si="30"/>
        <v>#DIV/0!</v>
      </c>
      <c r="AB46" s="4">
        <f t="shared" si="31"/>
        <v>1580</v>
      </c>
      <c r="AC46" s="4">
        <f t="shared" si="32"/>
        <v>0</v>
      </c>
      <c r="AD46" s="96">
        <f t="shared" si="33"/>
        <v>-1</v>
      </c>
      <c r="AE46" s="4"/>
      <c r="AF46" s="4"/>
      <c r="AG46" s="96" t="e">
        <f t="shared" si="34"/>
        <v>#DIV/0!</v>
      </c>
      <c r="AH46" s="4">
        <f t="shared" si="35"/>
        <v>1580</v>
      </c>
      <c r="AI46" s="4">
        <f t="shared" si="36"/>
        <v>0</v>
      </c>
      <c r="AJ46" s="96">
        <f t="shared" si="37"/>
        <v>-1</v>
      </c>
      <c r="AK46" s="10"/>
      <c r="AL46" s="10"/>
      <c r="AM46" s="96" t="e">
        <f t="shared" si="38"/>
        <v>#DIV/0!</v>
      </c>
      <c r="AN46" s="10">
        <f t="shared" si="39"/>
        <v>1580</v>
      </c>
      <c r="AO46" s="10">
        <f t="shared" si="40"/>
        <v>0</v>
      </c>
      <c r="AP46" s="96">
        <f t="shared" si="41"/>
        <v>-1</v>
      </c>
      <c r="AQ46" s="97"/>
      <c r="AR46" s="97"/>
      <c r="AS46" s="96" t="e">
        <f t="shared" si="42"/>
        <v>#DIV/0!</v>
      </c>
      <c r="AT46" s="97">
        <f t="shared" si="43"/>
        <v>1580</v>
      </c>
      <c r="AU46" s="97">
        <f t="shared" si="44"/>
        <v>0</v>
      </c>
      <c r="AV46" s="96">
        <f t="shared" si="45"/>
        <v>-1</v>
      </c>
      <c r="AW46" s="4"/>
      <c r="AX46" s="4"/>
      <c r="AY46" s="96" t="e">
        <f t="shared" si="46"/>
        <v>#DIV/0!</v>
      </c>
      <c r="AZ46" s="4">
        <f t="shared" si="47"/>
        <v>1580</v>
      </c>
      <c r="BA46" s="4">
        <f t="shared" si="48"/>
        <v>0</v>
      </c>
      <c r="BB46" s="96">
        <f t="shared" si="49"/>
        <v>-1</v>
      </c>
      <c r="BC46" s="4"/>
      <c r="BD46" s="101"/>
      <c r="BE46" s="4"/>
      <c r="BF46" s="4"/>
      <c r="BG46" s="4">
        <v>1580</v>
      </c>
      <c r="BH46" s="104" t="e">
        <f t="shared" si="50"/>
        <v>#DIV/0!</v>
      </c>
    </row>
    <row r="47" s="3" customFormat="1" spans="1:60">
      <c r="A47" s="76" t="s">
        <v>409</v>
      </c>
      <c r="B47" s="77" t="s">
        <v>448</v>
      </c>
      <c r="C47" s="84" t="s">
        <v>475</v>
      </c>
      <c r="D47" s="12" t="s">
        <v>60</v>
      </c>
      <c r="E47" s="12" t="s">
        <v>60</v>
      </c>
      <c r="F47" s="12" t="s">
        <v>476</v>
      </c>
      <c r="G47" s="77" t="s">
        <v>476</v>
      </c>
      <c r="H47" s="77" t="s">
        <v>452</v>
      </c>
      <c r="I47" s="77"/>
      <c r="J47" s="4">
        <v>40000</v>
      </c>
      <c r="K47" s="4">
        <v>75850</v>
      </c>
      <c r="L47" s="96">
        <f t="shared" si="0"/>
        <v>0.89625</v>
      </c>
      <c r="M47" s="4"/>
      <c r="N47" s="4"/>
      <c r="O47" s="96" t="e">
        <f t="shared" si="1"/>
        <v>#DIV/0!</v>
      </c>
      <c r="P47" s="4">
        <f t="shared" si="2"/>
        <v>40000</v>
      </c>
      <c r="Q47" s="4">
        <f t="shared" si="3"/>
        <v>75850</v>
      </c>
      <c r="R47" s="96">
        <f t="shared" si="4"/>
        <v>0.89625</v>
      </c>
      <c r="S47" s="97"/>
      <c r="T47" s="97"/>
      <c r="U47" s="96" t="e">
        <f t="shared" si="5"/>
        <v>#DIV/0!</v>
      </c>
      <c r="V47" s="98">
        <f t="shared" si="6"/>
        <v>40000</v>
      </c>
      <c r="W47" s="98">
        <f t="shared" si="7"/>
        <v>75850</v>
      </c>
      <c r="X47" s="96">
        <f t="shared" si="8"/>
        <v>0.89625</v>
      </c>
      <c r="Y47" s="4"/>
      <c r="Z47" s="4">
        <v>36500</v>
      </c>
      <c r="AA47" s="96" t="e">
        <f t="shared" si="30"/>
        <v>#DIV/0!</v>
      </c>
      <c r="AB47" s="4">
        <f t="shared" si="31"/>
        <v>40000</v>
      </c>
      <c r="AC47" s="4">
        <f t="shared" si="32"/>
        <v>112350</v>
      </c>
      <c r="AD47" s="96">
        <f t="shared" si="33"/>
        <v>1.80875</v>
      </c>
      <c r="AE47" s="4"/>
      <c r="AF47" s="4">
        <v>73000</v>
      </c>
      <c r="AG47" s="96" t="e">
        <f t="shared" si="34"/>
        <v>#DIV/0!</v>
      </c>
      <c r="AH47" s="4">
        <f t="shared" si="35"/>
        <v>40000</v>
      </c>
      <c r="AI47" s="4">
        <f t="shared" si="36"/>
        <v>185350</v>
      </c>
      <c r="AJ47" s="96">
        <f t="shared" si="37"/>
        <v>3.63375</v>
      </c>
      <c r="AK47" s="10"/>
      <c r="AL47" s="10">
        <v>36500</v>
      </c>
      <c r="AM47" s="96" t="e">
        <f t="shared" si="38"/>
        <v>#DIV/0!</v>
      </c>
      <c r="AN47" s="10">
        <f t="shared" si="39"/>
        <v>40000</v>
      </c>
      <c r="AO47" s="10">
        <f t="shared" si="40"/>
        <v>221850</v>
      </c>
      <c r="AP47" s="96">
        <f t="shared" si="41"/>
        <v>4.54625</v>
      </c>
      <c r="AQ47" s="97"/>
      <c r="AR47" s="97">
        <v>219000</v>
      </c>
      <c r="AS47" s="96" t="e">
        <f t="shared" si="42"/>
        <v>#DIV/0!</v>
      </c>
      <c r="AT47" s="97">
        <f t="shared" si="43"/>
        <v>40000</v>
      </c>
      <c r="AU47" s="97">
        <f t="shared" si="44"/>
        <v>440850</v>
      </c>
      <c r="AV47" s="96">
        <f t="shared" si="45"/>
        <v>10.02125</v>
      </c>
      <c r="AW47" s="4"/>
      <c r="AX47" s="4"/>
      <c r="AY47" s="96" t="e">
        <f t="shared" si="46"/>
        <v>#DIV/0!</v>
      </c>
      <c r="AZ47" s="4">
        <f t="shared" si="47"/>
        <v>40000</v>
      </c>
      <c r="BA47" s="4">
        <f t="shared" si="48"/>
        <v>440850</v>
      </c>
      <c r="BB47" s="96">
        <f t="shared" si="49"/>
        <v>10.02125</v>
      </c>
      <c r="BC47" s="4">
        <v>54750</v>
      </c>
      <c r="BD47" s="101">
        <v>54750</v>
      </c>
      <c r="BE47" s="4">
        <v>79350</v>
      </c>
      <c r="BF47" s="4">
        <v>73000</v>
      </c>
      <c r="BG47" s="4">
        <v>301850</v>
      </c>
      <c r="BH47" s="104" t="e">
        <f t="shared" si="50"/>
        <v>#DIV/0!</v>
      </c>
    </row>
    <row r="48" s="3" customFormat="1" spans="1:60">
      <c r="A48" s="76" t="s">
        <v>409</v>
      </c>
      <c r="B48" s="77" t="s">
        <v>409</v>
      </c>
      <c r="C48" s="84" t="s">
        <v>477</v>
      </c>
      <c r="D48" s="12" t="s">
        <v>60</v>
      </c>
      <c r="E48" s="12" t="s">
        <v>60</v>
      </c>
      <c r="F48" s="12" t="s">
        <v>415</v>
      </c>
      <c r="G48" s="77" t="s">
        <v>415</v>
      </c>
      <c r="H48" s="77" t="s">
        <v>416</v>
      </c>
      <c r="I48" s="77"/>
      <c r="J48" s="4"/>
      <c r="K48" s="4"/>
      <c r="L48" s="96" t="e">
        <f t="shared" si="0"/>
        <v>#DIV/0!</v>
      </c>
      <c r="M48" s="4"/>
      <c r="N48" s="4"/>
      <c r="O48" s="96" t="e">
        <f t="shared" si="1"/>
        <v>#DIV/0!</v>
      </c>
      <c r="P48" s="4">
        <f t="shared" si="2"/>
        <v>0</v>
      </c>
      <c r="Q48" s="4">
        <f t="shared" si="3"/>
        <v>0</v>
      </c>
      <c r="R48" s="96" t="e">
        <f t="shared" si="4"/>
        <v>#DIV/0!</v>
      </c>
      <c r="S48" s="97"/>
      <c r="T48" s="97"/>
      <c r="U48" s="96" t="e">
        <f t="shared" si="5"/>
        <v>#DIV/0!</v>
      </c>
      <c r="V48" s="98">
        <f t="shared" si="6"/>
        <v>0</v>
      </c>
      <c r="W48" s="98">
        <f t="shared" si="7"/>
        <v>0</v>
      </c>
      <c r="X48" s="96" t="e">
        <f t="shared" si="8"/>
        <v>#DIV/0!</v>
      </c>
      <c r="Y48" s="4"/>
      <c r="Z48" s="4"/>
      <c r="AA48" s="96" t="e">
        <f t="shared" si="30"/>
        <v>#DIV/0!</v>
      </c>
      <c r="AB48" s="4">
        <f t="shared" si="31"/>
        <v>0</v>
      </c>
      <c r="AC48" s="4">
        <f t="shared" si="32"/>
        <v>0</v>
      </c>
      <c r="AD48" s="96" t="e">
        <f t="shared" si="33"/>
        <v>#DIV/0!</v>
      </c>
      <c r="AE48" s="4"/>
      <c r="AF48" s="4"/>
      <c r="AG48" s="96" t="e">
        <f t="shared" si="34"/>
        <v>#DIV/0!</v>
      </c>
      <c r="AH48" s="4">
        <f t="shared" si="35"/>
        <v>0</v>
      </c>
      <c r="AI48" s="4">
        <f t="shared" si="36"/>
        <v>0</v>
      </c>
      <c r="AJ48" s="96" t="e">
        <f t="shared" si="37"/>
        <v>#DIV/0!</v>
      </c>
      <c r="AK48" s="10"/>
      <c r="AL48" s="10"/>
      <c r="AM48" s="96" t="e">
        <f t="shared" si="38"/>
        <v>#DIV/0!</v>
      </c>
      <c r="AN48" s="10">
        <f t="shared" si="39"/>
        <v>0</v>
      </c>
      <c r="AO48" s="10">
        <f t="shared" si="40"/>
        <v>0</v>
      </c>
      <c r="AP48" s="96" t="e">
        <f t="shared" si="41"/>
        <v>#DIV/0!</v>
      </c>
      <c r="AQ48" s="97"/>
      <c r="AR48" s="97"/>
      <c r="AS48" s="96" t="e">
        <f t="shared" si="42"/>
        <v>#DIV/0!</v>
      </c>
      <c r="AT48" s="97">
        <f t="shared" si="43"/>
        <v>0</v>
      </c>
      <c r="AU48" s="97">
        <f t="shared" si="44"/>
        <v>0</v>
      </c>
      <c r="AV48" s="96" t="e">
        <f t="shared" si="45"/>
        <v>#DIV/0!</v>
      </c>
      <c r="AW48" s="4"/>
      <c r="AX48" s="4"/>
      <c r="AY48" s="96" t="e">
        <f t="shared" si="46"/>
        <v>#DIV/0!</v>
      </c>
      <c r="AZ48" s="4">
        <f t="shared" si="47"/>
        <v>0</v>
      </c>
      <c r="BA48" s="4">
        <f t="shared" si="48"/>
        <v>0</v>
      </c>
      <c r="BB48" s="96" t="e">
        <f t="shared" si="49"/>
        <v>#DIV/0!</v>
      </c>
      <c r="BC48" s="4"/>
      <c r="BD48" s="101"/>
      <c r="BE48" s="4"/>
      <c r="BF48" s="4"/>
      <c r="BG48" s="4">
        <v>0</v>
      </c>
      <c r="BH48" s="104" t="e">
        <f t="shared" si="50"/>
        <v>#DIV/0!</v>
      </c>
    </row>
    <row r="49" s="3" customFormat="1" customHeight="1" spans="1:60">
      <c r="A49" s="76" t="s">
        <v>409</v>
      </c>
      <c r="B49" s="77" t="s">
        <v>409</v>
      </c>
      <c r="C49" s="84" t="s">
        <v>478</v>
      </c>
      <c r="D49" s="12" t="s">
        <v>60</v>
      </c>
      <c r="E49" s="12" t="s">
        <v>60</v>
      </c>
      <c r="F49" s="12" t="s">
        <v>423</v>
      </c>
      <c r="G49" s="77" t="s">
        <v>432</v>
      </c>
      <c r="H49" s="77" t="s">
        <v>412</v>
      </c>
      <c r="I49" s="77"/>
      <c r="J49" s="4"/>
      <c r="K49" s="4"/>
      <c r="L49" s="96" t="e">
        <f t="shared" si="0"/>
        <v>#DIV/0!</v>
      </c>
      <c r="M49" s="4"/>
      <c r="N49" s="4"/>
      <c r="O49" s="96" t="e">
        <f t="shared" si="1"/>
        <v>#DIV/0!</v>
      </c>
      <c r="P49" s="4">
        <f t="shared" si="2"/>
        <v>0</v>
      </c>
      <c r="Q49" s="4">
        <f t="shared" si="3"/>
        <v>0</v>
      </c>
      <c r="R49" s="96" t="e">
        <f t="shared" si="4"/>
        <v>#DIV/0!</v>
      </c>
      <c r="S49" s="97"/>
      <c r="T49" s="97"/>
      <c r="U49" s="96" t="e">
        <f t="shared" si="5"/>
        <v>#DIV/0!</v>
      </c>
      <c r="V49" s="98">
        <f t="shared" si="6"/>
        <v>0</v>
      </c>
      <c r="W49" s="98">
        <f t="shared" si="7"/>
        <v>0</v>
      </c>
      <c r="X49" s="96" t="e">
        <f t="shared" si="8"/>
        <v>#DIV/0!</v>
      </c>
      <c r="Y49" s="4"/>
      <c r="Z49" s="4"/>
      <c r="AA49" s="96" t="e">
        <f t="shared" si="30"/>
        <v>#DIV/0!</v>
      </c>
      <c r="AB49" s="4">
        <f t="shared" si="31"/>
        <v>0</v>
      </c>
      <c r="AC49" s="4">
        <f t="shared" si="32"/>
        <v>0</v>
      </c>
      <c r="AD49" s="96" t="e">
        <f t="shared" si="33"/>
        <v>#DIV/0!</v>
      </c>
      <c r="AE49" s="4"/>
      <c r="AF49" s="4"/>
      <c r="AG49" s="96" t="e">
        <f t="shared" si="34"/>
        <v>#DIV/0!</v>
      </c>
      <c r="AH49" s="4">
        <f t="shared" si="35"/>
        <v>0</v>
      </c>
      <c r="AI49" s="4">
        <f t="shared" si="36"/>
        <v>0</v>
      </c>
      <c r="AJ49" s="96" t="e">
        <f t="shared" si="37"/>
        <v>#DIV/0!</v>
      </c>
      <c r="AK49" s="10"/>
      <c r="AL49" s="10"/>
      <c r="AM49" s="96" t="e">
        <f t="shared" si="38"/>
        <v>#DIV/0!</v>
      </c>
      <c r="AN49" s="10">
        <f t="shared" si="39"/>
        <v>0</v>
      </c>
      <c r="AO49" s="10">
        <f t="shared" si="40"/>
        <v>0</v>
      </c>
      <c r="AP49" s="96" t="e">
        <f t="shared" si="41"/>
        <v>#DIV/0!</v>
      </c>
      <c r="AQ49" s="97"/>
      <c r="AR49" s="97"/>
      <c r="AS49" s="96" t="e">
        <f t="shared" si="42"/>
        <v>#DIV/0!</v>
      </c>
      <c r="AT49" s="97">
        <f t="shared" si="43"/>
        <v>0</v>
      </c>
      <c r="AU49" s="97">
        <f t="shared" si="44"/>
        <v>0</v>
      </c>
      <c r="AV49" s="96" t="e">
        <f t="shared" si="45"/>
        <v>#DIV/0!</v>
      </c>
      <c r="AW49" s="4"/>
      <c r="AX49" s="4"/>
      <c r="AY49" s="96" t="e">
        <f t="shared" si="46"/>
        <v>#DIV/0!</v>
      </c>
      <c r="AZ49" s="4">
        <f t="shared" si="47"/>
        <v>0</v>
      </c>
      <c r="BA49" s="4">
        <f t="shared" si="48"/>
        <v>0</v>
      </c>
      <c r="BB49" s="96" t="e">
        <f t="shared" si="49"/>
        <v>#DIV/0!</v>
      </c>
      <c r="BC49" s="4"/>
      <c r="BD49" s="101"/>
      <c r="BE49" s="4"/>
      <c r="BF49" s="4"/>
      <c r="BG49" s="4">
        <v>0</v>
      </c>
      <c r="BH49" s="104" t="e">
        <f t="shared" si="50"/>
        <v>#DIV/0!</v>
      </c>
    </row>
    <row r="50" s="3" customFormat="1" customHeight="1" spans="1:60">
      <c r="A50" s="76" t="s">
        <v>409</v>
      </c>
      <c r="B50" s="77" t="s">
        <v>409</v>
      </c>
      <c r="C50" s="84" t="s">
        <v>479</v>
      </c>
      <c r="D50" s="12" t="s">
        <v>60</v>
      </c>
      <c r="E50" s="12" t="s">
        <v>60</v>
      </c>
      <c r="F50" s="12" t="s">
        <v>415</v>
      </c>
      <c r="G50" s="77" t="s">
        <v>415</v>
      </c>
      <c r="H50" s="77" t="s">
        <v>416</v>
      </c>
      <c r="I50" s="77">
        <v>60</v>
      </c>
      <c r="J50" s="4">
        <v>86284</v>
      </c>
      <c r="K50" s="4">
        <v>20594</v>
      </c>
      <c r="L50" s="96">
        <f t="shared" si="0"/>
        <v>-0.761323072643827</v>
      </c>
      <c r="M50" s="4">
        <v>8940</v>
      </c>
      <c r="N50" s="4">
        <v>13850</v>
      </c>
      <c r="O50" s="96">
        <f t="shared" si="1"/>
        <v>0.549217002237137</v>
      </c>
      <c r="P50" s="4">
        <f t="shared" si="2"/>
        <v>95224</v>
      </c>
      <c r="Q50" s="4">
        <f t="shared" si="3"/>
        <v>34444</v>
      </c>
      <c r="R50" s="96">
        <f t="shared" si="4"/>
        <v>-0.638284466100983</v>
      </c>
      <c r="S50" s="97">
        <v>16110</v>
      </c>
      <c r="T50" s="97">
        <v>11560</v>
      </c>
      <c r="U50" s="96">
        <f t="shared" si="5"/>
        <v>-0.282433271260087</v>
      </c>
      <c r="V50" s="98">
        <f t="shared" si="6"/>
        <v>111334</v>
      </c>
      <c r="W50" s="98">
        <f t="shared" si="7"/>
        <v>46004</v>
      </c>
      <c r="X50" s="96">
        <f t="shared" si="8"/>
        <v>-0.586792893455728</v>
      </c>
      <c r="Y50" s="4">
        <v>15196</v>
      </c>
      <c r="Z50" s="4">
        <v>19443</v>
      </c>
      <c r="AA50" s="96">
        <f t="shared" si="30"/>
        <v>0.279481442484864</v>
      </c>
      <c r="AB50" s="4">
        <f t="shared" si="31"/>
        <v>126530</v>
      </c>
      <c r="AC50" s="4">
        <f t="shared" si="32"/>
        <v>65447</v>
      </c>
      <c r="AD50" s="96">
        <f t="shared" si="33"/>
        <v>-0.482755077847151</v>
      </c>
      <c r="AE50" s="4">
        <v>4500</v>
      </c>
      <c r="AF50" s="4">
        <v>19739</v>
      </c>
      <c r="AG50" s="96">
        <f t="shared" si="34"/>
        <v>3.38644444444444</v>
      </c>
      <c r="AH50" s="4">
        <f t="shared" si="35"/>
        <v>131030</v>
      </c>
      <c r="AI50" s="4">
        <f t="shared" si="36"/>
        <v>85186</v>
      </c>
      <c r="AJ50" s="96">
        <f t="shared" si="37"/>
        <v>-0.349874074639396</v>
      </c>
      <c r="AK50" s="10"/>
      <c r="AL50" s="10">
        <v>4650</v>
      </c>
      <c r="AM50" s="96" t="e">
        <f t="shared" si="38"/>
        <v>#DIV/0!</v>
      </c>
      <c r="AN50" s="10">
        <f t="shared" si="39"/>
        <v>131030</v>
      </c>
      <c r="AO50" s="10">
        <f t="shared" si="40"/>
        <v>89836</v>
      </c>
      <c r="AP50" s="96">
        <f t="shared" si="41"/>
        <v>-0.314386018469053</v>
      </c>
      <c r="AQ50" s="97">
        <v>21812</v>
      </c>
      <c r="AR50" s="97">
        <v>19099</v>
      </c>
      <c r="AS50" s="96">
        <f t="shared" si="42"/>
        <v>-0.124381074637814</v>
      </c>
      <c r="AT50" s="97">
        <f t="shared" si="43"/>
        <v>152842</v>
      </c>
      <c r="AU50" s="97">
        <f t="shared" si="44"/>
        <v>108935</v>
      </c>
      <c r="AV50" s="96">
        <f t="shared" si="45"/>
        <v>-0.287270514649115</v>
      </c>
      <c r="AW50" s="4">
        <v>15160</v>
      </c>
      <c r="AX50" s="4">
        <v>5190</v>
      </c>
      <c r="AY50" s="96">
        <f t="shared" si="46"/>
        <v>-0.657651715039578</v>
      </c>
      <c r="AZ50" s="4">
        <f t="shared" si="47"/>
        <v>168002</v>
      </c>
      <c r="BA50" s="4">
        <f t="shared" si="48"/>
        <v>114125</v>
      </c>
      <c r="BB50" s="96">
        <f t="shared" si="49"/>
        <v>-0.320692610802252</v>
      </c>
      <c r="BC50" s="4">
        <v>50210</v>
      </c>
      <c r="BD50" s="101">
        <v>177765</v>
      </c>
      <c r="BE50" s="4">
        <v>39960</v>
      </c>
      <c r="BF50" s="4">
        <v>133158</v>
      </c>
      <c r="BG50" s="4">
        <v>569095</v>
      </c>
      <c r="BH50" s="104">
        <f t="shared" si="50"/>
        <v>0.190208333333333</v>
      </c>
    </row>
    <row r="51" s="3" customFormat="1" customHeight="1" spans="1:60">
      <c r="A51" s="76" t="s">
        <v>409</v>
      </c>
      <c r="B51" s="77" t="s">
        <v>409</v>
      </c>
      <c r="C51" s="84" t="s">
        <v>480</v>
      </c>
      <c r="D51" s="12" t="s">
        <v>60</v>
      </c>
      <c r="E51" s="12" t="s">
        <v>60</v>
      </c>
      <c r="F51" s="12" t="s">
        <v>423</v>
      </c>
      <c r="G51" s="77" t="s">
        <v>440</v>
      </c>
      <c r="H51" s="77" t="s">
        <v>412</v>
      </c>
      <c r="I51" s="77">
        <v>0</v>
      </c>
      <c r="J51" s="4">
        <v>3892</v>
      </c>
      <c r="K51" s="4"/>
      <c r="L51" s="96">
        <f t="shared" si="0"/>
        <v>-1</v>
      </c>
      <c r="M51" s="4"/>
      <c r="N51" s="4"/>
      <c r="O51" s="96" t="e">
        <f t="shared" si="1"/>
        <v>#DIV/0!</v>
      </c>
      <c r="P51" s="4">
        <f t="shared" si="2"/>
        <v>3892</v>
      </c>
      <c r="Q51" s="4">
        <f t="shared" si="3"/>
        <v>0</v>
      </c>
      <c r="R51" s="96">
        <f t="shared" si="4"/>
        <v>-1</v>
      </c>
      <c r="S51" s="97"/>
      <c r="T51" s="97"/>
      <c r="U51" s="96" t="e">
        <f t="shared" si="5"/>
        <v>#DIV/0!</v>
      </c>
      <c r="V51" s="98">
        <f t="shared" si="6"/>
        <v>3892</v>
      </c>
      <c r="W51" s="98">
        <f t="shared" si="7"/>
        <v>0</v>
      </c>
      <c r="X51" s="96">
        <f t="shared" si="8"/>
        <v>-1</v>
      </c>
      <c r="Y51" s="4"/>
      <c r="Z51" s="4"/>
      <c r="AA51" s="96" t="e">
        <f t="shared" si="30"/>
        <v>#DIV/0!</v>
      </c>
      <c r="AB51" s="4">
        <f t="shared" si="31"/>
        <v>3892</v>
      </c>
      <c r="AC51" s="4">
        <f t="shared" si="32"/>
        <v>0</v>
      </c>
      <c r="AD51" s="96">
        <f t="shared" si="33"/>
        <v>-1</v>
      </c>
      <c r="AE51" s="4">
        <v>2240</v>
      </c>
      <c r="AF51" s="4"/>
      <c r="AG51" s="96">
        <f t="shared" si="34"/>
        <v>-1</v>
      </c>
      <c r="AH51" s="4">
        <f t="shared" si="35"/>
        <v>6132</v>
      </c>
      <c r="AI51" s="4">
        <f t="shared" si="36"/>
        <v>0</v>
      </c>
      <c r="AJ51" s="96">
        <f t="shared" si="37"/>
        <v>-1</v>
      </c>
      <c r="AK51" s="10"/>
      <c r="AL51" s="10"/>
      <c r="AM51" s="96" t="e">
        <f t="shared" si="38"/>
        <v>#DIV/0!</v>
      </c>
      <c r="AN51" s="10">
        <f t="shared" si="39"/>
        <v>6132</v>
      </c>
      <c r="AO51" s="10">
        <f t="shared" si="40"/>
        <v>0</v>
      </c>
      <c r="AP51" s="96">
        <f t="shared" si="41"/>
        <v>-1</v>
      </c>
      <c r="AQ51" s="97"/>
      <c r="AR51" s="97"/>
      <c r="AS51" s="96" t="e">
        <f t="shared" si="42"/>
        <v>#DIV/0!</v>
      </c>
      <c r="AT51" s="97">
        <f t="shared" si="43"/>
        <v>6132</v>
      </c>
      <c r="AU51" s="97">
        <f t="shared" si="44"/>
        <v>0</v>
      </c>
      <c r="AV51" s="96">
        <f t="shared" si="45"/>
        <v>-1</v>
      </c>
      <c r="AW51" s="4"/>
      <c r="AX51" s="4"/>
      <c r="AY51" s="96" t="e">
        <f t="shared" si="46"/>
        <v>#DIV/0!</v>
      </c>
      <c r="AZ51" s="4">
        <f t="shared" si="47"/>
        <v>6132</v>
      </c>
      <c r="BA51" s="4">
        <f t="shared" si="48"/>
        <v>0</v>
      </c>
      <c r="BB51" s="96">
        <f t="shared" si="49"/>
        <v>-1</v>
      </c>
      <c r="BC51" s="4"/>
      <c r="BD51" s="101"/>
      <c r="BE51" s="4"/>
      <c r="BF51" s="4"/>
      <c r="BG51" s="4">
        <v>6132</v>
      </c>
      <c r="BH51" s="104" t="e">
        <f t="shared" si="50"/>
        <v>#DIV/0!</v>
      </c>
    </row>
    <row r="52" s="3" customFormat="1" customHeight="1" spans="1:60">
      <c r="A52" s="76" t="s">
        <v>409</v>
      </c>
      <c r="B52" s="77" t="s">
        <v>448</v>
      </c>
      <c r="C52" s="84" t="s">
        <v>481</v>
      </c>
      <c r="D52" s="4" t="s">
        <v>101</v>
      </c>
      <c r="E52" s="12" t="s">
        <v>101</v>
      </c>
      <c r="F52" s="12" t="s">
        <v>482</v>
      </c>
      <c r="G52" s="4" t="s">
        <v>482</v>
      </c>
      <c r="H52" s="77" t="s">
        <v>452</v>
      </c>
      <c r="I52" s="77">
        <v>0</v>
      </c>
      <c r="J52" s="4"/>
      <c r="K52" s="4"/>
      <c r="L52" s="96" t="e">
        <f t="shared" si="0"/>
        <v>#DIV/0!</v>
      </c>
      <c r="M52" s="4"/>
      <c r="N52" s="4"/>
      <c r="O52" s="96" t="e">
        <f t="shared" si="1"/>
        <v>#DIV/0!</v>
      </c>
      <c r="P52" s="4">
        <f t="shared" si="2"/>
        <v>0</v>
      </c>
      <c r="Q52" s="4">
        <f t="shared" si="3"/>
        <v>0</v>
      </c>
      <c r="R52" s="96" t="e">
        <f t="shared" si="4"/>
        <v>#DIV/0!</v>
      </c>
      <c r="S52" s="97"/>
      <c r="T52" s="97"/>
      <c r="U52" s="96" t="e">
        <f t="shared" si="5"/>
        <v>#DIV/0!</v>
      </c>
      <c r="V52" s="98">
        <f t="shared" si="6"/>
        <v>0</v>
      </c>
      <c r="W52" s="98">
        <f t="shared" si="7"/>
        <v>0</v>
      </c>
      <c r="X52" s="96" t="e">
        <f t="shared" si="8"/>
        <v>#DIV/0!</v>
      </c>
      <c r="Y52" s="4"/>
      <c r="Z52" s="4"/>
      <c r="AA52" s="96" t="e">
        <f t="shared" si="30"/>
        <v>#DIV/0!</v>
      </c>
      <c r="AB52" s="4">
        <f t="shared" si="31"/>
        <v>0</v>
      </c>
      <c r="AC52" s="4">
        <f t="shared" si="32"/>
        <v>0</v>
      </c>
      <c r="AD52" s="96" t="e">
        <f t="shared" si="33"/>
        <v>#DIV/0!</v>
      </c>
      <c r="AE52" s="4"/>
      <c r="AF52" s="4"/>
      <c r="AG52" s="96" t="e">
        <f t="shared" si="34"/>
        <v>#DIV/0!</v>
      </c>
      <c r="AH52" s="4">
        <f t="shared" si="35"/>
        <v>0</v>
      </c>
      <c r="AI52" s="4">
        <f t="shared" si="36"/>
        <v>0</v>
      </c>
      <c r="AJ52" s="96" t="e">
        <f t="shared" si="37"/>
        <v>#DIV/0!</v>
      </c>
      <c r="AK52" s="10"/>
      <c r="AL52" s="10"/>
      <c r="AM52" s="96" t="e">
        <f t="shared" si="38"/>
        <v>#DIV/0!</v>
      </c>
      <c r="AN52" s="10">
        <f t="shared" si="39"/>
        <v>0</v>
      </c>
      <c r="AO52" s="10">
        <f t="shared" si="40"/>
        <v>0</v>
      </c>
      <c r="AP52" s="96" t="e">
        <f t="shared" si="41"/>
        <v>#DIV/0!</v>
      </c>
      <c r="AQ52" s="97"/>
      <c r="AR52" s="97"/>
      <c r="AS52" s="96" t="e">
        <f t="shared" si="42"/>
        <v>#DIV/0!</v>
      </c>
      <c r="AT52" s="97">
        <f t="shared" si="43"/>
        <v>0</v>
      </c>
      <c r="AU52" s="97">
        <f t="shared" si="44"/>
        <v>0</v>
      </c>
      <c r="AV52" s="96" t="e">
        <f t="shared" si="45"/>
        <v>#DIV/0!</v>
      </c>
      <c r="AW52" s="4"/>
      <c r="AX52" s="4"/>
      <c r="AY52" s="96" t="e">
        <f t="shared" si="46"/>
        <v>#DIV/0!</v>
      </c>
      <c r="AZ52" s="4">
        <f t="shared" si="47"/>
        <v>0</v>
      </c>
      <c r="BA52" s="4">
        <f t="shared" si="48"/>
        <v>0</v>
      </c>
      <c r="BB52" s="96" t="e">
        <f t="shared" si="49"/>
        <v>#DIV/0!</v>
      </c>
      <c r="BC52" s="4"/>
      <c r="BD52" s="101"/>
      <c r="BE52" s="4"/>
      <c r="BF52" s="4"/>
      <c r="BG52" s="4">
        <v>0</v>
      </c>
      <c r="BH52" s="104" t="e">
        <f t="shared" si="50"/>
        <v>#DIV/0!</v>
      </c>
    </row>
    <row r="53" s="3" customFormat="1" customHeight="1" spans="1:60">
      <c r="A53" s="76" t="s">
        <v>409</v>
      </c>
      <c r="B53" s="77" t="s">
        <v>448</v>
      </c>
      <c r="C53" s="84" t="s">
        <v>483</v>
      </c>
      <c r="D53" s="4" t="s">
        <v>101</v>
      </c>
      <c r="E53" s="12" t="s">
        <v>101</v>
      </c>
      <c r="F53" s="12" t="s">
        <v>450</v>
      </c>
      <c r="G53" s="4" t="s">
        <v>451</v>
      </c>
      <c r="H53" s="77" t="s">
        <v>452</v>
      </c>
      <c r="I53" s="77">
        <v>0</v>
      </c>
      <c r="J53" s="4"/>
      <c r="K53" s="4"/>
      <c r="L53" s="96" t="e">
        <f t="shared" si="0"/>
        <v>#DIV/0!</v>
      </c>
      <c r="M53" s="4"/>
      <c r="N53" s="4"/>
      <c r="O53" s="96" t="e">
        <f t="shared" si="1"/>
        <v>#DIV/0!</v>
      </c>
      <c r="P53" s="4">
        <f t="shared" si="2"/>
        <v>0</v>
      </c>
      <c r="Q53" s="4">
        <f t="shared" si="3"/>
        <v>0</v>
      </c>
      <c r="R53" s="96" t="e">
        <f t="shared" si="4"/>
        <v>#DIV/0!</v>
      </c>
      <c r="S53" s="97"/>
      <c r="T53" s="97"/>
      <c r="U53" s="96" t="e">
        <f t="shared" si="5"/>
        <v>#DIV/0!</v>
      </c>
      <c r="V53" s="98">
        <f t="shared" si="6"/>
        <v>0</v>
      </c>
      <c r="W53" s="98">
        <f t="shared" si="7"/>
        <v>0</v>
      </c>
      <c r="X53" s="96" t="e">
        <f t="shared" si="8"/>
        <v>#DIV/0!</v>
      </c>
      <c r="Y53" s="4"/>
      <c r="Z53" s="4"/>
      <c r="AA53" s="96" t="e">
        <f t="shared" si="30"/>
        <v>#DIV/0!</v>
      </c>
      <c r="AB53" s="4">
        <f t="shared" si="31"/>
        <v>0</v>
      </c>
      <c r="AC53" s="4">
        <f t="shared" si="32"/>
        <v>0</v>
      </c>
      <c r="AD53" s="96" t="e">
        <f t="shared" si="33"/>
        <v>#DIV/0!</v>
      </c>
      <c r="AE53" s="4"/>
      <c r="AF53" s="4"/>
      <c r="AG53" s="96" t="e">
        <f t="shared" si="34"/>
        <v>#DIV/0!</v>
      </c>
      <c r="AH53" s="4">
        <f t="shared" si="35"/>
        <v>0</v>
      </c>
      <c r="AI53" s="4">
        <f t="shared" si="36"/>
        <v>0</v>
      </c>
      <c r="AJ53" s="96" t="e">
        <f t="shared" si="37"/>
        <v>#DIV/0!</v>
      </c>
      <c r="AK53" s="10"/>
      <c r="AL53" s="10"/>
      <c r="AM53" s="96" t="e">
        <f t="shared" si="38"/>
        <v>#DIV/0!</v>
      </c>
      <c r="AN53" s="10">
        <f t="shared" si="39"/>
        <v>0</v>
      </c>
      <c r="AO53" s="10">
        <f t="shared" si="40"/>
        <v>0</v>
      </c>
      <c r="AP53" s="96" t="e">
        <f t="shared" si="41"/>
        <v>#DIV/0!</v>
      </c>
      <c r="AQ53" s="97"/>
      <c r="AR53" s="97"/>
      <c r="AS53" s="96" t="e">
        <f t="shared" si="42"/>
        <v>#DIV/0!</v>
      </c>
      <c r="AT53" s="97">
        <f t="shared" si="43"/>
        <v>0</v>
      </c>
      <c r="AU53" s="97">
        <f t="shared" si="44"/>
        <v>0</v>
      </c>
      <c r="AV53" s="96" t="e">
        <f t="shared" si="45"/>
        <v>#DIV/0!</v>
      </c>
      <c r="AW53" s="4"/>
      <c r="AX53" s="4"/>
      <c r="AY53" s="96" t="e">
        <f t="shared" si="46"/>
        <v>#DIV/0!</v>
      </c>
      <c r="AZ53" s="4">
        <f t="shared" si="47"/>
        <v>0</v>
      </c>
      <c r="BA53" s="4">
        <f t="shared" si="48"/>
        <v>0</v>
      </c>
      <c r="BB53" s="96" t="e">
        <f t="shared" si="49"/>
        <v>#DIV/0!</v>
      </c>
      <c r="BC53" s="4"/>
      <c r="BD53" s="101"/>
      <c r="BE53" s="4"/>
      <c r="BF53" s="4"/>
      <c r="BG53" s="4">
        <v>0</v>
      </c>
      <c r="BH53" s="104" t="e">
        <f t="shared" si="50"/>
        <v>#DIV/0!</v>
      </c>
    </row>
    <row r="54" s="3" customFormat="1" customHeight="1" spans="1:60">
      <c r="A54" s="76" t="s">
        <v>409</v>
      </c>
      <c r="B54" s="77" t="s">
        <v>448</v>
      </c>
      <c r="C54" s="85" t="s">
        <v>484</v>
      </c>
      <c r="D54" s="4" t="s">
        <v>101</v>
      </c>
      <c r="E54" s="12" t="s">
        <v>101</v>
      </c>
      <c r="F54" s="12" t="s">
        <v>476</v>
      </c>
      <c r="G54" s="4" t="s">
        <v>476</v>
      </c>
      <c r="H54" s="77" t="s">
        <v>452</v>
      </c>
      <c r="I54" s="77"/>
      <c r="J54" s="4"/>
      <c r="K54" s="4"/>
      <c r="L54" s="96" t="e">
        <f t="shared" si="0"/>
        <v>#DIV/0!</v>
      </c>
      <c r="M54" s="4"/>
      <c r="N54" s="4"/>
      <c r="O54" s="96" t="e">
        <f t="shared" si="1"/>
        <v>#DIV/0!</v>
      </c>
      <c r="P54" s="4">
        <f t="shared" si="2"/>
        <v>0</v>
      </c>
      <c r="Q54" s="4">
        <f t="shared" si="3"/>
        <v>0</v>
      </c>
      <c r="R54" s="96" t="e">
        <f t="shared" si="4"/>
        <v>#DIV/0!</v>
      </c>
      <c r="S54" s="97">
        <v>43000</v>
      </c>
      <c r="T54" s="97"/>
      <c r="U54" s="96">
        <f t="shared" si="5"/>
        <v>-1</v>
      </c>
      <c r="V54" s="98">
        <f t="shared" si="6"/>
        <v>43000</v>
      </c>
      <c r="W54" s="98">
        <f t="shared" si="7"/>
        <v>0</v>
      </c>
      <c r="X54" s="96">
        <f t="shared" si="8"/>
        <v>-1</v>
      </c>
      <c r="Y54" s="4"/>
      <c r="Z54" s="4"/>
      <c r="AA54" s="96" t="e">
        <f t="shared" si="30"/>
        <v>#DIV/0!</v>
      </c>
      <c r="AB54" s="4">
        <f t="shared" si="31"/>
        <v>43000</v>
      </c>
      <c r="AC54" s="4">
        <f t="shared" si="32"/>
        <v>0</v>
      </c>
      <c r="AD54" s="96">
        <f t="shared" si="33"/>
        <v>-1</v>
      </c>
      <c r="AE54" s="4"/>
      <c r="AF54" s="4"/>
      <c r="AG54" s="96" t="e">
        <f t="shared" si="34"/>
        <v>#DIV/0!</v>
      </c>
      <c r="AH54" s="4">
        <f t="shared" si="35"/>
        <v>43000</v>
      </c>
      <c r="AI54" s="4">
        <f t="shared" si="36"/>
        <v>0</v>
      </c>
      <c r="AJ54" s="96">
        <f t="shared" si="37"/>
        <v>-1</v>
      </c>
      <c r="AK54" s="10"/>
      <c r="AL54" s="10"/>
      <c r="AM54" s="96" t="e">
        <f t="shared" si="38"/>
        <v>#DIV/0!</v>
      </c>
      <c r="AN54" s="10">
        <f t="shared" si="39"/>
        <v>43000</v>
      </c>
      <c r="AO54" s="10">
        <f t="shared" si="40"/>
        <v>0</v>
      </c>
      <c r="AP54" s="96">
        <f t="shared" si="41"/>
        <v>-1</v>
      </c>
      <c r="AQ54" s="97"/>
      <c r="AR54" s="97"/>
      <c r="AS54" s="96" t="e">
        <f t="shared" si="42"/>
        <v>#DIV/0!</v>
      </c>
      <c r="AT54" s="97">
        <f t="shared" si="43"/>
        <v>43000</v>
      </c>
      <c r="AU54" s="97">
        <f t="shared" si="44"/>
        <v>0</v>
      </c>
      <c r="AV54" s="96">
        <f t="shared" si="45"/>
        <v>-1</v>
      </c>
      <c r="AW54" s="4"/>
      <c r="AX54" s="4"/>
      <c r="AY54" s="96" t="e">
        <f t="shared" si="46"/>
        <v>#DIV/0!</v>
      </c>
      <c r="AZ54" s="4">
        <f t="shared" si="47"/>
        <v>43000</v>
      </c>
      <c r="BA54" s="4">
        <f t="shared" si="48"/>
        <v>0</v>
      </c>
      <c r="BB54" s="96">
        <f t="shared" si="49"/>
        <v>-1</v>
      </c>
      <c r="BC54" s="4"/>
      <c r="BD54" s="101"/>
      <c r="BE54" s="4"/>
      <c r="BF54" s="4"/>
      <c r="BG54" s="4">
        <v>43000</v>
      </c>
      <c r="BH54" s="104" t="e">
        <f t="shared" si="50"/>
        <v>#DIV/0!</v>
      </c>
    </row>
    <row r="55" s="3" customFormat="1" customHeight="1" spans="1:60">
      <c r="A55" s="76" t="s">
        <v>409</v>
      </c>
      <c r="B55" s="77" t="s">
        <v>409</v>
      </c>
      <c r="C55" s="85" t="s">
        <v>485</v>
      </c>
      <c r="D55" s="4" t="s">
        <v>101</v>
      </c>
      <c r="E55" s="12" t="s">
        <v>101</v>
      </c>
      <c r="F55" s="12" t="s">
        <v>411</v>
      </c>
      <c r="G55" s="4" t="s">
        <v>411</v>
      </c>
      <c r="H55" s="77" t="s">
        <v>412</v>
      </c>
      <c r="I55" s="77">
        <v>11</v>
      </c>
      <c r="J55" s="4">
        <v>15920</v>
      </c>
      <c r="K55" s="4"/>
      <c r="L55" s="96">
        <f t="shared" si="0"/>
        <v>-1</v>
      </c>
      <c r="M55" s="4"/>
      <c r="N55" s="4"/>
      <c r="O55" s="96" t="e">
        <f t="shared" si="1"/>
        <v>#DIV/0!</v>
      </c>
      <c r="P55" s="4">
        <f t="shared" si="2"/>
        <v>15920</v>
      </c>
      <c r="Q55" s="4">
        <f t="shared" si="3"/>
        <v>0</v>
      </c>
      <c r="R55" s="96">
        <f t="shared" si="4"/>
        <v>-1</v>
      </c>
      <c r="S55" s="97"/>
      <c r="T55" s="97"/>
      <c r="U55" s="96" t="e">
        <f t="shared" si="5"/>
        <v>#DIV/0!</v>
      </c>
      <c r="V55" s="98">
        <f t="shared" si="6"/>
        <v>15920</v>
      </c>
      <c r="W55" s="98">
        <f t="shared" si="7"/>
        <v>0</v>
      </c>
      <c r="X55" s="96">
        <f t="shared" si="8"/>
        <v>-1</v>
      </c>
      <c r="Y55" s="4">
        <v>166</v>
      </c>
      <c r="Z55" s="4"/>
      <c r="AA55" s="96">
        <f t="shared" si="30"/>
        <v>-1</v>
      </c>
      <c r="AB55" s="4">
        <f t="shared" si="31"/>
        <v>16086</v>
      </c>
      <c r="AC55" s="4">
        <f t="shared" si="32"/>
        <v>0</v>
      </c>
      <c r="AD55" s="96">
        <f t="shared" si="33"/>
        <v>-1</v>
      </c>
      <c r="AE55" s="4">
        <v>14325</v>
      </c>
      <c r="AF55" s="4"/>
      <c r="AG55" s="96">
        <f t="shared" si="34"/>
        <v>-1</v>
      </c>
      <c r="AH55" s="4">
        <f t="shared" si="35"/>
        <v>30411</v>
      </c>
      <c r="AI55" s="4">
        <f t="shared" si="36"/>
        <v>0</v>
      </c>
      <c r="AJ55" s="96">
        <f t="shared" si="37"/>
        <v>-1</v>
      </c>
      <c r="AK55" s="10">
        <v>28545</v>
      </c>
      <c r="AL55" s="10"/>
      <c r="AM55" s="96">
        <f t="shared" si="38"/>
        <v>-1</v>
      </c>
      <c r="AN55" s="10">
        <f t="shared" si="39"/>
        <v>58956</v>
      </c>
      <c r="AO55" s="10">
        <f t="shared" si="40"/>
        <v>0</v>
      </c>
      <c r="AP55" s="96">
        <f t="shared" si="41"/>
        <v>-1</v>
      </c>
      <c r="AQ55" s="97">
        <v>24678</v>
      </c>
      <c r="AR55" s="97">
        <v>198</v>
      </c>
      <c r="AS55" s="96">
        <f t="shared" si="42"/>
        <v>-0.991976659372721</v>
      </c>
      <c r="AT55" s="97">
        <f t="shared" si="43"/>
        <v>83634</v>
      </c>
      <c r="AU55" s="97">
        <f t="shared" si="44"/>
        <v>198</v>
      </c>
      <c r="AV55" s="96">
        <f t="shared" si="45"/>
        <v>-0.997632541789224</v>
      </c>
      <c r="AW55" s="4"/>
      <c r="AX55" s="4"/>
      <c r="AY55" s="96" t="e">
        <f t="shared" si="46"/>
        <v>#DIV/0!</v>
      </c>
      <c r="AZ55" s="4">
        <f t="shared" si="47"/>
        <v>83634</v>
      </c>
      <c r="BA55" s="4">
        <f t="shared" si="48"/>
        <v>198</v>
      </c>
      <c r="BB55" s="96">
        <f t="shared" si="49"/>
        <v>-0.997632541789224</v>
      </c>
      <c r="BC55" s="4">
        <v>16912</v>
      </c>
      <c r="BD55" s="101"/>
      <c r="BE55" s="4"/>
      <c r="BF55" s="4"/>
      <c r="BG55" s="4">
        <v>100546</v>
      </c>
      <c r="BH55" s="104">
        <f t="shared" si="50"/>
        <v>0.0018</v>
      </c>
    </row>
    <row r="56" s="3" customFormat="1" customHeight="1" spans="1:60">
      <c r="A56" s="76" t="s">
        <v>409</v>
      </c>
      <c r="B56" s="77" t="s">
        <v>448</v>
      </c>
      <c r="C56" s="85" t="s">
        <v>486</v>
      </c>
      <c r="D56" s="4" t="s">
        <v>60</v>
      </c>
      <c r="E56" s="12" t="s">
        <v>60</v>
      </c>
      <c r="F56" s="12" t="s">
        <v>487</v>
      </c>
      <c r="G56" s="4" t="s">
        <v>487</v>
      </c>
      <c r="H56" s="77" t="s">
        <v>452</v>
      </c>
      <c r="I56" s="77"/>
      <c r="J56" s="4">
        <v>8000</v>
      </c>
      <c r="K56" s="4"/>
      <c r="L56" s="96">
        <f t="shared" si="0"/>
        <v>-1</v>
      </c>
      <c r="M56" s="4"/>
      <c r="N56" s="4"/>
      <c r="O56" s="96" t="e">
        <f t="shared" si="1"/>
        <v>#DIV/0!</v>
      </c>
      <c r="P56" s="4">
        <f t="shared" si="2"/>
        <v>8000</v>
      </c>
      <c r="Q56" s="4">
        <f t="shared" si="3"/>
        <v>0</v>
      </c>
      <c r="R56" s="96">
        <f t="shared" si="4"/>
        <v>-1</v>
      </c>
      <c r="S56" s="97"/>
      <c r="T56" s="97"/>
      <c r="U56" s="96" t="e">
        <f t="shared" si="5"/>
        <v>#DIV/0!</v>
      </c>
      <c r="V56" s="98">
        <f t="shared" si="6"/>
        <v>8000</v>
      </c>
      <c r="W56" s="98">
        <f t="shared" si="7"/>
        <v>0</v>
      </c>
      <c r="X56" s="96">
        <f t="shared" si="8"/>
        <v>-1</v>
      </c>
      <c r="Y56" s="4"/>
      <c r="Z56" s="4"/>
      <c r="AA56" s="96" t="e">
        <f t="shared" si="30"/>
        <v>#DIV/0!</v>
      </c>
      <c r="AB56" s="4">
        <f t="shared" si="31"/>
        <v>8000</v>
      </c>
      <c r="AC56" s="4">
        <f t="shared" si="32"/>
        <v>0</v>
      </c>
      <c r="AD56" s="96">
        <f t="shared" si="33"/>
        <v>-1</v>
      </c>
      <c r="AE56" s="4"/>
      <c r="AF56" s="4"/>
      <c r="AG56" s="96" t="e">
        <f t="shared" si="34"/>
        <v>#DIV/0!</v>
      </c>
      <c r="AH56" s="4">
        <f t="shared" si="35"/>
        <v>8000</v>
      </c>
      <c r="AI56" s="4">
        <f t="shared" si="36"/>
        <v>0</v>
      </c>
      <c r="AJ56" s="96">
        <f t="shared" si="37"/>
        <v>-1</v>
      </c>
      <c r="AK56" s="10"/>
      <c r="AL56" s="10"/>
      <c r="AM56" s="96" t="e">
        <f t="shared" si="38"/>
        <v>#DIV/0!</v>
      </c>
      <c r="AN56" s="10">
        <f t="shared" si="39"/>
        <v>8000</v>
      </c>
      <c r="AO56" s="10">
        <f t="shared" si="40"/>
        <v>0</v>
      </c>
      <c r="AP56" s="96">
        <f t="shared" si="41"/>
        <v>-1</v>
      </c>
      <c r="AQ56" s="97"/>
      <c r="AR56" s="97"/>
      <c r="AS56" s="96" t="e">
        <f t="shared" si="42"/>
        <v>#DIV/0!</v>
      </c>
      <c r="AT56" s="97">
        <f t="shared" si="43"/>
        <v>8000</v>
      </c>
      <c r="AU56" s="97">
        <f t="shared" si="44"/>
        <v>0</v>
      </c>
      <c r="AV56" s="96">
        <f t="shared" si="45"/>
        <v>-1</v>
      </c>
      <c r="AW56" s="4"/>
      <c r="AX56" s="4"/>
      <c r="AY56" s="96" t="e">
        <f t="shared" si="46"/>
        <v>#DIV/0!</v>
      </c>
      <c r="AZ56" s="4">
        <f t="shared" si="47"/>
        <v>8000</v>
      </c>
      <c r="BA56" s="4">
        <f t="shared" si="48"/>
        <v>0</v>
      </c>
      <c r="BB56" s="96">
        <f t="shared" si="49"/>
        <v>-1</v>
      </c>
      <c r="BC56" s="4"/>
      <c r="BD56" s="101"/>
      <c r="BE56" s="4"/>
      <c r="BF56" s="4"/>
      <c r="BG56" s="4">
        <v>8000</v>
      </c>
      <c r="BH56" s="104" t="e">
        <f t="shared" si="50"/>
        <v>#DIV/0!</v>
      </c>
    </row>
    <row r="57" s="3" customFormat="1" customHeight="1" spans="1:60">
      <c r="A57" s="76" t="s">
        <v>409</v>
      </c>
      <c r="B57" s="77" t="s">
        <v>409</v>
      </c>
      <c r="C57" s="85" t="s">
        <v>488</v>
      </c>
      <c r="D57" s="4" t="s">
        <v>101</v>
      </c>
      <c r="E57" s="12" t="s">
        <v>101</v>
      </c>
      <c r="F57" s="12" t="s">
        <v>415</v>
      </c>
      <c r="G57" s="4" t="s">
        <v>415</v>
      </c>
      <c r="H57" s="77" t="s">
        <v>412</v>
      </c>
      <c r="I57" s="77"/>
      <c r="J57" s="4"/>
      <c r="K57" s="4"/>
      <c r="L57" s="96" t="e">
        <f t="shared" si="0"/>
        <v>#DIV/0!</v>
      </c>
      <c r="M57" s="4"/>
      <c r="N57" s="4"/>
      <c r="O57" s="96" t="e">
        <f t="shared" si="1"/>
        <v>#DIV/0!</v>
      </c>
      <c r="P57" s="4">
        <f t="shared" si="2"/>
        <v>0</v>
      </c>
      <c r="Q57" s="4">
        <f t="shared" si="3"/>
        <v>0</v>
      </c>
      <c r="R57" s="96" t="e">
        <f t="shared" si="4"/>
        <v>#DIV/0!</v>
      </c>
      <c r="S57" s="97"/>
      <c r="T57" s="97"/>
      <c r="U57" s="96" t="e">
        <f t="shared" si="5"/>
        <v>#DIV/0!</v>
      </c>
      <c r="V57" s="98">
        <f t="shared" si="6"/>
        <v>0</v>
      </c>
      <c r="W57" s="98">
        <f t="shared" si="7"/>
        <v>0</v>
      </c>
      <c r="X57" s="96" t="e">
        <f t="shared" si="8"/>
        <v>#DIV/0!</v>
      </c>
      <c r="Y57" s="4"/>
      <c r="Z57" s="4"/>
      <c r="AA57" s="96" t="e">
        <f t="shared" si="30"/>
        <v>#DIV/0!</v>
      </c>
      <c r="AB57" s="4">
        <f t="shared" si="31"/>
        <v>0</v>
      </c>
      <c r="AC57" s="4">
        <f t="shared" si="32"/>
        <v>0</v>
      </c>
      <c r="AD57" s="96" t="e">
        <f t="shared" si="33"/>
        <v>#DIV/0!</v>
      </c>
      <c r="AE57" s="4"/>
      <c r="AF57" s="4"/>
      <c r="AG57" s="96" t="e">
        <f t="shared" si="34"/>
        <v>#DIV/0!</v>
      </c>
      <c r="AH57" s="4">
        <f t="shared" si="35"/>
        <v>0</v>
      </c>
      <c r="AI57" s="4">
        <f t="shared" si="36"/>
        <v>0</v>
      </c>
      <c r="AJ57" s="96" t="e">
        <f t="shared" si="37"/>
        <v>#DIV/0!</v>
      </c>
      <c r="AK57" s="10"/>
      <c r="AL57" s="10"/>
      <c r="AM57" s="96" t="e">
        <f t="shared" si="38"/>
        <v>#DIV/0!</v>
      </c>
      <c r="AN57" s="10">
        <f t="shared" si="39"/>
        <v>0</v>
      </c>
      <c r="AO57" s="10">
        <f t="shared" si="40"/>
        <v>0</v>
      </c>
      <c r="AP57" s="96" t="e">
        <f t="shared" si="41"/>
        <v>#DIV/0!</v>
      </c>
      <c r="AQ57" s="97"/>
      <c r="AR57" s="97"/>
      <c r="AS57" s="96" t="e">
        <f t="shared" si="42"/>
        <v>#DIV/0!</v>
      </c>
      <c r="AT57" s="97">
        <f t="shared" si="43"/>
        <v>0</v>
      </c>
      <c r="AU57" s="97">
        <f t="shared" si="44"/>
        <v>0</v>
      </c>
      <c r="AV57" s="96" t="e">
        <f t="shared" si="45"/>
        <v>#DIV/0!</v>
      </c>
      <c r="AW57" s="4"/>
      <c r="AX57" s="4"/>
      <c r="AY57" s="96" t="e">
        <f t="shared" si="46"/>
        <v>#DIV/0!</v>
      </c>
      <c r="AZ57" s="4">
        <f t="shared" si="47"/>
        <v>0</v>
      </c>
      <c r="BA57" s="4">
        <f t="shared" si="48"/>
        <v>0</v>
      </c>
      <c r="BB57" s="96" t="e">
        <f t="shared" si="49"/>
        <v>#DIV/0!</v>
      </c>
      <c r="BC57" s="4"/>
      <c r="BD57" s="101"/>
      <c r="BE57" s="4"/>
      <c r="BF57" s="4"/>
      <c r="BG57" s="4">
        <v>0</v>
      </c>
      <c r="BH57" s="104" t="e">
        <f t="shared" si="50"/>
        <v>#DIV/0!</v>
      </c>
    </row>
    <row r="58" s="3" customFormat="1" customHeight="1" spans="1:60">
      <c r="A58" s="76" t="s">
        <v>409</v>
      </c>
      <c r="B58" s="77" t="s">
        <v>409</v>
      </c>
      <c r="C58" s="85" t="s">
        <v>489</v>
      </c>
      <c r="D58" s="4" t="s">
        <v>101</v>
      </c>
      <c r="E58" s="12" t="s">
        <v>101</v>
      </c>
      <c r="F58" s="12" t="s">
        <v>415</v>
      </c>
      <c r="G58" s="4" t="s">
        <v>415</v>
      </c>
      <c r="H58" s="77" t="s">
        <v>416</v>
      </c>
      <c r="I58" s="77"/>
      <c r="J58" s="4"/>
      <c r="K58" s="4"/>
      <c r="L58" s="96" t="e">
        <f t="shared" si="0"/>
        <v>#DIV/0!</v>
      </c>
      <c r="M58" s="4"/>
      <c r="N58" s="4"/>
      <c r="O58" s="96" t="e">
        <f t="shared" si="1"/>
        <v>#DIV/0!</v>
      </c>
      <c r="P58" s="4">
        <f t="shared" si="2"/>
        <v>0</v>
      </c>
      <c r="Q58" s="4">
        <f t="shared" si="3"/>
        <v>0</v>
      </c>
      <c r="R58" s="96" t="e">
        <f t="shared" si="4"/>
        <v>#DIV/0!</v>
      </c>
      <c r="S58" s="97"/>
      <c r="T58" s="97"/>
      <c r="U58" s="96" t="e">
        <f t="shared" si="5"/>
        <v>#DIV/0!</v>
      </c>
      <c r="V58" s="98">
        <f t="shared" si="6"/>
        <v>0</v>
      </c>
      <c r="W58" s="98">
        <f t="shared" si="7"/>
        <v>0</v>
      </c>
      <c r="X58" s="96" t="e">
        <f t="shared" si="8"/>
        <v>#DIV/0!</v>
      </c>
      <c r="Y58" s="4"/>
      <c r="Z58" s="4"/>
      <c r="AA58" s="96" t="e">
        <f t="shared" si="30"/>
        <v>#DIV/0!</v>
      </c>
      <c r="AB58" s="4">
        <f t="shared" si="31"/>
        <v>0</v>
      </c>
      <c r="AC58" s="4">
        <f t="shared" si="32"/>
        <v>0</v>
      </c>
      <c r="AD58" s="96" t="e">
        <f t="shared" si="33"/>
        <v>#DIV/0!</v>
      </c>
      <c r="AE58" s="4"/>
      <c r="AF58" s="4"/>
      <c r="AG58" s="96" t="e">
        <f t="shared" si="34"/>
        <v>#DIV/0!</v>
      </c>
      <c r="AH58" s="4">
        <f t="shared" si="35"/>
        <v>0</v>
      </c>
      <c r="AI58" s="4">
        <f t="shared" si="36"/>
        <v>0</v>
      </c>
      <c r="AJ58" s="96" t="e">
        <f t="shared" si="37"/>
        <v>#DIV/0!</v>
      </c>
      <c r="AK58" s="10"/>
      <c r="AL58" s="10"/>
      <c r="AM58" s="96" t="e">
        <f t="shared" si="38"/>
        <v>#DIV/0!</v>
      </c>
      <c r="AN58" s="10">
        <f t="shared" si="39"/>
        <v>0</v>
      </c>
      <c r="AO58" s="10">
        <f t="shared" si="40"/>
        <v>0</v>
      </c>
      <c r="AP58" s="96" t="e">
        <f t="shared" si="41"/>
        <v>#DIV/0!</v>
      </c>
      <c r="AQ58" s="97"/>
      <c r="AR58" s="97"/>
      <c r="AS58" s="96" t="e">
        <f t="shared" si="42"/>
        <v>#DIV/0!</v>
      </c>
      <c r="AT58" s="97">
        <f t="shared" si="43"/>
        <v>0</v>
      </c>
      <c r="AU58" s="97">
        <f t="shared" si="44"/>
        <v>0</v>
      </c>
      <c r="AV58" s="96" t="e">
        <f t="shared" si="45"/>
        <v>#DIV/0!</v>
      </c>
      <c r="AW58" s="4"/>
      <c r="AX58" s="4"/>
      <c r="AY58" s="96" t="e">
        <f t="shared" si="46"/>
        <v>#DIV/0!</v>
      </c>
      <c r="AZ58" s="4">
        <f t="shared" si="47"/>
        <v>0</v>
      </c>
      <c r="BA58" s="4">
        <f t="shared" si="48"/>
        <v>0</v>
      </c>
      <c r="BB58" s="96" t="e">
        <f t="shared" si="49"/>
        <v>#DIV/0!</v>
      </c>
      <c r="BC58" s="4"/>
      <c r="BD58" s="101"/>
      <c r="BE58" s="4"/>
      <c r="BF58" s="4"/>
      <c r="BG58" s="4">
        <v>0</v>
      </c>
      <c r="BH58" s="104" t="e">
        <f t="shared" si="50"/>
        <v>#DIV/0!</v>
      </c>
    </row>
    <row r="59" s="3" customFormat="1" customHeight="1" spans="1:60">
      <c r="A59" s="76" t="s">
        <v>409</v>
      </c>
      <c r="B59" s="77" t="s">
        <v>448</v>
      </c>
      <c r="C59" s="84" t="s">
        <v>490</v>
      </c>
      <c r="D59" s="12" t="s">
        <v>60</v>
      </c>
      <c r="E59" s="12" t="s">
        <v>60</v>
      </c>
      <c r="F59" s="12" t="s">
        <v>450</v>
      </c>
      <c r="G59" s="77" t="s">
        <v>450</v>
      </c>
      <c r="H59" s="77" t="s">
        <v>452</v>
      </c>
      <c r="I59" s="77">
        <v>30</v>
      </c>
      <c r="J59" s="4"/>
      <c r="K59" s="4"/>
      <c r="L59" s="96" t="e">
        <f t="shared" si="0"/>
        <v>#DIV/0!</v>
      </c>
      <c r="M59" s="4"/>
      <c r="N59" s="4"/>
      <c r="O59" s="96" t="e">
        <f t="shared" si="1"/>
        <v>#DIV/0!</v>
      </c>
      <c r="P59" s="4">
        <f t="shared" si="2"/>
        <v>0</v>
      </c>
      <c r="Q59" s="4">
        <f t="shared" si="3"/>
        <v>0</v>
      </c>
      <c r="R59" s="96" t="e">
        <f t="shared" si="4"/>
        <v>#DIV/0!</v>
      </c>
      <c r="S59" s="97"/>
      <c r="T59" s="97"/>
      <c r="U59" s="96" t="e">
        <f t="shared" si="5"/>
        <v>#DIV/0!</v>
      </c>
      <c r="V59" s="98">
        <f t="shared" si="6"/>
        <v>0</v>
      </c>
      <c r="W59" s="98">
        <f t="shared" si="7"/>
        <v>0</v>
      </c>
      <c r="X59" s="96" t="e">
        <f t="shared" si="8"/>
        <v>#DIV/0!</v>
      </c>
      <c r="Y59" s="4"/>
      <c r="Z59" s="4"/>
      <c r="AA59" s="96" t="e">
        <f t="shared" si="30"/>
        <v>#DIV/0!</v>
      </c>
      <c r="AB59" s="4">
        <f t="shared" si="31"/>
        <v>0</v>
      </c>
      <c r="AC59" s="4">
        <f t="shared" si="32"/>
        <v>0</v>
      </c>
      <c r="AD59" s="96" t="e">
        <f t="shared" si="33"/>
        <v>#DIV/0!</v>
      </c>
      <c r="AE59" s="4"/>
      <c r="AF59" s="4"/>
      <c r="AG59" s="96" t="e">
        <f t="shared" si="34"/>
        <v>#DIV/0!</v>
      </c>
      <c r="AH59" s="4">
        <f t="shared" si="35"/>
        <v>0</v>
      </c>
      <c r="AI59" s="4">
        <f t="shared" si="36"/>
        <v>0</v>
      </c>
      <c r="AJ59" s="96" t="e">
        <f t="shared" si="37"/>
        <v>#DIV/0!</v>
      </c>
      <c r="AK59" s="10"/>
      <c r="AL59" s="10"/>
      <c r="AM59" s="96" t="e">
        <f t="shared" si="38"/>
        <v>#DIV/0!</v>
      </c>
      <c r="AN59" s="10">
        <f t="shared" si="39"/>
        <v>0</v>
      </c>
      <c r="AO59" s="10">
        <f t="shared" si="40"/>
        <v>0</v>
      </c>
      <c r="AP59" s="96" t="e">
        <f t="shared" si="41"/>
        <v>#DIV/0!</v>
      </c>
      <c r="AQ59" s="97"/>
      <c r="AR59" s="97">
        <v>116864</v>
      </c>
      <c r="AS59" s="96" t="e">
        <f t="shared" si="42"/>
        <v>#DIV/0!</v>
      </c>
      <c r="AT59" s="97">
        <f t="shared" si="43"/>
        <v>0</v>
      </c>
      <c r="AU59" s="97">
        <f t="shared" si="44"/>
        <v>116864</v>
      </c>
      <c r="AV59" s="96" t="e">
        <f t="shared" si="45"/>
        <v>#DIV/0!</v>
      </c>
      <c r="AW59" s="4"/>
      <c r="AX59" s="4">
        <v>4500</v>
      </c>
      <c r="AY59" s="96" t="e">
        <f t="shared" si="46"/>
        <v>#DIV/0!</v>
      </c>
      <c r="AZ59" s="4">
        <f t="shared" si="47"/>
        <v>0</v>
      </c>
      <c r="BA59" s="4">
        <f t="shared" si="48"/>
        <v>121364</v>
      </c>
      <c r="BB59" s="96" t="e">
        <f t="shared" si="49"/>
        <v>#DIV/0!</v>
      </c>
      <c r="BC59" s="4"/>
      <c r="BD59" s="101"/>
      <c r="BE59" s="4"/>
      <c r="BF59" s="4"/>
      <c r="BG59" s="4">
        <v>0</v>
      </c>
      <c r="BH59" s="104">
        <f t="shared" si="50"/>
        <v>0.404546666666667</v>
      </c>
    </row>
    <row r="60" s="3" customFormat="1" customHeight="1" spans="1:60">
      <c r="A60" s="76" t="s">
        <v>409</v>
      </c>
      <c r="B60" s="77" t="s">
        <v>409</v>
      </c>
      <c r="C60" s="84" t="s">
        <v>491</v>
      </c>
      <c r="D60" s="12" t="s">
        <v>60</v>
      </c>
      <c r="E60" s="12" t="s">
        <v>60</v>
      </c>
      <c r="F60" s="12" t="s">
        <v>415</v>
      </c>
      <c r="G60" s="77" t="s">
        <v>415</v>
      </c>
      <c r="H60" s="77" t="s">
        <v>416</v>
      </c>
      <c r="I60" s="77"/>
      <c r="J60" s="4"/>
      <c r="K60" s="4"/>
      <c r="L60" s="96" t="e">
        <f t="shared" si="0"/>
        <v>#DIV/0!</v>
      </c>
      <c r="M60" s="4"/>
      <c r="N60" s="4"/>
      <c r="O60" s="96" t="e">
        <f t="shared" si="1"/>
        <v>#DIV/0!</v>
      </c>
      <c r="P60" s="4">
        <f t="shared" si="2"/>
        <v>0</v>
      </c>
      <c r="Q60" s="4">
        <f t="shared" si="3"/>
        <v>0</v>
      </c>
      <c r="R60" s="96" t="e">
        <f t="shared" si="4"/>
        <v>#DIV/0!</v>
      </c>
      <c r="S60" s="97"/>
      <c r="T60" s="97"/>
      <c r="U60" s="96" t="e">
        <f t="shared" si="5"/>
        <v>#DIV/0!</v>
      </c>
      <c r="V60" s="98">
        <f t="shared" si="6"/>
        <v>0</v>
      </c>
      <c r="W60" s="98">
        <f t="shared" si="7"/>
        <v>0</v>
      </c>
      <c r="X60" s="96" t="e">
        <f t="shared" si="8"/>
        <v>#DIV/0!</v>
      </c>
      <c r="Y60" s="4"/>
      <c r="Z60" s="4"/>
      <c r="AA60" s="96" t="e">
        <f t="shared" si="30"/>
        <v>#DIV/0!</v>
      </c>
      <c r="AB60" s="4">
        <f t="shared" si="31"/>
        <v>0</v>
      </c>
      <c r="AC60" s="4">
        <f t="shared" si="32"/>
        <v>0</v>
      </c>
      <c r="AD60" s="96" t="e">
        <f t="shared" si="33"/>
        <v>#DIV/0!</v>
      </c>
      <c r="AE60" s="4"/>
      <c r="AF60" s="4"/>
      <c r="AG60" s="96" t="e">
        <f t="shared" si="34"/>
        <v>#DIV/0!</v>
      </c>
      <c r="AH60" s="4">
        <f t="shared" si="35"/>
        <v>0</v>
      </c>
      <c r="AI60" s="4">
        <f t="shared" si="36"/>
        <v>0</v>
      </c>
      <c r="AJ60" s="96" t="e">
        <f t="shared" si="37"/>
        <v>#DIV/0!</v>
      </c>
      <c r="AK60" s="10"/>
      <c r="AL60" s="10"/>
      <c r="AM60" s="96" t="e">
        <f t="shared" si="38"/>
        <v>#DIV/0!</v>
      </c>
      <c r="AN60" s="10">
        <f t="shared" si="39"/>
        <v>0</v>
      </c>
      <c r="AO60" s="10">
        <f t="shared" si="40"/>
        <v>0</v>
      </c>
      <c r="AP60" s="96" t="e">
        <f t="shared" si="41"/>
        <v>#DIV/0!</v>
      </c>
      <c r="AQ60" s="97"/>
      <c r="AR60" s="97"/>
      <c r="AS60" s="96" t="e">
        <f t="shared" si="42"/>
        <v>#DIV/0!</v>
      </c>
      <c r="AT60" s="97">
        <f t="shared" si="43"/>
        <v>0</v>
      </c>
      <c r="AU60" s="97">
        <f t="shared" si="44"/>
        <v>0</v>
      </c>
      <c r="AV60" s="96" t="e">
        <f t="shared" si="45"/>
        <v>#DIV/0!</v>
      </c>
      <c r="AW60" s="4"/>
      <c r="AX60" s="4"/>
      <c r="AY60" s="96" t="e">
        <f t="shared" si="46"/>
        <v>#DIV/0!</v>
      </c>
      <c r="AZ60" s="4">
        <f t="shared" si="47"/>
        <v>0</v>
      </c>
      <c r="BA60" s="4">
        <f t="shared" si="48"/>
        <v>0</v>
      </c>
      <c r="BB60" s="96" t="e">
        <f t="shared" si="49"/>
        <v>#DIV/0!</v>
      </c>
      <c r="BC60" s="4"/>
      <c r="BD60" s="101"/>
      <c r="BE60" s="4"/>
      <c r="BF60" s="4"/>
      <c r="BG60" s="4">
        <v>0</v>
      </c>
      <c r="BH60" s="104" t="e">
        <f t="shared" si="50"/>
        <v>#DIV/0!</v>
      </c>
    </row>
    <row r="61" s="3" customFormat="1" customHeight="1" spans="1:60">
      <c r="A61" s="76" t="s">
        <v>409</v>
      </c>
      <c r="B61" s="77" t="s">
        <v>409</v>
      </c>
      <c r="C61" s="84" t="s">
        <v>492</v>
      </c>
      <c r="D61" s="4" t="s">
        <v>101</v>
      </c>
      <c r="E61" s="12" t="s">
        <v>101</v>
      </c>
      <c r="F61" s="12" t="s">
        <v>423</v>
      </c>
      <c r="G61" s="77" t="s">
        <v>423</v>
      </c>
      <c r="H61" s="77" t="s">
        <v>416</v>
      </c>
      <c r="I61" s="77"/>
      <c r="J61" s="4">
        <v>1790</v>
      </c>
      <c r="K61" s="4"/>
      <c r="L61" s="96">
        <f t="shared" si="0"/>
        <v>-1</v>
      </c>
      <c r="M61" s="4"/>
      <c r="N61" s="4"/>
      <c r="O61" s="96" t="e">
        <f t="shared" si="1"/>
        <v>#DIV/0!</v>
      </c>
      <c r="P61" s="4">
        <f t="shared" si="2"/>
        <v>1790</v>
      </c>
      <c r="Q61" s="4">
        <f t="shared" si="3"/>
        <v>0</v>
      </c>
      <c r="R61" s="96">
        <f t="shared" si="4"/>
        <v>-1</v>
      </c>
      <c r="S61" s="97"/>
      <c r="T61" s="97"/>
      <c r="U61" s="96" t="e">
        <f t="shared" si="5"/>
        <v>#DIV/0!</v>
      </c>
      <c r="V61" s="98">
        <f t="shared" si="6"/>
        <v>1790</v>
      </c>
      <c r="W61" s="98">
        <f t="shared" si="7"/>
        <v>0</v>
      </c>
      <c r="X61" s="96">
        <f t="shared" si="8"/>
        <v>-1</v>
      </c>
      <c r="Y61" s="4"/>
      <c r="Z61" s="4"/>
      <c r="AA61" s="96" t="e">
        <f t="shared" si="30"/>
        <v>#DIV/0!</v>
      </c>
      <c r="AB61" s="4">
        <f t="shared" si="31"/>
        <v>1790</v>
      </c>
      <c r="AC61" s="4">
        <f t="shared" si="32"/>
        <v>0</v>
      </c>
      <c r="AD61" s="96">
        <f t="shared" si="33"/>
        <v>-1</v>
      </c>
      <c r="AE61" s="4"/>
      <c r="AF61" s="4"/>
      <c r="AG61" s="96" t="e">
        <f t="shared" si="34"/>
        <v>#DIV/0!</v>
      </c>
      <c r="AH61" s="4">
        <f t="shared" si="35"/>
        <v>1790</v>
      </c>
      <c r="AI61" s="4">
        <f t="shared" si="36"/>
        <v>0</v>
      </c>
      <c r="AJ61" s="96">
        <f t="shared" si="37"/>
        <v>-1</v>
      </c>
      <c r="AK61" s="10"/>
      <c r="AL61" s="10"/>
      <c r="AM61" s="96" t="e">
        <f t="shared" si="38"/>
        <v>#DIV/0!</v>
      </c>
      <c r="AN61" s="10">
        <f t="shared" si="39"/>
        <v>1790</v>
      </c>
      <c r="AO61" s="10">
        <f t="shared" si="40"/>
        <v>0</v>
      </c>
      <c r="AP61" s="96">
        <f t="shared" si="41"/>
        <v>-1</v>
      </c>
      <c r="AQ61" s="97"/>
      <c r="AR61" s="97"/>
      <c r="AS61" s="96" t="e">
        <f t="shared" si="42"/>
        <v>#DIV/0!</v>
      </c>
      <c r="AT61" s="97">
        <f t="shared" si="43"/>
        <v>1790</v>
      </c>
      <c r="AU61" s="97">
        <f t="shared" si="44"/>
        <v>0</v>
      </c>
      <c r="AV61" s="96">
        <f t="shared" si="45"/>
        <v>-1</v>
      </c>
      <c r="AW61" s="4"/>
      <c r="AX61" s="4"/>
      <c r="AY61" s="96" t="e">
        <f t="shared" si="46"/>
        <v>#DIV/0!</v>
      </c>
      <c r="AZ61" s="4">
        <f t="shared" si="47"/>
        <v>1790</v>
      </c>
      <c r="BA61" s="4">
        <f t="shared" si="48"/>
        <v>0</v>
      </c>
      <c r="BB61" s="96">
        <f t="shared" si="49"/>
        <v>-1</v>
      </c>
      <c r="BC61" s="4"/>
      <c r="BD61" s="101"/>
      <c r="BE61" s="4"/>
      <c r="BF61" s="4"/>
      <c r="BG61" s="4">
        <v>1790</v>
      </c>
      <c r="BH61" s="104" t="e">
        <f t="shared" si="50"/>
        <v>#DIV/0!</v>
      </c>
    </row>
    <row r="62" s="3" customFormat="1" customHeight="1" spans="1:60">
      <c r="A62" s="76" t="s">
        <v>409</v>
      </c>
      <c r="B62" s="77" t="s">
        <v>409</v>
      </c>
      <c r="C62" s="84" t="s">
        <v>493</v>
      </c>
      <c r="D62" s="12" t="s">
        <v>60</v>
      </c>
      <c r="E62" s="12" t="s">
        <v>60</v>
      </c>
      <c r="F62" s="12" t="s">
        <v>426</v>
      </c>
      <c r="G62" s="77" t="s">
        <v>426</v>
      </c>
      <c r="H62" s="77" t="s">
        <v>412</v>
      </c>
      <c r="I62" s="77"/>
      <c r="J62" s="4">
        <v>5100</v>
      </c>
      <c r="K62" s="4"/>
      <c r="L62" s="96">
        <f t="shared" si="0"/>
        <v>-1</v>
      </c>
      <c r="M62" s="4"/>
      <c r="N62" s="4"/>
      <c r="O62" s="96" t="e">
        <f t="shared" si="1"/>
        <v>#DIV/0!</v>
      </c>
      <c r="P62" s="4">
        <f t="shared" si="2"/>
        <v>5100</v>
      </c>
      <c r="Q62" s="4">
        <f t="shared" si="3"/>
        <v>0</v>
      </c>
      <c r="R62" s="96">
        <f t="shared" si="4"/>
        <v>-1</v>
      </c>
      <c r="S62" s="97"/>
      <c r="T62" s="97"/>
      <c r="U62" s="96" t="e">
        <f t="shared" si="5"/>
        <v>#DIV/0!</v>
      </c>
      <c r="V62" s="98">
        <f t="shared" si="6"/>
        <v>5100</v>
      </c>
      <c r="W62" s="98">
        <f t="shared" si="7"/>
        <v>0</v>
      </c>
      <c r="X62" s="96">
        <f t="shared" si="8"/>
        <v>-1</v>
      </c>
      <c r="Y62" s="4"/>
      <c r="Z62" s="4"/>
      <c r="AA62" s="96" t="e">
        <f t="shared" si="30"/>
        <v>#DIV/0!</v>
      </c>
      <c r="AB62" s="4">
        <f t="shared" si="31"/>
        <v>5100</v>
      </c>
      <c r="AC62" s="4">
        <f t="shared" si="32"/>
        <v>0</v>
      </c>
      <c r="AD62" s="96">
        <f t="shared" si="33"/>
        <v>-1</v>
      </c>
      <c r="AE62" s="4"/>
      <c r="AF62" s="4"/>
      <c r="AG62" s="96" t="e">
        <f t="shared" si="34"/>
        <v>#DIV/0!</v>
      </c>
      <c r="AH62" s="4">
        <f t="shared" si="35"/>
        <v>5100</v>
      </c>
      <c r="AI62" s="4">
        <f t="shared" si="36"/>
        <v>0</v>
      </c>
      <c r="AJ62" s="96">
        <f t="shared" si="37"/>
        <v>-1</v>
      </c>
      <c r="AK62" s="10"/>
      <c r="AL62" s="10"/>
      <c r="AM62" s="96" t="e">
        <f t="shared" si="38"/>
        <v>#DIV/0!</v>
      </c>
      <c r="AN62" s="10">
        <f t="shared" si="39"/>
        <v>5100</v>
      </c>
      <c r="AO62" s="10">
        <f t="shared" si="40"/>
        <v>0</v>
      </c>
      <c r="AP62" s="96">
        <f t="shared" si="41"/>
        <v>-1</v>
      </c>
      <c r="AQ62" s="97"/>
      <c r="AR62" s="97"/>
      <c r="AS62" s="96" t="e">
        <f t="shared" si="42"/>
        <v>#DIV/0!</v>
      </c>
      <c r="AT62" s="97">
        <f t="shared" si="43"/>
        <v>5100</v>
      </c>
      <c r="AU62" s="97">
        <f t="shared" si="44"/>
        <v>0</v>
      </c>
      <c r="AV62" s="96">
        <f t="shared" si="45"/>
        <v>-1</v>
      </c>
      <c r="AW62" s="4"/>
      <c r="AX62" s="4"/>
      <c r="AY62" s="96" t="e">
        <f t="shared" si="46"/>
        <v>#DIV/0!</v>
      </c>
      <c r="AZ62" s="4">
        <f t="shared" si="47"/>
        <v>5100</v>
      </c>
      <c r="BA62" s="4">
        <f t="shared" si="48"/>
        <v>0</v>
      </c>
      <c r="BB62" s="96">
        <f t="shared" si="49"/>
        <v>-1</v>
      </c>
      <c r="BC62" s="4"/>
      <c r="BD62" s="101"/>
      <c r="BE62" s="4"/>
      <c r="BF62" s="4"/>
      <c r="BG62" s="4">
        <v>5100</v>
      </c>
      <c r="BH62" s="104" t="e">
        <f t="shared" si="50"/>
        <v>#DIV/0!</v>
      </c>
    </row>
    <row r="63" s="3" customFormat="1" customHeight="1" spans="1:60">
      <c r="A63" s="76" t="s">
        <v>409</v>
      </c>
      <c r="B63" s="77" t="s">
        <v>409</v>
      </c>
      <c r="C63" s="84" t="s">
        <v>494</v>
      </c>
      <c r="D63" s="12" t="s">
        <v>60</v>
      </c>
      <c r="E63" s="12" t="s">
        <v>60</v>
      </c>
      <c r="F63" s="12" t="s">
        <v>426</v>
      </c>
      <c r="G63" s="77" t="s">
        <v>426</v>
      </c>
      <c r="H63" s="77" t="s">
        <v>412</v>
      </c>
      <c r="I63" s="77">
        <v>10</v>
      </c>
      <c r="J63" s="4">
        <v>19260</v>
      </c>
      <c r="K63" s="4">
        <v>10740</v>
      </c>
      <c r="L63" s="96">
        <f t="shared" si="0"/>
        <v>-0.442367601246106</v>
      </c>
      <c r="M63" s="4"/>
      <c r="N63" s="4"/>
      <c r="O63" s="96" t="e">
        <f t="shared" si="1"/>
        <v>#DIV/0!</v>
      </c>
      <c r="P63" s="4">
        <f t="shared" si="2"/>
        <v>19260</v>
      </c>
      <c r="Q63" s="4">
        <f t="shared" si="3"/>
        <v>10740</v>
      </c>
      <c r="R63" s="96">
        <f t="shared" si="4"/>
        <v>-0.442367601246106</v>
      </c>
      <c r="S63" s="97">
        <v>7850</v>
      </c>
      <c r="T63" s="97"/>
      <c r="U63" s="96">
        <f t="shared" si="5"/>
        <v>-1</v>
      </c>
      <c r="V63" s="98">
        <f t="shared" si="6"/>
        <v>27110</v>
      </c>
      <c r="W63" s="98">
        <f t="shared" si="7"/>
        <v>10740</v>
      </c>
      <c r="X63" s="96">
        <f t="shared" si="8"/>
        <v>-0.603836222796016</v>
      </c>
      <c r="Y63" s="4">
        <v>1740</v>
      </c>
      <c r="Z63" s="4">
        <v>5491</v>
      </c>
      <c r="AA63" s="96">
        <f t="shared" si="30"/>
        <v>2.15574712643678</v>
      </c>
      <c r="AB63" s="4">
        <f t="shared" si="31"/>
        <v>28850</v>
      </c>
      <c r="AC63" s="4">
        <f t="shared" si="32"/>
        <v>16231</v>
      </c>
      <c r="AD63" s="96">
        <f t="shared" si="33"/>
        <v>-0.437400346620451</v>
      </c>
      <c r="AE63" s="4">
        <v>49370</v>
      </c>
      <c r="AF63" s="4">
        <v>12884</v>
      </c>
      <c r="AG63" s="96">
        <f t="shared" si="34"/>
        <v>-0.739031800688677</v>
      </c>
      <c r="AH63" s="4">
        <f t="shared" si="35"/>
        <v>78220</v>
      </c>
      <c r="AI63" s="4">
        <f t="shared" si="36"/>
        <v>29115</v>
      </c>
      <c r="AJ63" s="96">
        <f t="shared" si="37"/>
        <v>-0.627780618767579</v>
      </c>
      <c r="AK63" s="10">
        <v>4800</v>
      </c>
      <c r="AL63" s="10">
        <v>4541</v>
      </c>
      <c r="AM63" s="96">
        <f t="shared" si="38"/>
        <v>-0.0539583333333333</v>
      </c>
      <c r="AN63" s="10">
        <f t="shared" si="39"/>
        <v>83020</v>
      </c>
      <c r="AO63" s="10">
        <f t="shared" si="40"/>
        <v>33656</v>
      </c>
      <c r="AP63" s="96">
        <f t="shared" si="41"/>
        <v>-0.59460370994941</v>
      </c>
      <c r="AQ63" s="97"/>
      <c r="AR63" s="97"/>
      <c r="AS63" s="96" t="e">
        <f t="shared" si="42"/>
        <v>#DIV/0!</v>
      </c>
      <c r="AT63" s="97">
        <f t="shared" si="43"/>
        <v>83020</v>
      </c>
      <c r="AU63" s="97">
        <f t="shared" si="44"/>
        <v>33656</v>
      </c>
      <c r="AV63" s="96">
        <f t="shared" si="45"/>
        <v>-0.59460370994941</v>
      </c>
      <c r="AW63" s="4"/>
      <c r="AX63" s="4"/>
      <c r="AY63" s="96" t="e">
        <f t="shared" si="46"/>
        <v>#DIV/0!</v>
      </c>
      <c r="AZ63" s="4">
        <f t="shared" si="47"/>
        <v>83020</v>
      </c>
      <c r="BA63" s="4">
        <f t="shared" si="48"/>
        <v>33656</v>
      </c>
      <c r="BB63" s="96">
        <f t="shared" si="49"/>
        <v>-0.59460370994941</v>
      </c>
      <c r="BC63" s="4">
        <v>9010</v>
      </c>
      <c r="BD63" s="101">
        <v>7850</v>
      </c>
      <c r="BE63" s="4">
        <v>3060</v>
      </c>
      <c r="BF63" s="4">
        <v>45168</v>
      </c>
      <c r="BG63" s="4">
        <v>148108</v>
      </c>
      <c r="BH63" s="104">
        <f t="shared" si="50"/>
        <v>0.33656</v>
      </c>
    </row>
    <row r="64" s="3" customFormat="1" customHeight="1" spans="1:60">
      <c r="A64" s="76" t="s">
        <v>409</v>
      </c>
      <c r="B64" s="77" t="s">
        <v>409</v>
      </c>
      <c r="C64" s="84" t="s">
        <v>495</v>
      </c>
      <c r="D64" s="12" t="s">
        <v>60</v>
      </c>
      <c r="E64" s="12" t="s">
        <v>60</v>
      </c>
      <c r="F64" s="12" t="s">
        <v>459</v>
      </c>
      <c r="G64" s="77" t="s">
        <v>459</v>
      </c>
      <c r="H64" s="77" t="s">
        <v>430</v>
      </c>
      <c r="I64" s="77">
        <v>30</v>
      </c>
      <c r="J64" s="4">
        <v>57994</v>
      </c>
      <c r="K64" s="4"/>
      <c r="L64" s="96">
        <f t="shared" si="0"/>
        <v>-1</v>
      </c>
      <c r="M64" s="4">
        <v>45000</v>
      </c>
      <c r="N64" s="4"/>
      <c r="O64" s="96">
        <f t="shared" si="1"/>
        <v>-1</v>
      </c>
      <c r="P64" s="4">
        <f t="shared" si="2"/>
        <v>102994</v>
      </c>
      <c r="Q64" s="4">
        <f t="shared" si="3"/>
        <v>0</v>
      </c>
      <c r="R64" s="96">
        <f t="shared" si="4"/>
        <v>-1</v>
      </c>
      <c r="S64" s="97">
        <v>2390</v>
      </c>
      <c r="T64" s="97">
        <v>53000</v>
      </c>
      <c r="U64" s="96">
        <f t="shared" si="5"/>
        <v>21.1757322175732</v>
      </c>
      <c r="V64" s="98">
        <f t="shared" si="6"/>
        <v>105384</v>
      </c>
      <c r="W64" s="98">
        <f t="shared" si="7"/>
        <v>53000</v>
      </c>
      <c r="X64" s="96">
        <f t="shared" si="8"/>
        <v>-0.497077355196235</v>
      </c>
      <c r="Y64" s="4"/>
      <c r="Z64" s="4"/>
      <c r="AA64" s="96" t="e">
        <f t="shared" si="30"/>
        <v>#DIV/0!</v>
      </c>
      <c r="AB64" s="4">
        <f t="shared" si="31"/>
        <v>105384</v>
      </c>
      <c r="AC64" s="4">
        <f t="shared" si="32"/>
        <v>53000</v>
      </c>
      <c r="AD64" s="96">
        <f t="shared" si="33"/>
        <v>-0.497077355196235</v>
      </c>
      <c r="AE64" s="4">
        <v>1650</v>
      </c>
      <c r="AF64" s="4"/>
      <c r="AG64" s="96">
        <f t="shared" si="34"/>
        <v>-1</v>
      </c>
      <c r="AH64" s="4">
        <f t="shared" si="35"/>
        <v>107034</v>
      </c>
      <c r="AI64" s="4">
        <f t="shared" si="36"/>
        <v>53000</v>
      </c>
      <c r="AJ64" s="96">
        <f t="shared" si="37"/>
        <v>-0.504830240858045</v>
      </c>
      <c r="AK64" s="10">
        <v>48160</v>
      </c>
      <c r="AL64" s="10"/>
      <c r="AM64" s="96">
        <f t="shared" si="38"/>
        <v>-1</v>
      </c>
      <c r="AN64" s="10">
        <f t="shared" si="39"/>
        <v>155194</v>
      </c>
      <c r="AO64" s="10">
        <f t="shared" si="40"/>
        <v>53000</v>
      </c>
      <c r="AP64" s="96">
        <f t="shared" si="41"/>
        <v>-0.658491952008454</v>
      </c>
      <c r="AQ64" s="97"/>
      <c r="AR64" s="97"/>
      <c r="AS64" s="96" t="e">
        <f t="shared" si="42"/>
        <v>#DIV/0!</v>
      </c>
      <c r="AT64" s="97">
        <f t="shared" si="43"/>
        <v>155194</v>
      </c>
      <c r="AU64" s="97">
        <f t="shared" si="44"/>
        <v>53000</v>
      </c>
      <c r="AV64" s="96">
        <f t="shared" si="45"/>
        <v>-0.658491952008454</v>
      </c>
      <c r="AW64" s="4"/>
      <c r="AX64" s="4"/>
      <c r="AY64" s="96" t="e">
        <f t="shared" si="46"/>
        <v>#DIV/0!</v>
      </c>
      <c r="AZ64" s="4">
        <f t="shared" si="47"/>
        <v>155194</v>
      </c>
      <c r="BA64" s="4">
        <f t="shared" si="48"/>
        <v>53000</v>
      </c>
      <c r="BB64" s="96">
        <f t="shared" si="49"/>
        <v>-0.658491952008454</v>
      </c>
      <c r="BC64" s="4"/>
      <c r="BD64" s="101">
        <v>59400</v>
      </c>
      <c r="BE64" s="4"/>
      <c r="BF64" s="4"/>
      <c r="BG64" s="4">
        <v>214594</v>
      </c>
      <c r="BH64" s="104">
        <f t="shared" si="50"/>
        <v>0.176666666666667</v>
      </c>
    </row>
    <row r="65" s="3" customFormat="1" customHeight="1" spans="1:60">
      <c r="A65" s="76" t="s">
        <v>409</v>
      </c>
      <c r="B65" s="77" t="s">
        <v>409</v>
      </c>
      <c r="C65" s="84" t="s">
        <v>496</v>
      </c>
      <c r="D65" s="12" t="s">
        <v>60</v>
      </c>
      <c r="E65" s="12" t="s">
        <v>60</v>
      </c>
      <c r="F65" s="12" t="s">
        <v>415</v>
      </c>
      <c r="G65" s="12" t="s">
        <v>415</v>
      </c>
      <c r="H65" s="77" t="s">
        <v>416</v>
      </c>
      <c r="I65" s="77"/>
      <c r="J65" s="4"/>
      <c r="K65" s="4"/>
      <c r="L65" s="96" t="e">
        <f t="shared" si="0"/>
        <v>#DIV/0!</v>
      </c>
      <c r="M65" s="4"/>
      <c r="N65" s="4"/>
      <c r="O65" s="96" t="e">
        <f t="shared" si="1"/>
        <v>#DIV/0!</v>
      </c>
      <c r="P65" s="4">
        <f t="shared" si="2"/>
        <v>0</v>
      </c>
      <c r="Q65" s="4">
        <f t="shared" si="3"/>
        <v>0</v>
      </c>
      <c r="R65" s="96" t="e">
        <f t="shared" si="4"/>
        <v>#DIV/0!</v>
      </c>
      <c r="S65" s="97"/>
      <c r="T65" s="97"/>
      <c r="U65" s="96" t="e">
        <f t="shared" si="5"/>
        <v>#DIV/0!</v>
      </c>
      <c r="V65" s="98">
        <f t="shared" si="6"/>
        <v>0</v>
      </c>
      <c r="W65" s="98">
        <f t="shared" si="7"/>
        <v>0</v>
      </c>
      <c r="X65" s="96" t="e">
        <f t="shared" si="8"/>
        <v>#DIV/0!</v>
      </c>
      <c r="Y65" s="4">
        <v>10260</v>
      </c>
      <c r="Z65" s="4"/>
      <c r="AA65" s="96">
        <f t="shared" si="30"/>
        <v>-1</v>
      </c>
      <c r="AB65" s="4">
        <f t="shared" si="31"/>
        <v>10260</v>
      </c>
      <c r="AC65" s="4">
        <f t="shared" si="32"/>
        <v>0</v>
      </c>
      <c r="AD65" s="96">
        <f t="shared" si="33"/>
        <v>-1</v>
      </c>
      <c r="AE65" s="4"/>
      <c r="AF65" s="4"/>
      <c r="AG65" s="96" t="e">
        <f t="shared" si="34"/>
        <v>#DIV/0!</v>
      </c>
      <c r="AH65" s="4">
        <f t="shared" si="35"/>
        <v>10260</v>
      </c>
      <c r="AI65" s="4">
        <f t="shared" si="36"/>
        <v>0</v>
      </c>
      <c r="AJ65" s="96">
        <f t="shared" si="37"/>
        <v>-1</v>
      </c>
      <c r="AK65" s="10"/>
      <c r="AL65" s="10"/>
      <c r="AM65" s="96" t="e">
        <f t="shared" si="38"/>
        <v>#DIV/0!</v>
      </c>
      <c r="AN65" s="10">
        <f t="shared" si="39"/>
        <v>10260</v>
      </c>
      <c r="AO65" s="10">
        <f t="shared" si="40"/>
        <v>0</v>
      </c>
      <c r="AP65" s="96">
        <f t="shared" si="41"/>
        <v>-1</v>
      </c>
      <c r="AQ65" s="97"/>
      <c r="AR65" s="97"/>
      <c r="AS65" s="96" t="e">
        <f t="shared" si="42"/>
        <v>#DIV/0!</v>
      </c>
      <c r="AT65" s="97">
        <f t="shared" si="43"/>
        <v>10260</v>
      </c>
      <c r="AU65" s="97">
        <f t="shared" si="44"/>
        <v>0</v>
      </c>
      <c r="AV65" s="96">
        <f t="shared" si="45"/>
        <v>-1</v>
      </c>
      <c r="AW65" s="4"/>
      <c r="AX65" s="4"/>
      <c r="AY65" s="96" t="e">
        <f t="shared" si="46"/>
        <v>#DIV/0!</v>
      </c>
      <c r="AZ65" s="4">
        <f t="shared" si="47"/>
        <v>10260</v>
      </c>
      <c r="BA65" s="4">
        <f t="shared" si="48"/>
        <v>0</v>
      </c>
      <c r="BB65" s="96">
        <f t="shared" si="49"/>
        <v>-1</v>
      </c>
      <c r="BC65" s="4"/>
      <c r="BD65" s="101"/>
      <c r="BE65" s="4"/>
      <c r="BF65" s="4"/>
      <c r="BG65" s="4">
        <v>10260</v>
      </c>
      <c r="BH65" s="104" t="e">
        <f t="shared" si="50"/>
        <v>#DIV/0!</v>
      </c>
    </row>
    <row r="66" s="3" customFormat="1" customHeight="1" spans="1:60">
      <c r="A66" s="76" t="s">
        <v>409</v>
      </c>
      <c r="B66" s="77" t="s">
        <v>409</v>
      </c>
      <c r="C66" s="84" t="s">
        <v>497</v>
      </c>
      <c r="D66" s="12" t="s">
        <v>83</v>
      </c>
      <c r="E66" s="12" t="s">
        <v>83</v>
      </c>
      <c r="F66" s="281" t="s">
        <v>429</v>
      </c>
      <c r="G66" s="12"/>
      <c r="H66" s="77" t="s">
        <v>430</v>
      </c>
      <c r="I66" s="77"/>
      <c r="J66" s="4"/>
      <c r="K66" s="4"/>
      <c r="L66" s="96"/>
      <c r="M66" s="4"/>
      <c r="N66" s="4"/>
      <c r="O66" s="96"/>
      <c r="P66" s="4"/>
      <c r="Q66" s="4"/>
      <c r="R66" s="96"/>
      <c r="S66" s="97"/>
      <c r="T66" s="97"/>
      <c r="U66" s="96"/>
      <c r="V66" s="98"/>
      <c r="W66" s="98"/>
      <c r="X66" s="96"/>
      <c r="Y66" s="4"/>
      <c r="Z66" s="4"/>
      <c r="AA66" s="96"/>
      <c r="AB66" s="4"/>
      <c r="AC66" s="4"/>
      <c r="AD66" s="96"/>
      <c r="AE66" s="4"/>
      <c r="AF66" s="4"/>
      <c r="AG66" s="96" t="e">
        <f t="shared" si="34"/>
        <v>#DIV/0!</v>
      </c>
      <c r="AH66" s="4">
        <f t="shared" si="35"/>
        <v>0</v>
      </c>
      <c r="AI66" s="4">
        <f t="shared" si="36"/>
        <v>0</v>
      </c>
      <c r="AJ66" s="96" t="e">
        <f t="shared" si="37"/>
        <v>#DIV/0!</v>
      </c>
      <c r="AK66" s="10"/>
      <c r="AL66" s="10"/>
      <c r="AM66" s="96" t="e">
        <f t="shared" si="38"/>
        <v>#DIV/0!</v>
      </c>
      <c r="AN66" s="10">
        <f t="shared" si="39"/>
        <v>0</v>
      </c>
      <c r="AO66" s="10">
        <f t="shared" si="40"/>
        <v>0</v>
      </c>
      <c r="AP66" s="96" t="e">
        <f t="shared" si="41"/>
        <v>#DIV/0!</v>
      </c>
      <c r="AQ66" s="97"/>
      <c r="AR66" s="97"/>
      <c r="AS66" s="96" t="e">
        <f t="shared" si="42"/>
        <v>#DIV/0!</v>
      </c>
      <c r="AT66" s="97">
        <f t="shared" si="43"/>
        <v>0</v>
      </c>
      <c r="AU66" s="97">
        <f t="shared" si="44"/>
        <v>0</v>
      </c>
      <c r="AV66" s="96" t="e">
        <f t="shared" si="45"/>
        <v>#DIV/0!</v>
      </c>
      <c r="AW66" s="4"/>
      <c r="AX66" s="4"/>
      <c r="AY66" s="96" t="e">
        <f t="shared" si="46"/>
        <v>#DIV/0!</v>
      </c>
      <c r="AZ66" s="4">
        <f t="shared" si="47"/>
        <v>0</v>
      </c>
      <c r="BA66" s="4">
        <f t="shared" si="48"/>
        <v>0</v>
      </c>
      <c r="BB66" s="96" t="e">
        <f t="shared" si="49"/>
        <v>#DIV/0!</v>
      </c>
      <c r="BC66" s="4"/>
      <c r="BD66" s="101"/>
      <c r="BE66" s="4"/>
      <c r="BF66" s="4"/>
      <c r="BG66" s="4"/>
      <c r="BH66" s="104" t="e">
        <f t="shared" si="50"/>
        <v>#DIV/0!</v>
      </c>
    </row>
    <row r="67" s="3" customFormat="1" customHeight="1" spans="1:60">
      <c r="A67" s="76" t="s">
        <v>409</v>
      </c>
      <c r="B67" s="77" t="s">
        <v>409</v>
      </c>
      <c r="C67" s="84" t="s">
        <v>498</v>
      </c>
      <c r="D67" s="12" t="s">
        <v>83</v>
      </c>
      <c r="E67" s="12" t="s">
        <v>83</v>
      </c>
      <c r="F67" s="12" t="s">
        <v>415</v>
      </c>
      <c r="G67" s="12" t="s">
        <v>415</v>
      </c>
      <c r="H67" s="77" t="s">
        <v>416</v>
      </c>
      <c r="I67" s="77">
        <v>120</v>
      </c>
      <c r="J67" s="4"/>
      <c r="K67" s="4">
        <v>6740</v>
      </c>
      <c r="L67" s="96" t="e">
        <f>K67/J67-1</f>
        <v>#DIV/0!</v>
      </c>
      <c r="M67" s="4"/>
      <c r="N67" s="4">
        <v>38925</v>
      </c>
      <c r="O67" s="96" t="e">
        <f>N67/M67-1</f>
        <v>#DIV/0!</v>
      </c>
      <c r="P67" s="4">
        <f>M67+J67</f>
        <v>0</v>
      </c>
      <c r="Q67" s="4">
        <f>N67+K67</f>
        <v>45665</v>
      </c>
      <c r="R67" s="96" t="e">
        <f>Q67/P67-1</f>
        <v>#DIV/0!</v>
      </c>
      <c r="S67" s="97"/>
      <c r="T67" s="97">
        <v>56110</v>
      </c>
      <c r="U67" s="96" t="e">
        <f>T67/S67-1</f>
        <v>#DIV/0!</v>
      </c>
      <c r="V67" s="98">
        <f>S67+P67</f>
        <v>0</v>
      </c>
      <c r="W67" s="98">
        <f>T67+Q67</f>
        <v>101775</v>
      </c>
      <c r="X67" s="96" t="e">
        <f>W67/V67-1</f>
        <v>#DIV/0!</v>
      </c>
      <c r="Y67" s="4"/>
      <c r="Z67" s="4">
        <v>59624</v>
      </c>
      <c r="AA67" s="96" t="e">
        <f>Z67/Y67-1</f>
        <v>#DIV/0!</v>
      </c>
      <c r="AB67" s="4">
        <f>Y67+V67</f>
        <v>0</v>
      </c>
      <c r="AC67" s="4">
        <f>Z67+W67</f>
        <v>161399</v>
      </c>
      <c r="AD67" s="96" t="e">
        <f>AC67/AB67-1</f>
        <v>#DIV/0!</v>
      </c>
      <c r="AE67" s="4">
        <v>4500</v>
      </c>
      <c r="AF67" s="4">
        <v>32576</v>
      </c>
      <c r="AG67" s="96">
        <f t="shared" si="34"/>
        <v>6.23911111111111</v>
      </c>
      <c r="AH67" s="4">
        <f t="shared" si="35"/>
        <v>4500</v>
      </c>
      <c r="AI67" s="4">
        <f t="shared" si="36"/>
        <v>193975</v>
      </c>
      <c r="AJ67" s="96">
        <f t="shared" si="37"/>
        <v>42.1055555555556</v>
      </c>
      <c r="AK67" s="10">
        <v>12300</v>
      </c>
      <c r="AL67" s="10">
        <v>70979</v>
      </c>
      <c r="AM67" s="96">
        <f t="shared" si="38"/>
        <v>4.77065040650406</v>
      </c>
      <c r="AN67" s="10">
        <f t="shared" si="39"/>
        <v>16800</v>
      </c>
      <c r="AO67" s="10">
        <f t="shared" si="40"/>
        <v>264954</v>
      </c>
      <c r="AP67" s="96">
        <f t="shared" si="41"/>
        <v>14.7710714285714</v>
      </c>
      <c r="AQ67" s="97">
        <v>35850</v>
      </c>
      <c r="AR67" s="97">
        <v>17770</v>
      </c>
      <c r="AS67" s="96">
        <f t="shared" si="42"/>
        <v>-0.504323570432357</v>
      </c>
      <c r="AT67" s="97">
        <f t="shared" si="43"/>
        <v>52650</v>
      </c>
      <c r="AU67" s="97">
        <f t="shared" si="44"/>
        <v>282724</v>
      </c>
      <c r="AV67" s="96">
        <f t="shared" si="45"/>
        <v>4.36987654320988</v>
      </c>
      <c r="AW67" s="4">
        <v>28830</v>
      </c>
      <c r="AX67" s="4">
        <v>42102</v>
      </c>
      <c r="AY67" s="96">
        <f t="shared" si="46"/>
        <v>0.460353798126951</v>
      </c>
      <c r="AZ67" s="4">
        <f t="shared" si="47"/>
        <v>81480</v>
      </c>
      <c r="BA67" s="4">
        <f t="shared" si="48"/>
        <v>324826</v>
      </c>
      <c r="BB67" s="96">
        <f t="shared" si="49"/>
        <v>2.9865733922435</v>
      </c>
      <c r="BC67" s="4">
        <v>130174</v>
      </c>
      <c r="BD67" s="101">
        <v>240921.4</v>
      </c>
      <c r="BE67" s="4">
        <v>102826</v>
      </c>
      <c r="BF67" s="4">
        <v>67749</v>
      </c>
      <c r="BG67" s="4">
        <v>623150.4</v>
      </c>
      <c r="BH67" s="104">
        <f t="shared" si="50"/>
        <v>0.270688333333333</v>
      </c>
    </row>
    <row r="68" s="3" customFormat="1" customHeight="1" spans="1:60">
      <c r="A68" s="76" t="s">
        <v>409</v>
      </c>
      <c r="B68" s="77" t="s">
        <v>409</v>
      </c>
      <c r="C68" s="84" t="s">
        <v>499</v>
      </c>
      <c r="D68" s="12" t="s">
        <v>60</v>
      </c>
      <c r="E68" s="12" t="s">
        <v>60</v>
      </c>
      <c r="F68" s="12" t="s">
        <v>415</v>
      </c>
      <c r="G68" s="12" t="s">
        <v>415</v>
      </c>
      <c r="H68" s="77" t="s">
        <v>416</v>
      </c>
      <c r="I68" s="77"/>
      <c r="J68" s="4"/>
      <c r="K68" s="4"/>
      <c r="L68" s="96" t="e">
        <f>K68/J68-1</f>
        <v>#DIV/0!</v>
      </c>
      <c r="M68" s="4"/>
      <c r="N68" s="4"/>
      <c r="O68" s="96" t="e">
        <f>N68/M68-1</f>
        <v>#DIV/0!</v>
      </c>
      <c r="P68" s="4">
        <f>M68+J68</f>
        <v>0</v>
      </c>
      <c r="Q68" s="4">
        <f>N68+K68</f>
        <v>0</v>
      </c>
      <c r="R68" s="96" t="e">
        <f>Q68/P68-1</f>
        <v>#DIV/0!</v>
      </c>
      <c r="S68" s="97"/>
      <c r="T68" s="97"/>
      <c r="U68" s="96" t="e">
        <f>T68/S68-1</f>
        <v>#DIV/0!</v>
      </c>
      <c r="V68" s="98">
        <f>S68+P68</f>
        <v>0</v>
      </c>
      <c r="W68" s="98">
        <f>T68+Q68</f>
        <v>0</v>
      </c>
      <c r="X68" s="96" t="e">
        <f>W68/V68-1</f>
        <v>#DIV/0!</v>
      </c>
      <c r="Y68" s="4"/>
      <c r="Z68" s="4"/>
      <c r="AA68" s="96" t="e">
        <f>Z68/Y68-1</f>
        <v>#DIV/0!</v>
      </c>
      <c r="AB68" s="4">
        <f>Y68+V68</f>
        <v>0</v>
      </c>
      <c r="AC68" s="4">
        <f>Z68+W68</f>
        <v>0</v>
      </c>
      <c r="AD68" s="96" t="e">
        <f>AC68/AB68-1</f>
        <v>#DIV/0!</v>
      </c>
      <c r="AE68" s="4"/>
      <c r="AF68" s="4"/>
      <c r="AG68" s="96" t="e">
        <f t="shared" si="34"/>
        <v>#DIV/0!</v>
      </c>
      <c r="AH68" s="4">
        <f t="shared" si="35"/>
        <v>0</v>
      </c>
      <c r="AI68" s="4">
        <f t="shared" si="36"/>
        <v>0</v>
      </c>
      <c r="AJ68" s="96" t="e">
        <f t="shared" si="37"/>
        <v>#DIV/0!</v>
      </c>
      <c r="AK68" s="10">
        <v>10000</v>
      </c>
      <c r="AL68" s="10"/>
      <c r="AM68" s="96">
        <f t="shared" si="38"/>
        <v>-1</v>
      </c>
      <c r="AN68" s="10">
        <f t="shared" si="39"/>
        <v>10000</v>
      </c>
      <c r="AO68" s="10">
        <f t="shared" si="40"/>
        <v>0</v>
      </c>
      <c r="AP68" s="96">
        <f t="shared" si="41"/>
        <v>-1</v>
      </c>
      <c r="AQ68" s="97"/>
      <c r="AR68" s="97"/>
      <c r="AS68" s="96" t="e">
        <f t="shared" ref="AS68:AS84" si="51">AR68/AQ68-1</f>
        <v>#DIV/0!</v>
      </c>
      <c r="AT68" s="97">
        <f t="shared" ref="AT68:AT84" si="52">AQ68+AN68</f>
        <v>10000</v>
      </c>
      <c r="AU68" s="97">
        <f t="shared" ref="AU68:AU84" si="53">AR68+AO68</f>
        <v>0</v>
      </c>
      <c r="AV68" s="96">
        <f t="shared" ref="AV68:AV84" si="54">AU68/AT68-1</f>
        <v>-1</v>
      </c>
      <c r="AW68" s="4"/>
      <c r="AX68" s="4">
        <v>16200</v>
      </c>
      <c r="AY68" s="96" t="e">
        <f t="shared" ref="AY68:AY84" si="55">AX68/AW68-1</f>
        <v>#DIV/0!</v>
      </c>
      <c r="AZ68" s="4">
        <f t="shared" ref="AZ68:AZ84" si="56">AW68+AT68</f>
        <v>10000</v>
      </c>
      <c r="BA68" s="4">
        <f t="shared" ref="BA68:BA84" si="57">AX68+AU68</f>
        <v>16200</v>
      </c>
      <c r="BB68" s="96">
        <f t="shared" ref="BB68:BB84" si="58">BA68/AZ68-1</f>
        <v>0.62</v>
      </c>
      <c r="BC68" s="4"/>
      <c r="BD68" s="101"/>
      <c r="BE68" s="4"/>
      <c r="BF68" s="4"/>
      <c r="BG68" s="4">
        <v>10000</v>
      </c>
      <c r="BH68" s="104" t="e">
        <f t="shared" ref="BH68:BH84" si="59">BA68/10000/I68</f>
        <v>#DIV/0!</v>
      </c>
    </row>
    <row r="69" s="3" customFormat="1" customHeight="1" spans="1:60">
      <c r="A69" s="76" t="s">
        <v>409</v>
      </c>
      <c r="B69" s="77" t="s">
        <v>409</v>
      </c>
      <c r="C69" s="84" t="s">
        <v>500</v>
      </c>
      <c r="D69" s="12" t="s">
        <v>83</v>
      </c>
      <c r="E69" s="12" t="s">
        <v>83</v>
      </c>
      <c r="F69" s="281" t="s">
        <v>411</v>
      </c>
      <c r="G69" s="281" t="s">
        <v>411</v>
      </c>
      <c r="H69" s="77" t="s">
        <v>412</v>
      </c>
      <c r="I69" s="77"/>
      <c r="J69" s="4"/>
      <c r="K69" s="4"/>
      <c r="L69" s="96" t="e">
        <f>K69/J69-1</f>
        <v>#DIV/0!</v>
      </c>
      <c r="M69" s="4"/>
      <c r="N69" s="4"/>
      <c r="O69" s="96" t="e">
        <f>N69/M69-1</f>
        <v>#DIV/0!</v>
      </c>
      <c r="P69" s="4">
        <f>M69+J69</f>
        <v>0</v>
      </c>
      <c r="Q69" s="4">
        <f>N69+K69</f>
        <v>0</v>
      </c>
      <c r="R69" s="96" t="e">
        <f>Q69/P69-1</f>
        <v>#DIV/0!</v>
      </c>
      <c r="S69" s="97"/>
      <c r="T69" s="97"/>
      <c r="U69" s="96" t="e">
        <f>T69/S69-1</f>
        <v>#DIV/0!</v>
      </c>
      <c r="V69" s="98">
        <f>S69+P69</f>
        <v>0</v>
      </c>
      <c r="W69" s="98">
        <f>T69+Q69</f>
        <v>0</v>
      </c>
      <c r="X69" s="96" t="e">
        <f>W69/V69-1</f>
        <v>#DIV/0!</v>
      </c>
      <c r="Y69" s="4"/>
      <c r="Z69" s="4"/>
      <c r="AA69" s="96" t="e">
        <f>Z69/Y69-1</f>
        <v>#DIV/0!</v>
      </c>
      <c r="AB69" s="4">
        <f>Y69+V69</f>
        <v>0</v>
      </c>
      <c r="AC69" s="4">
        <f>Z69+W69</f>
        <v>0</v>
      </c>
      <c r="AD69" s="96" t="e">
        <f>AC69/AB69-1</f>
        <v>#DIV/0!</v>
      </c>
      <c r="AE69" s="4"/>
      <c r="AF69" s="4"/>
      <c r="AG69" s="96" t="e">
        <f t="shared" si="34"/>
        <v>#DIV/0!</v>
      </c>
      <c r="AH69" s="4">
        <f t="shared" si="35"/>
        <v>0</v>
      </c>
      <c r="AI69" s="4">
        <f t="shared" si="36"/>
        <v>0</v>
      </c>
      <c r="AJ69" s="96" t="e">
        <f t="shared" si="37"/>
        <v>#DIV/0!</v>
      </c>
      <c r="AK69" s="10">
        <v>2700</v>
      </c>
      <c r="AL69" s="10"/>
      <c r="AM69" s="96">
        <f t="shared" si="38"/>
        <v>-1</v>
      </c>
      <c r="AN69" s="10">
        <f t="shared" si="39"/>
        <v>2700</v>
      </c>
      <c r="AO69" s="10">
        <f t="shared" si="40"/>
        <v>0</v>
      </c>
      <c r="AP69" s="96">
        <f t="shared" si="41"/>
        <v>-1</v>
      </c>
      <c r="AQ69" s="97">
        <v>2900</v>
      </c>
      <c r="AR69" s="97"/>
      <c r="AS69" s="96">
        <f t="shared" si="51"/>
        <v>-1</v>
      </c>
      <c r="AT69" s="97">
        <f t="shared" si="52"/>
        <v>5600</v>
      </c>
      <c r="AU69" s="97">
        <f t="shared" si="53"/>
        <v>0</v>
      </c>
      <c r="AV69" s="96">
        <f t="shared" si="54"/>
        <v>-1</v>
      </c>
      <c r="AW69" s="4">
        <v>30150</v>
      </c>
      <c r="AX69" s="4"/>
      <c r="AY69" s="96">
        <f t="shared" si="55"/>
        <v>-1</v>
      </c>
      <c r="AZ69" s="4">
        <f t="shared" si="56"/>
        <v>35750</v>
      </c>
      <c r="BA69" s="4">
        <f t="shared" si="57"/>
        <v>0</v>
      </c>
      <c r="BB69" s="96">
        <f t="shared" si="58"/>
        <v>-1</v>
      </c>
      <c r="BC69" s="4">
        <v>77941</v>
      </c>
      <c r="BD69" s="101">
        <v>169211</v>
      </c>
      <c r="BE69" s="4">
        <v>0</v>
      </c>
      <c r="BF69" s="4"/>
      <c r="BG69" s="4">
        <v>282902</v>
      </c>
      <c r="BH69" s="104" t="e">
        <f t="shared" si="59"/>
        <v>#DIV/0!</v>
      </c>
    </row>
    <row r="70" s="3" customFormat="1" customHeight="1" spans="1:60">
      <c r="A70" s="76" t="s">
        <v>409</v>
      </c>
      <c r="B70" s="77" t="s">
        <v>409</v>
      </c>
      <c r="C70" s="84" t="s">
        <v>501</v>
      </c>
      <c r="D70" s="12" t="s">
        <v>64</v>
      </c>
      <c r="E70" s="12" t="s">
        <v>64</v>
      </c>
      <c r="F70" s="281" t="s">
        <v>411</v>
      </c>
      <c r="G70" s="281" t="s">
        <v>411</v>
      </c>
      <c r="H70" s="77" t="s">
        <v>412</v>
      </c>
      <c r="I70" s="77">
        <v>80</v>
      </c>
      <c r="J70" s="4"/>
      <c r="K70" s="4">
        <v>82267</v>
      </c>
      <c r="L70" s="96" t="e">
        <f>K70/J70-1</f>
        <v>#DIV/0!</v>
      </c>
      <c r="M70" s="4"/>
      <c r="N70" s="4">
        <v>58370</v>
      </c>
      <c r="O70" s="96" t="e">
        <f>N70/M70-1</f>
        <v>#DIV/0!</v>
      </c>
      <c r="P70" s="4">
        <f>M70+J70</f>
        <v>0</v>
      </c>
      <c r="Q70" s="4">
        <f>N70+K70</f>
        <v>140637</v>
      </c>
      <c r="R70" s="96" t="e">
        <f>Q70/P70-1</f>
        <v>#DIV/0!</v>
      </c>
      <c r="S70" s="97"/>
      <c r="T70" s="97">
        <v>173051.5</v>
      </c>
      <c r="U70" s="96" t="e">
        <f>T70/S70-1</f>
        <v>#DIV/0!</v>
      </c>
      <c r="V70" s="98">
        <f>S70+P70</f>
        <v>0</v>
      </c>
      <c r="W70" s="98">
        <f>T70+Q70</f>
        <v>313688.5</v>
      </c>
      <c r="X70" s="96" t="e">
        <f>W70/V70-1</f>
        <v>#DIV/0!</v>
      </c>
      <c r="Y70" s="4"/>
      <c r="Z70" s="4">
        <v>162945</v>
      </c>
      <c r="AA70" s="96" t="e">
        <f>Z70/Y70-1</f>
        <v>#DIV/0!</v>
      </c>
      <c r="AB70" s="4">
        <f>Y70+V70</f>
        <v>0</v>
      </c>
      <c r="AC70" s="4">
        <f>Z70+W70</f>
        <v>476633.5</v>
      </c>
      <c r="AD70" s="96" t="e">
        <f>AC70/AB70-1</f>
        <v>#DIV/0!</v>
      </c>
      <c r="AE70" s="4"/>
      <c r="AF70" s="4">
        <v>128305.5</v>
      </c>
      <c r="AG70" s="96" t="e">
        <f t="shared" si="34"/>
        <v>#DIV/0!</v>
      </c>
      <c r="AH70" s="4">
        <f t="shared" si="35"/>
        <v>0</v>
      </c>
      <c r="AI70" s="4">
        <f t="shared" si="36"/>
        <v>604939</v>
      </c>
      <c r="AJ70" s="96" t="e">
        <f t="shared" si="37"/>
        <v>#DIV/0!</v>
      </c>
      <c r="AK70" s="10"/>
      <c r="AL70" s="10">
        <v>186310.5</v>
      </c>
      <c r="AM70" s="96" t="e">
        <f t="shared" si="38"/>
        <v>#DIV/0!</v>
      </c>
      <c r="AN70" s="10">
        <f t="shared" si="39"/>
        <v>0</v>
      </c>
      <c r="AO70" s="10">
        <f t="shared" si="40"/>
        <v>791249.5</v>
      </c>
      <c r="AP70" s="96" t="e">
        <f t="shared" si="41"/>
        <v>#DIV/0!</v>
      </c>
      <c r="AQ70" s="97"/>
      <c r="AR70" s="97">
        <v>121999</v>
      </c>
      <c r="AS70" s="96" t="e">
        <f t="shared" si="51"/>
        <v>#DIV/0!</v>
      </c>
      <c r="AT70" s="97">
        <f t="shared" si="52"/>
        <v>0</v>
      </c>
      <c r="AU70" s="97">
        <f t="shared" si="53"/>
        <v>913248.5</v>
      </c>
      <c r="AV70" s="96" t="e">
        <f t="shared" si="54"/>
        <v>#DIV/0!</v>
      </c>
      <c r="AW70" s="4"/>
      <c r="AX70" s="4">
        <v>192638</v>
      </c>
      <c r="AY70" s="96" t="e">
        <f t="shared" si="55"/>
        <v>#DIV/0!</v>
      </c>
      <c r="AZ70" s="4">
        <f t="shared" si="56"/>
        <v>0</v>
      </c>
      <c r="BA70" s="4">
        <f t="shared" si="57"/>
        <v>1105886.5</v>
      </c>
      <c r="BB70" s="96" t="e">
        <f t="shared" si="58"/>
        <v>#DIV/0!</v>
      </c>
      <c r="BC70" s="4"/>
      <c r="BD70" s="101"/>
      <c r="BE70" s="4">
        <v>188546.2</v>
      </c>
      <c r="BF70" s="4">
        <v>267247.95</v>
      </c>
      <c r="BG70" s="4">
        <v>455794.15</v>
      </c>
      <c r="BH70" s="104">
        <f t="shared" si="59"/>
        <v>1.382358125</v>
      </c>
    </row>
    <row r="71" s="3" customFormat="1" customHeight="1" spans="1:60">
      <c r="A71" s="76" t="s">
        <v>409</v>
      </c>
      <c r="B71" s="77" t="s">
        <v>409</v>
      </c>
      <c r="C71" s="84" t="s">
        <v>118</v>
      </c>
      <c r="D71" s="12" t="s">
        <v>60</v>
      </c>
      <c r="E71" s="12" t="s">
        <v>60</v>
      </c>
      <c r="F71" s="12" t="s">
        <v>423</v>
      </c>
      <c r="G71" s="12"/>
      <c r="H71" s="77" t="s">
        <v>412</v>
      </c>
      <c r="I71" s="77"/>
      <c r="J71" s="4"/>
      <c r="K71" s="4"/>
      <c r="L71" s="96" t="e">
        <f>K71/J71-1</f>
        <v>#DIV/0!</v>
      </c>
      <c r="M71" s="4"/>
      <c r="N71" s="4"/>
      <c r="O71" s="96" t="e">
        <f>N71/M71-1</f>
        <v>#DIV/0!</v>
      </c>
      <c r="P71" s="4">
        <f>M71+J71</f>
        <v>0</v>
      </c>
      <c r="Q71" s="4">
        <f>N71+K71</f>
        <v>0</v>
      </c>
      <c r="R71" s="96" t="e">
        <f>Q71/P71-1</f>
        <v>#DIV/0!</v>
      </c>
      <c r="S71" s="97"/>
      <c r="T71" s="97"/>
      <c r="U71" s="96" t="e">
        <f>T71/S71-1</f>
        <v>#DIV/0!</v>
      </c>
      <c r="V71" s="98">
        <f>S71+P71</f>
        <v>0</v>
      </c>
      <c r="W71" s="98">
        <f>T71+Q71</f>
        <v>0</v>
      </c>
      <c r="X71" s="96" t="e">
        <f>W71/V71-1</f>
        <v>#DIV/0!</v>
      </c>
      <c r="Y71" s="4"/>
      <c r="Z71" s="4"/>
      <c r="AA71" s="96" t="e">
        <f>Z71/Y71-1</f>
        <v>#DIV/0!</v>
      </c>
      <c r="AB71" s="4">
        <f>Y71+V71</f>
        <v>0</v>
      </c>
      <c r="AC71" s="4">
        <f>Z71+W71</f>
        <v>0</v>
      </c>
      <c r="AD71" s="96" t="e">
        <f>AC71/AB71-1</f>
        <v>#DIV/0!</v>
      </c>
      <c r="AE71" s="4"/>
      <c r="AF71" s="4"/>
      <c r="AG71" s="96" t="e">
        <f t="shared" si="34"/>
        <v>#DIV/0!</v>
      </c>
      <c r="AH71" s="4">
        <f t="shared" si="35"/>
        <v>0</v>
      </c>
      <c r="AI71" s="4">
        <f t="shared" si="36"/>
        <v>0</v>
      </c>
      <c r="AJ71" s="96" t="e">
        <f t="shared" si="37"/>
        <v>#DIV/0!</v>
      </c>
      <c r="AK71" s="10"/>
      <c r="AL71" s="10"/>
      <c r="AM71" s="96" t="e">
        <f t="shared" si="38"/>
        <v>#DIV/0!</v>
      </c>
      <c r="AN71" s="10">
        <f t="shared" si="39"/>
        <v>0</v>
      </c>
      <c r="AO71" s="10">
        <f t="shared" si="40"/>
        <v>0</v>
      </c>
      <c r="AP71" s="96" t="e">
        <f t="shared" si="41"/>
        <v>#DIV/0!</v>
      </c>
      <c r="AQ71" s="97"/>
      <c r="AR71" s="97"/>
      <c r="AS71" s="96" t="e">
        <f t="shared" si="51"/>
        <v>#DIV/0!</v>
      </c>
      <c r="AT71" s="97">
        <f t="shared" si="52"/>
        <v>0</v>
      </c>
      <c r="AU71" s="97">
        <f t="shared" si="53"/>
        <v>0</v>
      </c>
      <c r="AV71" s="96" t="e">
        <f t="shared" si="54"/>
        <v>#DIV/0!</v>
      </c>
      <c r="AW71" s="4"/>
      <c r="AX71" s="4"/>
      <c r="AY71" s="96" t="e">
        <f t="shared" si="55"/>
        <v>#DIV/0!</v>
      </c>
      <c r="AZ71" s="4">
        <f t="shared" si="56"/>
        <v>0</v>
      </c>
      <c r="BA71" s="4">
        <f t="shared" si="57"/>
        <v>0</v>
      </c>
      <c r="BB71" s="96" t="e">
        <f t="shared" si="58"/>
        <v>#DIV/0!</v>
      </c>
      <c r="BC71" s="4">
        <v>1859.2</v>
      </c>
      <c r="BD71" s="101">
        <v>4397.67</v>
      </c>
      <c r="BE71" s="4"/>
      <c r="BF71" s="4">
        <v>11711.6</v>
      </c>
      <c r="BG71" s="4">
        <v>17968.47</v>
      </c>
      <c r="BH71" s="104" t="e">
        <f t="shared" si="59"/>
        <v>#DIV/0!</v>
      </c>
    </row>
    <row r="72" s="3" customFormat="1" customHeight="1" spans="1:60">
      <c r="A72" s="76" t="s">
        <v>409</v>
      </c>
      <c r="B72" s="77" t="s">
        <v>409</v>
      </c>
      <c r="C72" s="84" t="s">
        <v>502</v>
      </c>
      <c r="D72" s="12" t="s">
        <v>60</v>
      </c>
      <c r="E72" s="12" t="s">
        <v>60</v>
      </c>
      <c r="F72" s="12" t="s">
        <v>476</v>
      </c>
      <c r="G72" s="12"/>
      <c r="H72" s="77" t="s">
        <v>452</v>
      </c>
      <c r="I72" s="77">
        <v>40</v>
      </c>
      <c r="J72" s="4"/>
      <c r="K72" s="4"/>
      <c r="L72" s="96"/>
      <c r="M72" s="4"/>
      <c r="N72" s="4"/>
      <c r="O72" s="96"/>
      <c r="P72" s="4"/>
      <c r="Q72" s="4"/>
      <c r="R72" s="96"/>
      <c r="S72" s="97"/>
      <c r="T72" s="97"/>
      <c r="U72" s="96"/>
      <c r="V72" s="98"/>
      <c r="W72" s="98"/>
      <c r="X72" s="96"/>
      <c r="Y72" s="4"/>
      <c r="Z72" s="4"/>
      <c r="AA72" s="96"/>
      <c r="AB72" s="4"/>
      <c r="AC72" s="4"/>
      <c r="AD72" s="96"/>
      <c r="AE72" s="4"/>
      <c r="AF72" s="4"/>
      <c r="AG72" s="96" t="e">
        <f t="shared" si="34"/>
        <v>#DIV/0!</v>
      </c>
      <c r="AH72" s="4">
        <f t="shared" si="35"/>
        <v>0</v>
      </c>
      <c r="AI72" s="4">
        <f t="shared" si="36"/>
        <v>0</v>
      </c>
      <c r="AJ72" s="96" t="e">
        <f t="shared" si="37"/>
        <v>#DIV/0!</v>
      </c>
      <c r="AK72" s="10"/>
      <c r="AL72" s="10"/>
      <c r="AM72" s="96" t="e">
        <f t="shared" si="38"/>
        <v>#DIV/0!</v>
      </c>
      <c r="AN72" s="10">
        <f t="shared" si="39"/>
        <v>0</v>
      </c>
      <c r="AO72" s="10">
        <f t="shared" si="40"/>
        <v>0</v>
      </c>
      <c r="AP72" s="96" t="e">
        <f t="shared" si="41"/>
        <v>#DIV/0!</v>
      </c>
      <c r="AQ72" s="97"/>
      <c r="AR72" s="97"/>
      <c r="AS72" s="96" t="e">
        <f t="shared" si="51"/>
        <v>#DIV/0!</v>
      </c>
      <c r="AT72" s="97">
        <f t="shared" si="52"/>
        <v>0</v>
      </c>
      <c r="AU72" s="97">
        <f t="shared" si="53"/>
        <v>0</v>
      </c>
      <c r="AV72" s="96" t="e">
        <f t="shared" si="54"/>
        <v>#DIV/0!</v>
      </c>
      <c r="AW72" s="4"/>
      <c r="AX72" s="4"/>
      <c r="AY72" s="96" t="e">
        <f t="shared" si="55"/>
        <v>#DIV/0!</v>
      </c>
      <c r="AZ72" s="4">
        <f t="shared" si="56"/>
        <v>0</v>
      </c>
      <c r="BA72" s="4">
        <f t="shared" si="57"/>
        <v>0</v>
      </c>
      <c r="BB72" s="96" t="e">
        <f t="shared" si="58"/>
        <v>#DIV/0!</v>
      </c>
      <c r="BC72" s="4"/>
      <c r="BD72" s="101"/>
      <c r="BE72" s="4"/>
      <c r="BF72" s="4"/>
      <c r="BG72" s="4"/>
      <c r="BH72" s="104">
        <f t="shared" si="59"/>
        <v>0</v>
      </c>
    </row>
    <row r="73" s="3" customFormat="1" customHeight="1" spans="1:60">
      <c r="A73" s="76" t="s">
        <v>409</v>
      </c>
      <c r="B73" s="77" t="s">
        <v>409</v>
      </c>
      <c r="C73" s="84" t="s">
        <v>503</v>
      </c>
      <c r="D73" s="12" t="s">
        <v>60</v>
      </c>
      <c r="E73" s="12" t="s">
        <v>60</v>
      </c>
      <c r="F73" s="12" t="s">
        <v>476</v>
      </c>
      <c r="G73" s="12"/>
      <c r="H73" s="77" t="s">
        <v>452</v>
      </c>
      <c r="I73" s="77">
        <v>0</v>
      </c>
      <c r="J73" s="4"/>
      <c r="K73" s="4"/>
      <c r="L73" s="96"/>
      <c r="M73" s="4"/>
      <c r="N73" s="4"/>
      <c r="O73" s="96"/>
      <c r="P73" s="4"/>
      <c r="Q73" s="4"/>
      <c r="R73" s="96"/>
      <c r="S73" s="97"/>
      <c r="T73" s="97"/>
      <c r="U73" s="96"/>
      <c r="V73" s="98"/>
      <c r="W73" s="98"/>
      <c r="X73" s="96"/>
      <c r="Y73" s="4"/>
      <c r="Z73" s="4"/>
      <c r="AA73" s="96"/>
      <c r="AB73" s="4"/>
      <c r="AC73" s="4"/>
      <c r="AD73" s="96"/>
      <c r="AE73" s="4"/>
      <c r="AF73" s="4"/>
      <c r="AG73" s="96" t="e">
        <f t="shared" si="34"/>
        <v>#DIV/0!</v>
      </c>
      <c r="AH73" s="4">
        <f t="shared" si="35"/>
        <v>0</v>
      </c>
      <c r="AI73" s="4">
        <f t="shared" si="36"/>
        <v>0</v>
      </c>
      <c r="AJ73" s="96" t="e">
        <f t="shared" si="37"/>
        <v>#DIV/0!</v>
      </c>
      <c r="AK73" s="10"/>
      <c r="AL73" s="10"/>
      <c r="AM73" s="96" t="e">
        <f t="shared" si="38"/>
        <v>#DIV/0!</v>
      </c>
      <c r="AN73" s="10">
        <f t="shared" si="39"/>
        <v>0</v>
      </c>
      <c r="AO73" s="10">
        <f t="shared" si="40"/>
        <v>0</v>
      </c>
      <c r="AP73" s="96" t="e">
        <f t="shared" si="41"/>
        <v>#DIV/0!</v>
      </c>
      <c r="AQ73" s="97"/>
      <c r="AR73" s="97"/>
      <c r="AS73" s="96" t="e">
        <f t="shared" si="51"/>
        <v>#DIV/0!</v>
      </c>
      <c r="AT73" s="97">
        <f t="shared" si="52"/>
        <v>0</v>
      </c>
      <c r="AU73" s="97">
        <f t="shared" si="53"/>
        <v>0</v>
      </c>
      <c r="AV73" s="96" t="e">
        <f t="shared" si="54"/>
        <v>#DIV/0!</v>
      </c>
      <c r="AW73" s="4"/>
      <c r="AX73" s="4"/>
      <c r="AY73" s="96" t="e">
        <f t="shared" si="55"/>
        <v>#DIV/0!</v>
      </c>
      <c r="AZ73" s="4">
        <f t="shared" si="56"/>
        <v>0</v>
      </c>
      <c r="BA73" s="4">
        <f t="shared" si="57"/>
        <v>0</v>
      </c>
      <c r="BB73" s="96" t="e">
        <f t="shared" si="58"/>
        <v>#DIV/0!</v>
      </c>
      <c r="BC73" s="4"/>
      <c r="BD73" s="101"/>
      <c r="BE73" s="4"/>
      <c r="BF73" s="4"/>
      <c r="BG73" s="4"/>
      <c r="BH73" s="104" t="e">
        <f t="shared" si="59"/>
        <v>#DIV/0!</v>
      </c>
    </row>
    <row r="74" s="3" customFormat="1" customHeight="1" spans="1:60">
      <c r="A74" s="76" t="s">
        <v>409</v>
      </c>
      <c r="B74" s="77" t="s">
        <v>409</v>
      </c>
      <c r="C74" s="84" t="s">
        <v>504</v>
      </c>
      <c r="D74" s="12" t="s">
        <v>60</v>
      </c>
      <c r="E74" s="12" t="s">
        <v>60</v>
      </c>
      <c r="F74" s="281" t="s">
        <v>411</v>
      </c>
      <c r="G74" s="281" t="s">
        <v>411</v>
      </c>
      <c r="H74" s="77" t="s">
        <v>412</v>
      </c>
      <c r="I74" s="77">
        <v>10</v>
      </c>
      <c r="J74" s="4"/>
      <c r="K74" s="4"/>
      <c r="L74" s="96" t="e">
        <f>K74/J74-1</f>
        <v>#DIV/0!</v>
      </c>
      <c r="M74" s="4"/>
      <c r="N74" s="4"/>
      <c r="O74" s="96" t="e">
        <f>N74/M74-1</f>
        <v>#DIV/0!</v>
      </c>
      <c r="P74" s="4">
        <f>M74+J74</f>
        <v>0</v>
      </c>
      <c r="Q74" s="4">
        <f>N74+K74</f>
        <v>0</v>
      </c>
      <c r="R74" s="96" t="e">
        <f>Q74/P74-1</f>
        <v>#DIV/0!</v>
      </c>
      <c r="S74" s="97"/>
      <c r="T74" s="97"/>
      <c r="U74" s="96" t="e">
        <f>T74/S74-1</f>
        <v>#DIV/0!</v>
      </c>
      <c r="V74" s="98">
        <f>S74+P74</f>
        <v>0</v>
      </c>
      <c r="W74" s="98">
        <f>T74+Q74</f>
        <v>0</v>
      </c>
      <c r="X74" s="96" t="e">
        <f>W74/V74-1</f>
        <v>#DIV/0!</v>
      </c>
      <c r="Y74" s="4"/>
      <c r="Z74" s="4"/>
      <c r="AA74" s="96" t="e">
        <f>Z74/Y74-1</f>
        <v>#DIV/0!</v>
      </c>
      <c r="AB74" s="4">
        <f>Y74+V74</f>
        <v>0</v>
      </c>
      <c r="AC74" s="4">
        <f>Z74+W74</f>
        <v>0</v>
      </c>
      <c r="AD74" s="96" t="e">
        <f>AC74/AB74-1</f>
        <v>#DIV/0!</v>
      </c>
      <c r="AE74" s="4"/>
      <c r="AF74" s="4"/>
      <c r="AG74" s="96" t="e">
        <f t="shared" si="34"/>
        <v>#DIV/0!</v>
      </c>
      <c r="AH74" s="4">
        <f t="shared" si="35"/>
        <v>0</v>
      </c>
      <c r="AI74" s="4">
        <f t="shared" si="36"/>
        <v>0</v>
      </c>
      <c r="AJ74" s="96" t="e">
        <f t="shared" si="37"/>
        <v>#DIV/0!</v>
      </c>
      <c r="AK74" s="10"/>
      <c r="AL74" s="10"/>
      <c r="AM74" s="96" t="e">
        <f t="shared" si="38"/>
        <v>#DIV/0!</v>
      </c>
      <c r="AN74" s="10">
        <f t="shared" si="39"/>
        <v>0</v>
      </c>
      <c r="AO74" s="10">
        <f t="shared" si="40"/>
        <v>0</v>
      </c>
      <c r="AP74" s="96" t="e">
        <f t="shared" si="41"/>
        <v>#DIV/0!</v>
      </c>
      <c r="AQ74" s="97"/>
      <c r="AR74" s="97"/>
      <c r="AS74" s="96" t="e">
        <f t="shared" si="51"/>
        <v>#DIV/0!</v>
      </c>
      <c r="AT74" s="97">
        <f t="shared" si="52"/>
        <v>0</v>
      </c>
      <c r="AU74" s="97">
        <f t="shared" si="53"/>
        <v>0</v>
      </c>
      <c r="AV74" s="96" t="e">
        <f t="shared" si="54"/>
        <v>#DIV/0!</v>
      </c>
      <c r="AW74" s="4"/>
      <c r="AX74" s="4"/>
      <c r="AY74" s="96" t="e">
        <f t="shared" si="55"/>
        <v>#DIV/0!</v>
      </c>
      <c r="AZ74" s="4">
        <f t="shared" si="56"/>
        <v>0</v>
      </c>
      <c r="BA74" s="4">
        <f t="shared" si="57"/>
        <v>0</v>
      </c>
      <c r="BB74" s="96" t="e">
        <f t="shared" si="58"/>
        <v>#DIV/0!</v>
      </c>
      <c r="BC74" s="4"/>
      <c r="BD74" s="101"/>
      <c r="BE74" s="4">
        <v>2200</v>
      </c>
      <c r="BF74" s="4"/>
      <c r="BG74" s="4">
        <v>2200</v>
      </c>
      <c r="BH74" s="104">
        <f t="shared" si="59"/>
        <v>0</v>
      </c>
    </row>
    <row r="75" s="3" customFormat="1" customHeight="1" spans="1:60">
      <c r="A75" s="76" t="s">
        <v>409</v>
      </c>
      <c r="B75" s="77" t="s">
        <v>409</v>
      </c>
      <c r="C75" s="105" t="s">
        <v>505</v>
      </c>
      <c r="D75" s="12" t="s">
        <v>60</v>
      </c>
      <c r="E75" s="12" t="s">
        <v>60</v>
      </c>
      <c r="F75" s="12" t="s">
        <v>459</v>
      </c>
      <c r="G75" s="12"/>
      <c r="H75" s="77" t="s">
        <v>430</v>
      </c>
      <c r="I75" s="108">
        <v>20</v>
      </c>
      <c r="J75" s="4"/>
      <c r="K75" s="4"/>
      <c r="L75" s="96"/>
      <c r="M75" s="4"/>
      <c r="N75" s="4"/>
      <c r="O75" s="96"/>
      <c r="P75" s="4"/>
      <c r="Q75" s="4"/>
      <c r="R75" s="96"/>
      <c r="S75" s="97"/>
      <c r="T75" s="97"/>
      <c r="U75" s="96"/>
      <c r="V75" s="98"/>
      <c r="W75" s="98"/>
      <c r="X75" s="96"/>
      <c r="Y75" s="4"/>
      <c r="Z75" s="4"/>
      <c r="AA75" s="96"/>
      <c r="AB75" s="4"/>
      <c r="AC75" s="4"/>
      <c r="AD75" s="96"/>
      <c r="AE75" s="4"/>
      <c r="AF75" s="4"/>
      <c r="AG75" s="96" t="e">
        <f t="shared" si="34"/>
        <v>#DIV/0!</v>
      </c>
      <c r="AH75" s="4">
        <f t="shared" si="35"/>
        <v>0</v>
      </c>
      <c r="AI75" s="4">
        <f t="shared" si="36"/>
        <v>0</v>
      </c>
      <c r="AJ75" s="96" t="e">
        <f t="shared" si="37"/>
        <v>#DIV/0!</v>
      </c>
      <c r="AK75" s="10"/>
      <c r="AL75" s="10"/>
      <c r="AM75" s="96" t="e">
        <f t="shared" si="38"/>
        <v>#DIV/0!</v>
      </c>
      <c r="AN75" s="10">
        <f t="shared" si="39"/>
        <v>0</v>
      </c>
      <c r="AO75" s="10">
        <f t="shared" si="40"/>
        <v>0</v>
      </c>
      <c r="AP75" s="96" t="e">
        <f t="shared" si="41"/>
        <v>#DIV/0!</v>
      </c>
      <c r="AQ75" s="97"/>
      <c r="AR75" s="97"/>
      <c r="AS75" s="96" t="e">
        <f t="shared" si="51"/>
        <v>#DIV/0!</v>
      </c>
      <c r="AT75" s="97">
        <f t="shared" si="52"/>
        <v>0</v>
      </c>
      <c r="AU75" s="97">
        <f t="shared" si="53"/>
        <v>0</v>
      </c>
      <c r="AV75" s="96" t="e">
        <f t="shared" si="54"/>
        <v>#DIV/0!</v>
      </c>
      <c r="AW75" s="4"/>
      <c r="AX75" s="4"/>
      <c r="AY75" s="96" t="e">
        <f t="shared" si="55"/>
        <v>#DIV/0!</v>
      </c>
      <c r="AZ75" s="4">
        <f t="shared" si="56"/>
        <v>0</v>
      </c>
      <c r="BA75" s="4">
        <f t="shared" si="57"/>
        <v>0</v>
      </c>
      <c r="BB75" s="96" t="e">
        <f t="shared" si="58"/>
        <v>#DIV/0!</v>
      </c>
      <c r="BC75" s="4"/>
      <c r="BD75" s="101"/>
      <c r="BE75" s="4"/>
      <c r="BF75" s="4"/>
      <c r="BG75" s="4"/>
      <c r="BH75" s="104">
        <f t="shared" si="59"/>
        <v>0</v>
      </c>
    </row>
    <row r="76" s="3" customFormat="1" customHeight="1" spans="1:60">
      <c r="A76" s="76" t="s">
        <v>409</v>
      </c>
      <c r="B76" s="77" t="s">
        <v>409</v>
      </c>
      <c r="C76" s="105" t="s">
        <v>506</v>
      </c>
      <c r="D76" s="12" t="s">
        <v>60</v>
      </c>
      <c r="E76" s="12" t="s">
        <v>60</v>
      </c>
      <c r="F76" s="12" t="s">
        <v>469</v>
      </c>
      <c r="G76" s="12"/>
      <c r="H76" s="77" t="s">
        <v>452</v>
      </c>
      <c r="I76" s="108">
        <v>10</v>
      </c>
      <c r="J76" s="4"/>
      <c r="K76" s="4"/>
      <c r="L76" s="96"/>
      <c r="M76" s="4"/>
      <c r="N76" s="4"/>
      <c r="O76" s="96"/>
      <c r="P76" s="4"/>
      <c r="Q76" s="4"/>
      <c r="R76" s="96"/>
      <c r="S76" s="97"/>
      <c r="T76" s="97"/>
      <c r="U76" s="96"/>
      <c r="V76" s="98"/>
      <c r="W76" s="98"/>
      <c r="X76" s="96"/>
      <c r="Y76" s="4"/>
      <c r="Z76" s="4"/>
      <c r="AA76" s="96"/>
      <c r="AB76" s="4"/>
      <c r="AC76" s="4"/>
      <c r="AD76" s="96"/>
      <c r="AE76" s="4"/>
      <c r="AF76" s="4"/>
      <c r="AG76" s="96" t="e">
        <f t="shared" si="34"/>
        <v>#DIV/0!</v>
      </c>
      <c r="AH76" s="4">
        <f t="shared" si="35"/>
        <v>0</v>
      </c>
      <c r="AI76" s="4">
        <f t="shared" si="36"/>
        <v>0</v>
      </c>
      <c r="AJ76" s="96" t="e">
        <f t="shared" si="37"/>
        <v>#DIV/0!</v>
      </c>
      <c r="AK76" s="10"/>
      <c r="AL76" s="10"/>
      <c r="AM76" s="96" t="e">
        <f t="shared" si="38"/>
        <v>#DIV/0!</v>
      </c>
      <c r="AN76" s="10">
        <f t="shared" si="39"/>
        <v>0</v>
      </c>
      <c r="AO76" s="10">
        <f t="shared" si="40"/>
        <v>0</v>
      </c>
      <c r="AP76" s="96" t="e">
        <f t="shared" si="41"/>
        <v>#DIV/0!</v>
      </c>
      <c r="AQ76" s="97"/>
      <c r="AR76" s="97">
        <v>18490</v>
      </c>
      <c r="AS76" s="96" t="e">
        <f t="shared" si="51"/>
        <v>#DIV/0!</v>
      </c>
      <c r="AT76" s="97">
        <f t="shared" si="52"/>
        <v>0</v>
      </c>
      <c r="AU76" s="97">
        <f t="shared" si="53"/>
        <v>18490</v>
      </c>
      <c r="AV76" s="96" t="e">
        <f t="shared" si="54"/>
        <v>#DIV/0!</v>
      </c>
      <c r="AW76" s="4"/>
      <c r="AX76" s="4">
        <v>3245</v>
      </c>
      <c r="AY76" s="96" t="e">
        <f t="shared" si="55"/>
        <v>#DIV/0!</v>
      </c>
      <c r="AZ76" s="4">
        <f t="shared" si="56"/>
        <v>0</v>
      </c>
      <c r="BA76" s="4">
        <f t="shared" si="57"/>
        <v>21735</v>
      </c>
      <c r="BB76" s="96" t="e">
        <f t="shared" si="58"/>
        <v>#DIV/0!</v>
      </c>
      <c r="BC76" s="4"/>
      <c r="BD76" s="101"/>
      <c r="BE76" s="4"/>
      <c r="BF76" s="4"/>
      <c r="BG76" s="4"/>
      <c r="BH76" s="104">
        <f t="shared" si="59"/>
        <v>0.21735</v>
      </c>
    </row>
    <row r="77" s="3" customFormat="1" customHeight="1" spans="1:60">
      <c r="A77" s="76" t="s">
        <v>409</v>
      </c>
      <c r="B77" s="77" t="s">
        <v>409</v>
      </c>
      <c r="C77" s="105" t="s">
        <v>507</v>
      </c>
      <c r="D77" s="12" t="s">
        <v>83</v>
      </c>
      <c r="E77" s="12" t="s">
        <v>83</v>
      </c>
      <c r="F77" s="281" t="s">
        <v>429</v>
      </c>
      <c r="G77" s="282" t="s">
        <v>429</v>
      </c>
      <c r="H77" s="77" t="s">
        <v>430</v>
      </c>
      <c r="I77" s="108">
        <v>100</v>
      </c>
      <c r="J77" s="4"/>
      <c r="K77" s="4"/>
      <c r="L77" s="96"/>
      <c r="M77" s="4"/>
      <c r="N77" s="4"/>
      <c r="O77" s="96"/>
      <c r="P77" s="4"/>
      <c r="Q77" s="4"/>
      <c r="R77" s="96"/>
      <c r="S77" s="97"/>
      <c r="T77" s="97"/>
      <c r="U77" s="96"/>
      <c r="V77" s="98"/>
      <c r="W77" s="98"/>
      <c r="X77" s="96"/>
      <c r="Y77" s="4"/>
      <c r="Z77" s="4"/>
      <c r="AA77" s="96"/>
      <c r="AB77" s="4"/>
      <c r="AC77" s="4"/>
      <c r="AD77" s="96"/>
      <c r="AE77" s="4"/>
      <c r="AF77" s="4"/>
      <c r="AG77" s="96"/>
      <c r="AH77" s="4"/>
      <c r="AI77" s="4"/>
      <c r="AJ77" s="96"/>
      <c r="AK77" s="10"/>
      <c r="AL77" s="10">
        <v>39993.5</v>
      </c>
      <c r="AM77" s="96" t="e">
        <f t="shared" si="38"/>
        <v>#DIV/0!</v>
      </c>
      <c r="AN77" s="10">
        <f t="shared" si="39"/>
        <v>0</v>
      </c>
      <c r="AO77" s="10">
        <f t="shared" si="40"/>
        <v>39993.5</v>
      </c>
      <c r="AP77" s="96" t="e">
        <f t="shared" si="41"/>
        <v>#DIV/0!</v>
      </c>
      <c r="AQ77" s="97"/>
      <c r="AR77" s="97">
        <v>28649</v>
      </c>
      <c r="AS77" s="96" t="e">
        <f t="shared" si="51"/>
        <v>#DIV/0!</v>
      </c>
      <c r="AT77" s="97">
        <f t="shared" si="52"/>
        <v>0</v>
      </c>
      <c r="AU77" s="97">
        <f t="shared" si="53"/>
        <v>68642.5</v>
      </c>
      <c r="AV77" s="96" t="e">
        <f t="shared" si="54"/>
        <v>#DIV/0!</v>
      </c>
      <c r="AW77" s="4"/>
      <c r="AX77" s="4"/>
      <c r="AY77" s="96" t="e">
        <f t="shared" si="55"/>
        <v>#DIV/0!</v>
      </c>
      <c r="AZ77" s="4">
        <f t="shared" si="56"/>
        <v>0</v>
      </c>
      <c r="BA77" s="4">
        <f t="shared" si="57"/>
        <v>68642.5</v>
      </c>
      <c r="BB77" s="96" t="e">
        <f t="shared" si="58"/>
        <v>#DIV/0!</v>
      </c>
      <c r="BC77" s="4"/>
      <c r="BD77" s="101"/>
      <c r="BE77" s="4"/>
      <c r="BF77" s="4"/>
      <c r="BG77" s="4"/>
      <c r="BH77" s="104">
        <f t="shared" si="59"/>
        <v>0.0686425</v>
      </c>
    </row>
    <row r="78" s="3" customFormat="1" customHeight="1" spans="1:60">
      <c r="A78" s="76" t="s">
        <v>409</v>
      </c>
      <c r="B78" s="77" t="s">
        <v>409</v>
      </c>
      <c r="C78" s="105" t="s">
        <v>508</v>
      </c>
      <c r="D78" s="12" t="s">
        <v>60</v>
      </c>
      <c r="E78" s="12" t="s">
        <v>60</v>
      </c>
      <c r="F78" s="12" t="s">
        <v>415</v>
      </c>
      <c r="G78" s="12"/>
      <c r="H78" s="77" t="s">
        <v>416</v>
      </c>
      <c r="I78" s="108">
        <v>10</v>
      </c>
      <c r="J78" s="4"/>
      <c r="K78" s="4"/>
      <c r="L78" s="96"/>
      <c r="M78" s="4"/>
      <c r="N78" s="4"/>
      <c r="O78" s="96"/>
      <c r="P78" s="4"/>
      <c r="Q78" s="4"/>
      <c r="R78" s="96"/>
      <c r="S78" s="97"/>
      <c r="T78" s="97"/>
      <c r="U78" s="96"/>
      <c r="V78" s="98"/>
      <c r="W78" s="98"/>
      <c r="X78" s="96"/>
      <c r="Y78" s="4"/>
      <c r="Z78" s="4"/>
      <c r="AA78" s="96"/>
      <c r="AB78" s="4"/>
      <c r="AC78" s="4"/>
      <c r="AD78" s="96"/>
      <c r="AE78" s="4"/>
      <c r="AF78" s="4"/>
      <c r="AG78" s="96" t="e">
        <f>AF78/AE78-1</f>
        <v>#DIV/0!</v>
      </c>
      <c r="AH78" s="4">
        <f>AE78+AB78</f>
        <v>0</v>
      </c>
      <c r="AI78" s="4">
        <f>AF78+AC78</f>
        <v>0</v>
      </c>
      <c r="AJ78" s="96" t="e">
        <f>AI78/AH78-1</f>
        <v>#DIV/0!</v>
      </c>
      <c r="AK78" s="10"/>
      <c r="AL78" s="10"/>
      <c r="AM78" s="96" t="e">
        <f t="shared" si="38"/>
        <v>#DIV/0!</v>
      </c>
      <c r="AN78" s="10">
        <f t="shared" si="39"/>
        <v>0</v>
      </c>
      <c r="AO78" s="10">
        <f t="shared" si="40"/>
        <v>0</v>
      </c>
      <c r="AP78" s="96" t="e">
        <f t="shared" si="41"/>
        <v>#DIV/0!</v>
      </c>
      <c r="AQ78" s="97"/>
      <c r="AR78" s="97"/>
      <c r="AS78" s="96" t="e">
        <f t="shared" si="51"/>
        <v>#DIV/0!</v>
      </c>
      <c r="AT78" s="97">
        <f t="shared" si="52"/>
        <v>0</v>
      </c>
      <c r="AU78" s="97">
        <f t="shared" si="53"/>
        <v>0</v>
      </c>
      <c r="AV78" s="96" t="e">
        <f t="shared" si="54"/>
        <v>#DIV/0!</v>
      </c>
      <c r="AW78" s="4"/>
      <c r="AX78" s="4"/>
      <c r="AY78" s="96" t="e">
        <f t="shared" si="55"/>
        <v>#DIV/0!</v>
      </c>
      <c r="AZ78" s="4">
        <f t="shared" si="56"/>
        <v>0</v>
      </c>
      <c r="BA78" s="4">
        <f t="shared" si="57"/>
        <v>0</v>
      </c>
      <c r="BB78" s="96" t="e">
        <f t="shared" si="58"/>
        <v>#DIV/0!</v>
      </c>
      <c r="BC78" s="4"/>
      <c r="BD78" s="101"/>
      <c r="BE78" s="4"/>
      <c r="BF78" s="4"/>
      <c r="BG78" s="4"/>
      <c r="BH78" s="104">
        <f t="shared" si="59"/>
        <v>0</v>
      </c>
    </row>
    <row r="79" s="3" customFormat="1" customHeight="1" spans="1:60">
      <c r="A79" s="76" t="s">
        <v>409</v>
      </c>
      <c r="B79" s="77" t="s">
        <v>409</v>
      </c>
      <c r="C79" s="106" t="s">
        <v>509</v>
      </c>
      <c r="D79" s="12" t="s">
        <v>60</v>
      </c>
      <c r="E79" s="12" t="s">
        <v>60</v>
      </c>
      <c r="F79" s="12" t="s">
        <v>510</v>
      </c>
      <c r="G79" s="12"/>
      <c r="H79" s="77" t="s">
        <v>452</v>
      </c>
      <c r="I79" s="10">
        <v>10</v>
      </c>
      <c r="J79" s="4"/>
      <c r="K79" s="4"/>
      <c r="L79" s="96"/>
      <c r="M79" s="4"/>
      <c r="N79" s="4"/>
      <c r="O79" s="96"/>
      <c r="P79" s="4"/>
      <c r="Q79" s="4"/>
      <c r="R79" s="96"/>
      <c r="S79" s="97"/>
      <c r="T79" s="97"/>
      <c r="U79" s="96"/>
      <c r="V79" s="98"/>
      <c r="W79" s="98"/>
      <c r="X79" s="96"/>
      <c r="Y79" s="4"/>
      <c r="Z79" s="4"/>
      <c r="AA79" s="96"/>
      <c r="AB79" s="4"/>
      <c r="AC79" s="4"/>
      <c r="AD79" s="96"/>
      <c r="AE79" s="4"/>
      <c r="AF79" s="4"/>
      <c r="AG79" s="96"/>
      <c r="AH79" s="4"/>
      <c r="AI79" s="4"/>
      <c r="AJ79" s="96"/>
      <c r="AK79" s="10"/>
      <c r="AL79" s="10"/>
      <c r="AM79" s="96"/>
      <c r="AN79" s="10"/>
      <c r="AO79" s="10"/>
      <c r="AP79" s="96"/>
      <c r="AQ79" s="97"/>
      <c r="AR79" s="97">
        <v>21900</v>
      </c>
      <c r="AS79" s="96" t="e">
        <f t="shared" si="51"/>
        <v>#DIV/0!</v>
      </c>
      <c r="AT79" s="97">
        <f t="shared" si="52"/>
        <v>0</v>
      </c>
      <c r="AU79" s="97">
        <f t="shared" si="53"/>
        <v>21900</v>
      </c>
      <c r="AV79" s="96" t="e">
        <f t="shared" si="54"/>
        <v>#DIV/0!</v>
      </c>
      <c r="AW79" s="4"/>
      <c r="AX79" s="4"/>
      <c r="AY79" s="96" t="e">
        <f t="shared" si="55"/>
        <v>#DIV/0!</v>
      </c>
      <c r="AZ79" s="4">
        <f t="shared" si="56"/>
        <v>0</v>
      </c>
      <c r="BA79" s="4">
        <f t="shared" si="57"/>
        <v>21900</v>
      </c>
      <c r="BB79" s="96" t="e">
        <f t="shared" si="58"/>
        <v>#DIV/0!</v>
      </c>
      <c r="BC79" s="4"/>
      <c r="BD79" s="101"/>
      <c r="BE79" s="4"/>
      <c r="BF79" s="4"/>
      <c r="BG79" s="4"/>
      <c r="BH79" s="104">
        <f t="shared" si="59"/>
        <v>0.219</v>
      </c>
    </row>
    <row r="80" s="3" customFormat="1" customHeight="1" spans="1:60">
      <c r="A80" s="76" t="s">
        <v>409</v>
      </c>
      <c r="B80" s="77" t="s">
        <v>409</v>
      </c>
      <c r="C80" s="106" t="s">
        <v>511</v>
      </c>
      <c r="D80" s="12" t="s">
        <v>60</v>
      </c>
      <c r="E80" s="12" t="s">
        <v>60</v>
      </c>
      <c r="F80" s="12" t="s">
        <v>450</v>
      </c>
      <c r="G80" s="12"/>
      <c r="H80" s="77" t="s">
        <v>452</v>
      </c>
      <c r="I80" s="10">
        <v>10</v>
      </c>
      <c r="J80" s="4"/>
      <c r="K80" s="4"/>
      <c r="L80" s="96"/>
      <c r="M80" s="4"/>
      <c r="N80" s="4"/>
      <c r="O80" s="96"/>
      <c r="P80" s="4"/>
      <c r="Q80" s="4"/>
      <c r="R80" s="96"/>
      <c r="S80" s="97"/>
      <c r="T80" s="97"/>
      <c r="U80" s="96"/>
      <c r="V80" s="98"/>
      <c r="W80" s="98"/>
      <c r="X80" s="96"/>
      <c r="Y80" s="4"/>
      <c r="Z80" s="4"/>
      <c r="AA80" s="96"/>
      <c r="AB80" s="4"/>
      <c r="AC80" s="4"/>
      <c r="AD80" s="96"/>
      <c r="AE80" s="4"/>
      <c r="AF80" s="4"/>
      <c r="AG80" s="96"/>
      <c r="AH80" s="4"/>
      <c r="AI80" s="4"/>
      <c r="AJ80" s="96"/>
      <c r="AK80" s="10"/>
      <c r="AL80" s="10"/>
      <c r="AM80" s="96"/>
      <c r="AN80" s="10"/>
      <c r="AO80" s="10"/>
      <c r="AP80" s="96"/>
      <c r="AQ80" s="97"/>
      <c r="AR80" s="97">
        <v>110500</v>
      </c>
      <c r="AS80" s="96" t="e">
        <f t="shared" si="51"/>
        <v>#DIV/0!</v>
      </c>
      <c r="AT80" s="97">
        <f t="shared" si="52"/>
        <v>0</v>
      </c>
      <c r="AU80" s="97">
        <f t="shared" si="53"/>
        <v>110500</v>
      </c>
      <c r="AV80" s="96" t="e">
        <f t="shared" si="54"/>
        <v>#DIV/0!</v>
      </c>
      <c r="AW80" s="4"/>
      <c r="AX80" s="4"/>
      <c r="AY80" s="96" t="e">
        <f t="shared" si="55"/>
        <v>#DIV/0!</v>
      </c>
      <c r="AZ80" s="4">
        <f t="shared" si="56"/>
        <v>0</v>
      </c>
      <c r="BA80" s="4">
        <f t="shared" si="57"/>
        <v>110500</v>
      </c>
      <c r="BB80" s="96" t="e">
        <f t="shared" si="58"/>
        <v>#DIV/0!</v>
      </c>
      <c r="BC80" s="4"/>
      <c r="BD80" s="101"/>
      <c r="BE80" s="4"/>
      <c r="BF80" s="4"/>
      <c r="BG80" s="4"/>
      <c r="BH80" s="104">
        <f t="shared" si="59"/>
        <v>1.105</v>
      </c>
    </row>
    <row r="81" s="3" customFormat="1" customHeight="1" spans="1:60">
      <c r="A81" s="76" t="s">
        <v>409</v>
      </c>
      <c r="B81" s="77" t="s">
        <v>409</v>
      </c>
      <c r="C81" s="106" t="s">
        <v>512</v>
      </c>
      <c r="D81" s="12" t="s">
        <v>60</v>
      </c>
      <c r="E81" s="12" t="s">
        <v>60</v>
      </c>
      <c r="F81" s="12" t="s">
        <v>473</v>
      </c>
      <c r="G81" s="12"/>
      <c r="H81" s="77" t="s">
        <v>452</v>
      </c>
      <c r="I81" s="10">
        <v>10</v>
      </c>
      <c r="J81" s="4"/>
      <c r="K81" s="4"/>
      <c r="L81" s="96"/>
      <c r="M81" s="4"/>
      <c r="N81" s="4"/>
      <c r="O81" s="96"/>
      <c r="P81" s="4"/>
      <c r="Q81" s="4"/>
      <c r="R81" s="96"/>
      <c r="S81" s="97"/>
      <c r="T81" s="97"/>
      <c r="U81" s="96"/>
      <c r="V81" s="98"/>
      <c r="W81" s="98"/>
      <c r="X81" s="96"/>
      <c r="Y81" s="4"/>
      <c r="Z81" s="4"/>
      <c r="AA81" s="96"/>
      <c r="AB81" s="4"/>
      <c r="AC81" s="4"/>
      <c r="AD81" s="96"/>
      <c r="AE81" s="4"/>
      <c r="AF81" s="4"/>
      <c r="AG81" s="96"/>
      <c r="AH81" s="4"/>
      <c r="AI81" s="4"/>
      <c r="AJ81" s="96"/>
      <c r="AK81" s="10"/>
      <c r="AL81" s="10"/>
      <c r="AM81" s="96"/>
      <c r="AN81" s="10"/>
      <c r="AO81" s="10"/>
      <c r="AP81" s="96"/>
      <c r="AQ81" s="97"/>
      <c r="AR81" s="97">
        <v>55500</v>
      </c>
      <c r="AS81" s="96" t="e">
        <f t="shared" si="51"/>
        <v>#DIV/0!</v>
      </c>
      <c r="AT81" s="97">
        <f t="shared" si="52"/>
        <v>0</v>
      </c>
      <c r="AU81" s="97">
        <f t="shared" si="53"/>
        <v>55500</v>
      </c>
      <c r="AV81" s="96" t="e">
        <f t="shared" si="54"/>
        <v>#DIV/0!</v>
      </c>
      <c r="AW81" s="4"/>
      <c r="AX81" s="4">
        <v>1067</v>
      </c>
      <c r="AY81" s="96" t="e">
        <f t="shared" si="55"/>
        <v>#DIV/0!</v>
      </c>
      <c r="AZ81" s="4">
        <f t="shared" si="56"/>
        <v>0</v>
      </c>
      <c r="BA81" s="4">
        <f t="shared" si="57"/>
        <v>56567</v>
      </c>
      <c r="BB81" s="96" t="e">
        <f t="shared" si="58"/>
        <v>#DIV/0!</v>
      </c>
      <c r="BC81" s="4"/>
      <c r="BD81" s="101"/>
      <c r="BE81" s="4"/>
      <c r="BF81" s="4"/>
      <c r="BG81" s="4"/>
      <c r="BH81" s="104">
        <f t="shared" si="59"/>
        <v>0.56567</v>
      </c>
    </row>
    <row r="82" s="3" customFormat="1" customHeight="1" spans="1:60">
      <c r="A82" s="76" t="s">
        <v>409</v>
      </c>
      <c r="B82" s="77" t="s">
        <v>409</v>
      </c>
      <c r="C82" s="106" t="s">
        <v>513</v>
      </c>
      <c r="D82" s="12" t="s">
        <v>60</v>
      </c>
      <c r="E82" s="12" t="s">
        <v>60</v>
      </c>
      <c r="F82" s="12" t="s">
        <v>487</v>
      </c>
      <c r="G82" s="4" t="s">
        <v>487</v>
      </c>
      <c r="H82" s="77" t="s">
        <v>452</v>
      </c>
      <c r="I82" s="10">
        <v>10</v>
      </c>
      <c r="J82" s="4"/>
      <c r="K82" s="4"/>
      <c r="L82" s="96"/>
      <c r="M82" s="4"/>
      <c r="N82" s="4"/>
      <c r="O82" s="96"/>
      <c r="P82" s="4"/>
      <c r="Q82" s="4"/>
      <c r="R82" s="96"/>
      <c r="S82" s="97"/>
      <c r="T82" s="97"/>
      <c r="U82" s="96"/>
      <c r="V82" s="98"/>
      <c r="W82" s="98"/>
      <c r="X82" s="96"/>
      <c r="Y82" s="4"/>
      <c r="Z82" s="4"/>
      <c r="AA82" s="96"/>
      <c r="AB82" s="4"/>
      <c r="AC82" s="4"/>
      <c r="AD82" s="96"/>
      <c r="AE82" s="4"/>
      <c r="AF82" s="4"/>
      <c r="AG82" s="96"/>
      <c r="AH82" s="4"/>
      <c r="AI82" s="4"/>
      <c r="AJ82" s="96"/>
      <c r="AK82" s="10"/>
      <c r="AL82" s="10"/>
      <c r="AM82" s="96"/>
      <c r="AN82" s="10"/>
      <c r="AO82" s="10"/>
      <c r="AP82" s="96"/>
      <c r="AQ82" s="97"/>
      <c r="AR82" s="97">
        <v>36798</v>
      </c>
      <c r="AS82" s="96" t="e">
        <f t="shared" si="51"/>
        <v>#DIV/0!</v>
      </c>
      <c r="AT82" s="97">
        <f t="shared" si="52"/>
        <v>0</v>
      </c>
      <c r="AU82" s="97">
        <f t="shared" si="53"/>
        <v>36798</v>
      </c>
      <c r="AV82" s="96" t="e">
        <f t="shared" si="54"/>
        <v>#DIV/0!</v>
      </c>
      <c r="AW82" s="4"/>
      <c r="AX82" s="4">
        <v>4500</v>
      </c>
      <c r="AY82" s="96" t="e">
        <f t="shared" si="55"/>
        <v>#DIV/0!</v>
      </c>
      <c r="AZ82" s="4">
        <f t="shared" si="56"/>
        <v>0</v>
      </c>
      <c r="BA82" s="4">
        <f t="shared" si="57"/>
        <v>41298</v>
      </c>
      <c r="BB82" s="96" t="e">
        <f t="shared" si="58"/>
        <v>#DIV/0!</v>
      </c>
      <c r="BC82" s="4"/>
      <c r="BD82" s="101"/>
      <c r="BE82" s="4"/>
      <c r="BF82" s="4"/>
      <c r="BG82" s="4"/>
      <c r="BH82" s="104">
        <f t="shared" si="59"/>
        <v>0.41298</v>
      </c>
    </row>
    <row r="83" s="3" customFormat="1" customHeight="1" spans="1:60">
      <c r="A83" s="76" t="s">
        <v>409</v>
      </c>
      <c r="B83" s="77" t="s">
        <v>409</v>
      </c>
      <c r="C83" s="107" t="s">
        <v>514</v>
      </c>
      <c r="D83" s="12" t="s">
        <v>60</v>
      </c>
      <c r="E83" s="12" t="s">
        <v>60</v>
      </c>
      <c r="F83" s="12" t="s">
        <v>459</v>
      </c>
      <c r="G83" s="12"/>
      <c r="H83" s="8" t="s">
        <v>430</v>
      </c>
      <c r="I83" s="10">
        <v>100</v>
      </c>
      <c r="J83" s="4"/>
      <c r="K83" s="4"/>
      <c r="L83" s="96"/>
      <c r="M83" s="4"/>
      <c r="N83" s="4"/>
      <c r="O83" s="96"/>
      <c r="P83" s="4"/>
      <c r="Q83" s="4"/>
      <c r="R83" s="96"/>
      <c r="S83" s="97"/>
      <c r="T83" s="97"/>
      <c r="U83" s="96"/>
      <c r="V83" s="98"/>
      <c r="W83" s="98"/>
      <c r="X83" s="96"/>
      <c r="Y83" s="4"/>
      <c r="Z83" s="4"/>
      <c r="AA83" s="96"/>
      <c r="AB83" s="4"/>
      <c r="AC83" s="4"/>
      <c r="AD83" s="96"/>
      <c r="AE83" s="4"/>
      <c r="AF83" s="4"/>
      <c r="AG83" s="96"/>
      <c r="AH83" s="4"/>
      <c r="AI83" s="4"/>
      <c r="AJ83" s="96"/>
      <c r="AK83" s="10"/>
      <c r="AL83" s="10"/>
      <c r="AM83" s="96"/>
      <c r="AN83" s="10"/>
      <c r="AO83" s="10"/>
      <c r="AP83" s="96"/>
      <c r="AQ83" s="97"/>
      <c r="AR83" s="97"/>
      <c r="AS83" s="96" t="e">
        <f t="shared" si="51"/>
        <v>#DIV/0!</v>
      </c>
      <c r="AT83" s="97">
        <f t="shared" si="52"/>
        <v>0</v>
      </c>
      <c r="AU83" s="97">
        <f t="shared" si="53"/>
        <v>0</v>
      </c>
      <c r="AV83" s="96" t="e">
        <f t="shared" si="54"/>
        <v>#DIV/0!</v>
      </c>
      <c r="AW83" s="4"/>
      <c r="AX83" s="4"/>
      <c r="AY83" s="96" t="e">
        <f t="shared" si="55"/>
        <v>#DIV/0!</v>
      </c>
      <c r="AZ83" s="4">
        <f t="shared" si="56"/>
        <v>0</v>
      </c>
      <c r="BA83" s="4">
        <f t="shared" si="57"/>
        <v>0</v>
      </c>
      <c r="BB83" s="96" t="e">
        <f t="shared" si="58"/>
        <v>#DIV/0!</v>
      </c>
      <c r="BC83" s="4"/>
      <c r="BD83" s="101"/>
      <c r="BE83" s="4"/>
      <c r="BF83" s="4"/>
      <c r="BG83" s="4"/>
      <c r="BH83" s="104">
        <f t="shared" si="59"/>
        <v>0</v>
      </c>
    </row>
    <row r="84" s="3" customFormat="1" spans="1:60">
      <c r="A84" s="76"/>
      <c r="B84" s="77">
        <v>57</v>
      </c>
      <c r="C84" s="85" t="s">
        <v>29</v>
      </c>
      <c r="D84" s="4"/>
      <c r="E84" s="12"/>
      <c r="F84" s="10"/>
      <c r="G84" s="4"/>
      <c r="H84" s="77"/>
      <c r="I84" s="4">
        <f>SUM(I3:I83)</f>
        <v>1381</v>
      </c>
      <c r="J84" s="4">
        <f>SUM(J3:J78)</f>
        <v>1223845.6</v>
      </c>
      <c r="K84" s="4">
        <f>SUM(K3:K78)</f>
        <v>595578.3</v>
      </c>
      <c r="L84" s="96">
        <f>K84/J84-1</f>
        <v>-0.51335503432786</v>
      </c>
      <c r="M84" s="4">
        <f>SUM(M3:M74)</f>
        <v>355310.4</v>
      </c>
      <c r="N84" s="4">
        <f>SUM(N3:N74)</f>
        <v>470333.56</v>
      </c>
      <c r="O84" s="96">
        <f>N84/M84-1</f>
        <v>0.323725846471142</v>
      </c>
      <c r="P84" s="4">
        <f>SUM(P3:P74)</f>
        <v>1579156</v>
      </c>
      <c r="Q84" s="4">
        <f>SUM(Q3:Q74)</f>
        <v>1065911.86</v>
      </c>
      <c r="R84" s="96">
        <f>Q84/P84-1</f>
        <v>-0.325011677123729</v>
      </c>
      <c r="S84" s="4">
        <f>SUM(S3:S74)</f>
        <v>756633.2</v>
      </c>
      <c r="T84" s="4">
        <f>SUM(T3:T74)</f>
        <v>1014927.78</v>
      </c>
      <c r="U84" s="96">
        <f>T84/S84-1</f>
        <v>0.341373574408313</v>
      </c>
      <c r="V84" s="4">
        <f>SUM(V3:V74)</f>
        <v>2335789.2</v>
      </c>
      <c r="W84" s="4">
        <f>SUM(W3:W74)</f>
        <v>2080839.64</v>
      </c>
      <c r="X84" s="96">
        <f>W84/V84-1</f>
        <v>-0.109149216033707</v>
      </c>
      <c r="Y84" s="4">
        <f>SUM(Y3:Y74)</f>
        <v>683687.2</v>
      </c>
      <c r="Z84" s="4">
        <f>SUM(Z3:Z78)</f>
        <v>937105.26</v>
      </c>
      <c r="AA84" s="96">
        <f>Z84/Y84-1</f>
        <v>0.370663747982996</v>
      </c>
      <c r="AB84" s="4">
        <f t="shared" ref="AB84:AF84" si="60">SUM(AB3:AB74)</f>
        <v>3019476.4</v>
      </c>
      <c r="AC84" s="4">
        <f t="shared" si="60"/>
        <v>3017944.9</v>
      </c>
      <c r="AD84" s="96">
        <f>AC84/AB84-1</f>
        <v>-0.0005072071435962</v>
      </c>
      <c r="AE84" s="4">
        <f t="shared" si="60"/>
        <v>541949.88</v>
      </c>
      <c r="AF84" s="4">
        <f t="shared" si="60"/>
        <v>704690</v>
      </c>
      <c r="AG84" s="96">
        <f>AF84/AE84-1</f>
        <v>0.300286292156758</v>
      </c>
      <c r="AH84" s="4">
        <f>SUM(AH3:AH74)</f>
        <v>3561426.28</v>
      </c>
      <c r="AI84" s="4">
        <f>SUM(AI3:AI74)</f>
        <v>3722634.9</v>
      </c>
      <c r="AJ84" s="96">
        <f>AI84/AH84-1</f>
        <v>0.0452651851605923</v>
      </c>
      <c r="AK84" s="4">
        <f>SUM(AK3:AK74)</f>
        <v>565078.8</v>
      </c>
      <c r="AL84" s="4">
        <f t="shared" ref="AL84:AO84" si="61">SUM(AL3:AL78)</f>
        <v>1078704.88</v>
      </c>
      <c r="AM84" s="96">
        <f>AL84/AK84-1</f>
        <v>0.908945938159421</v>
      </c>
      <c r="AN84" s="4">
        <f t="shared" si="61"/>
        <v>4126505.08</v>
      </c>
      <c r="AO84" s="4">
        <f t="shared" ref="AO84:AR84" si="62">SUM(AO3:AO83)</f>
        <v>4801339.78</v>
      </c>
      <c r="AP84" s="96">
        <f>AO84/AN84-1</f>
        <v>0.163536621648846</v>
      </c>
      <c r="AQ84" s="4">
        <f t="shared" si="62"/>
        <v>611348.06</v>
      </c>
      <c r="AR84" s="4">
        <f t="shared" si="62"/>
        <v>1118070.66</v>
      </c>
      <c r="AS84" s="96">
        <f t="shared" si="51"/>
        <v>0.828861058297952</v>
      </c>
      <c r="AT84" s="4">
        <f t="shared" ref="AT84:AX84" si="63">SUM(AT3:AT83)</f>
        <v>4737853.14</v>
      </c>
      <c r="AU84" s="4">
        <f t="shared" si="63"/>
        <v>5919410.44</v>
      </c>
      <c r="AV84" s="96">
        <f t="shared" si="54"/>
        <v>0.249386645192637</v>
      </c>
      <c r="AW84" s="4">
        <f t="shared" si="63"/>
        <v>565935</v>
      </c>
      <c r="AX84" s="4">
        <f t="shared" si="63"/>
        <v>529250</v>
      </c>
      <c r="AY84" s="96">
        <f t="shared" si="55"/>
        <v>-0.0648219318472969</v>
      </c>
      <c r="AZ84" s="4">
        <f>SUM(AZ3:AZ83)</f>
        <v>5303788.14</v>
      </c>
      <c r="BA84" s="4">
        <f>SUM(BA3:BA83)</f>
        <v>6448660.44</v>
      </c>
      <c r="BB84" s="96">
        <f t="shared" si="58"/>
        <v>0.215859357459176</v>
      </c>
      <c r="BC84" s="101">
        <v>1201478.64</v>
      </c>
      <c r="BD84" s="101">
        <v>2091707.07</v>
      </c>
      <c r="BE84" s="101">
        <v>1301604.23</v>
      </c>
      <c r="BF84" s="101">
        <v>1864182.71</v>
      </c>
      <c r="BG84" s="101">
        <v>11762760.79</v>
      </c>
      <c r="BH84" s="104">
        <f t="shared" si="59"/>
        <v>0.466955860970311</v>
      </c>
    </row>
  </sheetData>
  <autoFilter xmlns:etc="http://www.wps.cn/officeDocument/2017/etCustomData" ref="A2:BH84" etc:filterBottomFollowUsedRange="0">
    <extLst/>
  </autoFilter>
  <mergeCells count="38">
    <mergeCell ref="J1:K1"/>
    <mergeCell ref="M1:N1"/>
    <mergeCell ref="P1:Q1"/>
    <mergeCell ref="S1:T1"/>
    <mergeCell ref="V1:W1"/>
    <mergeCell ref="Y1:Z1"/>
    <mergeCell ref="AB1:AC1"/>
    <mergeCell ref="AE1:AF1"/>
    <mergeCell ref="AH1:AI1"/>
    <mergeCell ref="AK1:AL1"/>
    <mergeCell ref="AN1:AO1"/>
    <mergeCell ref="AQ1:AR1"/>
    <mergeCell ref="AT1:AU1"/>
    <mergeCell ref="AW1:AX1"/>
    <mergeCell ref="AZ1:BA1"/>
    <mergeCell ref="C1:C2"/>
    <mergeCell ref="D1:D2"/>
    <mergeCell ref="E1:E2"/>
    <mergeCell ref="F1:F2"/>
    <mergeCell ref="G1:G2"/>
    <mergeCell ref="H1:H2"/>
    <mergeCell ref="I1:I2"/>
    <mergeCell ref="L1:L2"/>
    <mergeCell ref="O1:O2"/>
    <mergeCell ref="R1:R2"/>
    <mergeCell ref="U1:U2"/>
    <mergeCell ref="X1:X2"/>
    <mergeCell ref="AA1:AA2"/>
    <mergeCell ref="AD1:AD2"/>
    <mergeCell ref="AG1:AG2"/>
    <mergeCell ref="AJ1:AJ2"/>
    <mergeCell ref="AM1:AM2"/>
    <mergeCell ref="AP1:AP2"/>
    <mergeCell ref="AS1:AS2"/>
    <mergeCell ref="AV1:AV2"/>
    <mergeCell ref="AY1:AY2"/>
    <mergeCell ref="BB1:BB2"/>
    <mergeCell ref="BH1:BH2"/>
  </mergeCells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rgb="FF00B050"/>
  </sheetPr>
  <dimension ref="A1:CB15"/>
  <sheetViews>
    <sheetView workbookViewId="0">
      <pane xSplit="1" ySplit="2" topLeftCell="AC3" activePane="bottomRight" state="frozen"/>
      <selection/>
      <selection pane="topRight"/>
      <selection pane="bottomLeft"/>
      <selection pane="bottomRight" activeCell="AR3" sqref="AR3:AS3"/>
    </sheetView>
  </sheetViews>
  <sheetFormatPr defaultColWidth="9" defaultRowHeight="14"/>
  <cols>
    <col min="1" max="1" width="21.3727272727273" customWidth="1"/>
    <col min="2" max="4" width="9" customWidth="1"/>
    <col min="5" max="5" width="9" style="39" customWidth="1"/>
    <col min="6" max="8" width="9" customWidth="1"/>
    <col min="9" max="9" width="14.5090909090909" customWidth="1"/>
    <col min="10" max="20" width="9" customWidth="1"/>
    <col min="21" max="21" width="11.2545454545455" customWidth="1"/>
    <col min="22" max="28" width="9" customWidth="1"/>
    <col min="29" max="32" width="9" style="40" customWidth="1"/>
    <col min="33" max="33" width="11.1272727272727" style="40" customWidth="1"/>
    <col min="34" max="34" width="9" style="40" customWidth="1"/>
    <col min="35" max="46" width="9" customWidth="1"/>
    <col min="47" max="50" width="9" hidden="1" customWidth="1"/>
    <col min="51" max="51" width="15.1272727272727" hidden="1" customWidth="1"/>
  </cols>
  <sheetData>
    <row r="1" spans="1:80">
      <c r="A1" s="41" t="s">
        <v>45</v>
      </c>
      <c r="B1" s="41" t="s">
        <v>3</v>
      </c>
      <c r="C1" s="41"/>
      <c r="D1" s="41" t="s">
        <v>4</v>
      </c>
      <c r="E1" s="41" t="s">
        <v>5</v>
      </c>
      <c r="F1" s="41"/>
      <c r="G1" s="41" t="s">
        <v>4</v>
      </c>
      <c r="H1" s="41" t="s">
        <v>37</v>
      </c>
      <c r="I1" s="41"/>
      <c r="J1" s="41" t="s">
        <v>4</v>
      </c>
      <c r="K1" s="55" t="s">
        <v>6</v>
      </c>
      <c r="L1" s="55"/>
      <c r="M1" s="56" t="s">
        <v>4</v>
      </c>
      <c r="N1" s="55" t="s">
        <v>7</v>
      </c>
      <c r="O1" s="55"/>
      <c r="P1" s="56" t="s">
        <v>4</v>
      </c>
      <c r="Q1" s="55" t="s">
        <v>8</v>
      </c>
      <c r="R1" s="55"/>
      <c r="S1" s="56" t="s">
        <v>4</v>
      </c>
      <c r="T1" s="55" t="s">
        <v>9</v>
      </c>
      <c r="U1" s="55"/>
      <c r="V1" s="56" t="s">
        <v>4</v>
      </c>
      <c r="W1" s="55" t="s">
        <v>10</v>
      </c>
      <c r="X1" s="55"/>
      <c r="Y1" s="56" t="s">
        <v>4</v>
      </c>
      <c r="Z1" s="55" t="s">
        <v>11</v>
      </c>
      <c r="AA1" s="55"/>
      <c r="AB1" s="56" t="s">
        <v>4</v>
      </c>
      <c r="AC1" s="55" t="s">
        <v>12</v>
      </c>
      <c r="AD1" s="55"/>
      <c r="AE1" s="56" t="s">
        <v>4</v>
      </c>
      <c r="AF1" s="55" t="s">
        <v>13</v>
      </c>
      <c r="AG1" s="55"/>
      <c r="AH1" s="56" t="s">
        <v>4</v>
      </c>
      <c r="AI1" s="55" t="s">
        <v>14</v>
      </c>
      <c r="AJ1" s="55"/>
      <c r="AK1" s="56" t="s">
        <v>4</v>
      </c>
      <c r="AL1" s="55" t="s">
        <v>15</v>
      </c>
      <c r="AM1" s="55"/>
      <c r="AN1" s="56" t="s">
        <v>4</v>
      </c>
      <c r="AO1" s="55" t="s">
        <v>16</v>
      </c>
      <c r="AP1" s="55"/>
      <c r="AQ1" s="56" t="s">
        <v>4</v>
      </c>
      <c r="AR1" s="55" t="s">
        <v>17</v>
      </c>
      <c r="AS1" s="55"/>
      <c r="AT1" s="56" t="s">
        <v>4</v>
      </c>
      <c r="AU1" s="66" t="s">
        <v>38</v>
      </c>
      <c r="AV1" s="66" t="s">
        <v>39</v>
      </c>
      <c r="AW1" s="66" t="s">
        <v>40</v>
      </c>
      <c r="AX1" s="66" t="s">
        <v>41</v>
      </c>
      <c r="AY1" s="41" t="s">
        <v>515</v>
      </c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</row>
    <row r="2" spans="1:80">
      <c r="A2" s="41"/>
      <c r="B2" s="42" t="s">
        <v>19</v>
      </c>
      <c r="C2" s="42" t="s">
        <v>20</v>
      </c>
      <c r="D2" s="41"/>
      <c r="E2" s="42" t="s">
        <v>19</v>
      </c>
      <c r="F2" s="42" t="s">
        <v>20</v>
      </c>
      <c r="G2" s="41"/>
      <c r="H2" s="42" t="s">
        <v>19</v>
      </c>
      <c r="I2" s="42" t="s">
        <v>20</v>
      </c>
      <c r="J2" s="41"/>
      <c r="K2" s="57" t="s">
        <v>19</v>
      </c>
      <c r="L2" s="57" t="s">
        <v>20</v>
      </c>
      <c r="M2" s="56"/>
      <c r="N2" s="57" t="s">
        <v>19</v>
      </c>
      <c r="O2" s="57" t="s">
        <v>20</v>
      </c>
      <c r="P2" s="56"/>
      <c r="Q2" s="57" t="s">
        <v>19</v>
      </c>
      <c r="R2" s="57" t="s">
        <v>20</v>
      </c>
      <c r="S2" s="56"/>
      <c r="T2" s="57" t="s">
        <v>19</v>
      </c>
      <c r="U2" s="57" t="s">
        <v>20</v>
      </c>
      <c r="V2" s="56"/>
      <c r="W2" s="57" t="s">
        <v>19</v>
      </c>
      <c r="X2" s="57" t="s">
        <v>20</v>
      </c>
      <c r="Y2" s="56"/>
      <c r="Z2" s="57" t="s">
        <v>19</v>
      </c>
      <c r="AA2" s="57" t="s">
        <v>20</v>
      </c>
      <c r="AB2" s="56"/>
      <c r="AC2" s="57" t="s">
        <v>19</v>
      </c>
      <c r="AD2" s="57" t="s">
        <v>20</v>
      </c>
      <c r="AE2" s="56"/>
      <c r="AF2" s="57" t="s">
        <v>19</v>
      </c>
      <c r="AG2" s="57" t="s">
        <v>20</v>
      </c>
      <c r="AH2" s="56"/>
      <c r="AI2" s="57" t="s">
        <v>19</v>
      </c>
      <c r="AJ2" s="57" t="s">
        <v>20</v>
      </c>
      <c r="AK2" s="56"/>
      <c r="AL2" s="57" t="s">
        <v>19</v>
      </c>
      <c r="AM2" s="57" t="s">
        <v>20</v>
      </c>
      <c r="AN2" s="56"/>
      <c r="AO2" s="57" t="s">
        <v>19</v>
      </c>
      <c r="AP2" s="57" t="s">
        <v>20</v>
      </c>
      <c r="AQ2" s="56"/>
      <c r="AR2" s="57" t="s">
        <v>19</v>
      </c>
      <c r="AS2" s="57" t="s">
        <v>20</v>
      </c>
      <c r="AT2" s="56"/>
      <c r="AU2" s="42" t="s">
        <v>19</v>
      </c>
      <c r="AV2" s="42" t="s">
        <v>19</v>
      </c>
      <c r="AW2" s="42" t="s">
        <v>19</v>
      </c>
      <c r="AX2" s="42" t="s">
        <v>19</v>
      </c>
      <c r="AY2" s="42" t="s">
        <v>19</v>
      </c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</row>
    <row r="3" spans="1:80">
      <c r="A3" s="43" t="s">
        <v>35</v>
      </c>
      <c r="B3" s="42">
        <v>159223.48</v>
      </c>
      <c r="C3" s="42">
        <v>10985.2</v>
      </c>
      <c r="D3" s="44">
        <f>C3/B3-1</f>
        <v>-0.931007662940164</v>
      </c>
      <c r="E3" s="42">
        <v>17619.22</v>
      </c>
      <c r="F3" s="42">
        <v>3564.8</v>
      </c>
      <c r="G3" s="44">
        <f>F3/E3-1</f>
        <v>-0.797675493012744</v>
      </c>
      <c r="H3" s="42">
        <f>E3+B3</f>
        <v>176842.7</v>
      </c>
      <c r="I3" s="42">
        <f>F3+C3</f>
        <v>14550</v>
      </c>
      <c r="J3" s="44">
        <f>I3/H3-1</f>
        <v>-0.91772349098945</v>
      </c>
      <c r="K3" s="58">
        <v>15307.5</v>
      </c>
      <c r="L3" s="58">
        <v>165.6</v>
      </c>
      <c r="M3" s="44">
        <f>L3/K3-1</f>
        <v>-0.989181773640372</v>
      </c>
      <c r="N3" s="58">
        <f>H3+K3</f>
        <v>192150.2</v>
      </c>
      <c r="O3" s="58">
        <f>L3+I3</f>
        <v>14715.6</v>
      </c>
      <c r="P3" s="44">
        <f>O3/N3-1</f>
        <v>-0.92341616089913</v>
      </c>
      <c r="Q3" s="58">
        <v>26789.68</v>
      </c>
      <c r="R3" s="58"/>
      <c r="S3" s="44">
        <f>R3/Q3-1</f>
        <v>-1</v>
      </c>
      <c r="T3" s="58">
        <f>Q3+N3</f>
        <v>218939.88</v>
      </c>
      <c r="U3" s="58">
        <f>R3+O3</f>
        <v>14715.6</v>
      </c>
      <c r="V3" s="44">
        <f>U3/T3-1</f>
        <v>-0.932787028110183</v>
      </c>
      <c r="W3" s="59">
        <v>7356.6</v>
      </c>
      <c r="X3" s="59"/>
      <c r="Y3" s="59"/>
      <c r="Z3" s="59">
        <f t="shared" ref="Z3:Z7" si="0">W3+T3</f>
        <v>226296.48</v>
      </c>
      <c r="AA3" s="59">
        <f t="shared" ref="AA3:AA7" si="1">X3+U3</f>
        <v>14715.6</v>
      </c>
      <c r="AB3" s="44">
        <f t="shared" ref="AB3:AB8" si="2">AA3/Z3-1</f>
        <v>-0.934972033148726</v>
      </c>
      <c r="AC3" s="62">
        <v>10109.2</v>
      </c>
      <c r="AD3" s="62">
        <v>6590.6</v>
      </c>
      <c r="AE3" s="44">
        <f t="shared" ref="AE3:AE8" si="3">AD3/AC3-1</f>
        <v>-0.348059193605824</v>
      </c>
      <c r="AF3" s="60">
        <f>AC3+Z3</f>
        <v>236405.68</v>
      </c>
      <c r="AG3" s="60">
        <f>AD3+AA3</f>
        <v>21306.2</v>
      </c>
      <c r="AH3" s="44">
        <f>AG3/AF3-1</f>
        <v>-0.909874415876979</v>
      </c>
      <c r="AI3" s="59">
        <v>30218.12</v>
      </c>
      <c r="AJ3" s="59">
        <v>10907.2</v>
      </c>
      <c r="AK3" s="44">
        <f t="shared" ref="AK3:AK8" si="4">AJ3/AI3-1</f>
        <v>-0.639051006482203</v>
      </c>
      <c r="AL3" s="59">
        <f>AI3+AF3</f>
        <v>266623.8</v>
      </c>
      <c r="AM3" s="59">
        <f>AJ3+AG3</f>
        <v>32213.4</v>
      </c>
      <c r="AN3" s="44">
        <f t="shared" ref="AN3:AN8" si="5">AM3/AL3-1</f>
        <v>-0.879180328237764</v>
      </c>
      <c r="AO3" s="67">
        <v>18456</v>
      </c>
      <c r="AP3" s="67">
        <v>4860.8</v>
      </c>
      <c r="AQ3" s="44">
        <f t="shared" ref="AQ3:AQ8" si="6">AP3/AO3-1</f>
        <v>-0.736627654963156</v>
      </c>
      <c r="AR3" s="68">
        <f t="shared" ref="AR3:AR7" si="7">AO3+AL3</f>
        <v>285079.8</v>
      </c>
      <c r="AS3" s="68">
        <f t="shared" ref="AS3:AS7" si="8">AP3+AM3</f>
        <v>37074.2</v>
      </c>
      <c r="AT3" s="44">
        <f t="shared" ref="AT3:AT8" si="9">AS3/AR3-1</f>
        <v>-0.869951501298935</v>
      </c>
      <c r="AU3" s="59">
        <v>32843.62</v>
      </c>
      <c r="AV3" s="59">
        <v>6011.6</v>
      </c>
      <c r="AW3" s="67">
        <v>3455.76</v>
      </c>
      <c r="AX3" s="58">
        <v>11124.36</v>
      </c>
      <c r="AY3" s="58">
        <v>329302.08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</row>
    <row r="4" ht="15" spans="1:80">
      <c r="A4" s="45"/>
      <c r="B4" s="45"/>
      <c r="C4" s="45"/>
      <c r="D4" s="45"/>
      <c r="E4" s="46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63"/>
      <c r="AD4" s="63"/>
      <c r="AE4" s="63"/>
      <c r="AF4" s="63"/>
      <c r="AG4" s="63"/>
      <c r="AH4" s="6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</row>
    <row r="5" ht="15" spans="1:80">
      <c r="A5" s="45"/>
      <c r="B5" s="45"/>
      <c r="C5" s="45"/>
      <c r="D5" s="45"/>
      <c r="E5" s="46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63"/>
      <c r="AD5" s="63"/>
      <c r="AE5" s="63"/>
      <c r="AF5" s="63"/>
      <c r="AG5" s="63"/>
      <c r="AH5" s="6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</row>
    <row r="6" ht="15" spans="1:80">
      <c r="A6" s="47" t="s">
        <v>516</v>
      </c>
      <c r="B6" s="48"/>
      <c r="C6" s="48">
        <v>646534</v>
      </c>
      <c r="D6" s="49" t="e">
        <f>C6/B6-1</f>
        <v>#DIV/0!</v>
      </c>
      <c r="E6" s="48"/>
      <c r="F6" s="48">
        <v>486138</v>
      </c>
      <c r="G6" s="49" t="e">
        <f>F6/E6-1</f>
        <v>#DIV/0!</v>
      </c>
      <c r="H6" s="48">
        <f>B6+E6</f>
        <v>0</v>
      </c>
      <c r="I6" s="48">
        <f>C6+F6</f>
        <v>1132672</v>
      </c>
      <c r="J6" s="49" t="e">
        <f>I6/H6-1</f>
        <v>#DIV/0!</v>
      </c>
      <c r="K6" s="42"/>
      <c r="L6" s="42">
        <v>376210</v>
      </c>
      <c r="M6" s="49" t="e">
        <f>L6/K6-1</f>
        <v>#DIV/0!</v>
      </c>
      <c r="N6" s="42"/>
      <c r="O6" s="42">
        <f>L6+I6</f>
        <v>1508882</v>
      </c>
      <c r="P6" s="49" t="e">
        <f>O6/N6-1</f>
        <v>#DIV/0!</v>
      </c>
      <c r="Q6" s="60">
        <v>127164</v>
      </c>
      <c r="R6" s="60">
        <v>332230</v>
      </c>
      <c r="S6" s="44">
        <f>R6/Q6-1</f>
        <v>1.61261048724482</v>
      </c>
      <c r="T6" s="60">
        <f>Q6+N6</f>
        <v>127164</v>
      </c>
      <c r="U6" s="60">
        <f>R6+O6</f>
        <v>1841112</v>
      </c>
      <c r="V6" s="44">
        <f>U6/T6-1</f>
        <v>13.4782485609135</v>
      </c>
      <c r="W6" s="61">
        <v>237373</v>
      </c>
      <c r="X6" s="61">
        <v>255957</v>
      </c>
      <c r="Y6" s="44">
        <f t="shared" ref="Y6:Y8" si="10">X6/W6-1</f>
        <v>0.0782902857528025</v>
      </c>
      <c r="Z6" s="59">
        <f t="shared" si="0"/>
        <v>364537</v>
      </c>
      <c r="AA6" s="59">
        <f t="shared" si="1"/>
        <v>2097069</v>
      </c>
      <c r="AB6" s="44">
        <f t="shared" si="2"/>
        <v>4.75269177065702</v>
      </c>
      <c r="AC6" s="60">
        <v>205722</v>
      </c>
      <c r="AD6" s="60">
        <v>226469</v>
      </c>
      <c r="AE6" s="44">
        <f t="shared" si="3"/>
        <v>0.100849690358834</v>
      </c>
      <c r="AF6" s="60">
        <f>AC6+Z6</f>
        <v>570259</v>
      </c>
      <c r="AG6" s="60">
        <f>AD6+AA6</f>
        <v>2323538</v>
      </c>
      <c r="AH6" s="44">
        <f t="shared" ref="AH6:AH8" si="11">AG6/AF6-1</f>
        <v>3.07453104641926</v>
      </c>
      <c r="AI6" s="60">
        <v>377153</v>
      </c>
      <c r="AJ6" s="60">
        <v>310892</v>
      </c>
      <c r="AK6" s="44">
        <f t="shared" si="4"/>
        <v>-0.175687320530395</v>
      </c>
      <c r="AL6" s="59">
        <f>AI6+AF6</f>
        <v>947412</v>
      </c>
      <c r="AM6" s="59">
        <f>AJ6+AG6</f>
        <v>2634430</v>
      </c>
      <c r="AN6" s="44">
        <f t="shared" si="5"/>
        <v>1.78065931189388</v>
      </c>
      <c r="AO6" s="69">
        <v>425201</v>
      </c>
      <c r="AP6" s="65">
        <v>323634</v>
      </c>
      <c r="AQ6" s="44">
        <f t="shared" si="6"/>
        <v>-0.238868205860287</v>
      </c>
      <c r="AR6" s="68">
        <f t="shared" si="7"/>
        <v>1372613</v>
      </c>
      <c r="AS6" s="68">
        <f t="shared" si="8"/>
        <v>2958064</v>
      </c>
      <c r="AT6" s="44">
        <f t="shared" si="9"/>
        <v>1.15506045768181</v>
      </c>
      <c r="AU6" s="69">
        <v>574651.12</v>
      </c>
      <c r="AV6" s="70">
        <v>522761</v>
      </c>
      <c r="AW6" s="70">
        <v>840306</v>
      </c>
      <c r="AX6" s="70">
        <v>897576</v>
      </c>
      <c r="AY6" s="70">
        <v>4207907.12</v>
      </c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</row>
    <row r="7" ht="15" spans="1:80">
      <c r="A7" s="50" t="s">
        <v>517</v>
      </c>
      <c r="B7" s="51"/>
      <c r="C7" s="51"/>
      <c r="D7" s="51"/>
      <c r="E7" s="51"/>
      <c r="F7" s="51"/>
      <c r="G7" s="51"/>
      <c r="H7" s="51"/>
      <c r="I7" s="51"/>
      <c r="J7" s="51"/>
      <c r="K7" s="58"/>
      <c r="L7" s="58"/>
      <c r="M7" s="58"/>
      <c r="N7" s="58"/>
      <c r="O7" s="58"/>
      <c r="P7" s="58"/>
      <c r="Q7" s="51"/>
      <c r="R7" s="51"/>
      <c r="S7" s="51"/>
      <c r="T7" s="51"/>
      <c r="U7" s="51"/>
      <c r="V7" s="51"/>
      <c r="W7" s="51"/>
      <c r="X7" s="51">
        <f>16675+575</f>
        <v>17250</v>
      </c>
      <c r="Y7" s="44" t="e">
        <f t="shared" si="10"/>
        <v>#DIV/0!</v>
      </c>
      <c r="Z7" s="59">
        <f t="shared" si="0"/>
        <v>0</v>
      </c>
      <c r="AA7" s="59">
        <f t="shared" si="1"/>
        <v>17250</v>
      </c>
      <c r="AB7" s="44" t="e">
        <f t="shared" si="2"/>
        <v>#DIV/0!</v>
      </c>
      <c r="AC7" s="64"/>
      <c r="AD7" s="64">
        <v>125345</v>
      </c>
      <c r="AE7" s="44" t="e">
        <f t="shared" si="3"/>
        <v>#DIV/0!</v>
      </c>
      <c r="AF7" s="60">
        <f>AC7+Z7</f>
        <v>0</v>
      </c>
      <c r="AG7" s="60">
        <f>AD7+AA7</f>
        <v>142595</v>
      </c>
      <c r="AH7" s="44" t="e">
        <f t="shared" si="11"/>
        <v>#DIV/0!</v>
      </c>
      <c r="AI7" s="51"/>
      <c r="AJ7" s="51"/>
      <c r="AK7" s="51"/>
      <c r="AL7" s="51"/>
      <c r="AM7" s="51"/>
      <c r="AN7" s="51"/>
      <c r="AO7" s="45"/>
      <c r="AP7" s="65">
        <v>27770</v>
      </c>
      <c r="AQ7" s="51"/>
      <c r="AR7" s="68">
        <f t="shared" si="7"/>
        <v>0</v>
      </c>
      <c r="AS7" s="68">
        <f t="shared" si="8"/>
        <v>27770</v>
      </c>
      <c r="AT7" s="44" t="e">
        <f t="shared" si="9"/>
        <v>#DIV/0!</v>
      </c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</row>
    <row r="8" s="38" customFormat="1" ht="13" spans="1:80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>
        <f t="shared" ref="W8:AA8" si="12">SUM(W6:W7)</f>
        <v>237373</v>
      </c>
      <c r="X8" s="53">
        <f t="shared" si="12"/>
        <v>273207</v>
      </c>
      <c r="Y8" s="44">
        <f t="shared" si="10"/>
        <v>0.150960724260973</v>
      </c>
      <c r="Z8" s="53">
        <f t="shared" si="12"/>
        <v>364537</v>
      </c>
      <c r="AA8" s="53">
        <f t="shared" si="12"/>
        <v>2114319</v>
      </c>
      <c r="AB8" s="44">
        <f t="shared" si="2"/>
        <v>4.80001207010537</v>
      </c>
      <c r="AC8" s="53">
        <f t="shared" ref="AC8:AG8" si="13">SUM(AC6:AC7)</f>
        <v>205722</v>
      </c>
      <c r="AD8" s="53">
        <f t="shared" si="13"/>
        <v>351814</v>
      </c>
      <c r="AE8" s="44">
        <f t="shared" si="3"/>
        <v>0.710142814088916</v>
      </c>
      <c r="AF8" s="53">
        <f t="shared" si="13"/>
        <v>570259</v>
      </c>
      <c r="AG8" s="53">
        <f t="shared" si="13"/>
        <v>2466133</v>
      </c>
      <c r="AH8" s="44">
        <f t="shared" si="11"/>
        <v>3.32458409249131</v>
      </c>
      <c r="AI8" s="53">
        <f t="shared" ref="AI8:AM8" si="14">SUM(AI6:AI7)</f>
        <v>377153</v>
      </c>
      <c r="AJ8" s="53">
        <f t="shared" si="14"/>
        <v>310892</v>
      </c>
      <c r="AK8" s="44">
        <f t="shared" si="4"/>
        <v>-0.175687320530395</v>
      </c>
      <c r="AL8" s="53">
        <f t="shared" si="14"/>
        <v>947412</v>
      </c>
      <c r="AM8" s="53">
        <f t="shared" si="14"/>
        <v>2634430</v>
      </c>
      <c r="AN8" s="44">
        <f t="shared" si="5"/>
        <v>1.78065931189388</v>
      </c>
      <c r="AO8" s="53">
        <f t="shared" ref="AO8:AS8" si="15">SUM(AO6:AO7)</f>
        <v>425201</v>
      </c>
      <c r="AP8" s="53">
        <f t="shared" si="15"/>
        <v>351404</v>
      </c>
      <c r="AQ8" s="44">
        <f t="shared" si="6"/>
        <v>-0.1735579173144</v>
      </c>
      <c r="AR8" s="53">
        <f t="shared" si="15"/>
        <v>1372613</v>
      </c>
      <c r="AS8" s="53">
        <f t="shared" si="15"/>
        <v>2985834</v>
      </c>
      <c r="AT8" s="44">
        <f t="shared" si="9"/>
        <v>1.17529194317699</v>
      </c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</row>
    <row r="9" ht="15" spans="1:80">
      <c r="A9" s="45"/>
      <c r="B9" s="45"/>
      <c r="C9" s="45"/>
      <c r="D9" s="45"/>
      <c r="E9" s="46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63"/>
      <c r="AD9" s="63"/>
      <c r="AE9" s="63"/>
      <c r="AF9" s="63"/>
      <c r="AG9" s="63"/>
      <c r="AH9" s="6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</row>
    <row r="10" ht="15" spans="1:80">
      <c r="A10" s="54"/>
      <c r="B10" s="45"/>
      <c r="C10" s="45"/>
      <c r="D10" s="45"/>
      <c r="E10" s="46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63"/>
      <c r="AD10" s="63"/>
      <c r="AE10" s="63"/>
      <c r="AF10" s="63"/>
      <c r="AG10" s="63"/>
      <c r="AH10" s="6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</row>
    <row r="13" spans="30:30">
      <c r="AD13" s="65"/>
    </row>
    <row r="14" spans="30:41">
      <c r="AD14" s="65"/>
      <c r="AO14" s="65"/>
    </row>
    <row r="15" spans="41:41">
      <c r="AO15" s="65"/>
    </row>
  </sheetData>
  <mergeCells count="31"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I1:AJ1"/>
    <mergeCell ref="AL1:AM1"/>
    <mergeCell ref="AO1:AP1"/>
    <mergeCell ref="AR1:AS1"/>
    <mergeCell ref="A1:A2"/>
    <mergeCell ref="D1:D2"/>
    <mergeCell ref="G1:G2"/>
    <mergeCell ref="J1:J2"/>
    <mergeCell ref="M1:M2"/>
    <mergeCell ref="P1:P2"/>
    <mergeCell ref="S1:S2"/>
    <mergeCell ref="V1:V2"/>
    <mergeCell ref="Y1:Y2"/>
    <mergeCell ref="AB1:AB2"/>
    <mergeCell ref="AE1:AE2"/>
    <mergeCell ref="AH1:AH2"/>
    <mergeCell ref="AK1:AK2"/>
    <mergeCell ref="AN1:AN2"/>
    <mergeCell ref="AQ1:AQ2"/>
    <mergeCell ref="AT1:AT2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汇总1</vt:lpstr>
      <vt:lpstr>杭州</vt:lpstr>
      <vt:lpstr>湖州</vt:lpstr>
      <vt:lpstr>嘉兴</vt:lpstr>
      <vt:lpstr>金衢</vt:lpstr>
      <vt:lpstr>绍兴</vt:lpstr>
      <vt:lpstr>台州</vt:lpstr>
      <vt:lpstr>温丽 </vt:lpstr>
      <vt:lpstr>电商 以旧换新</vt:lpstr>
      <vt:lpstr>区域数据</vt:lpstr>
      <vt:lpstr>客户汇总1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两两</cp:lastModifiedBy>
  <dcterms:created xsi:type="dcterms:W3CDTF">2006-09-13T11:21:00Z</dcterms:created>
  <dcterms:modified xsi:type="dcterms:W3CDTF">2025-09-10T09:26:47Z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FC757BE5EE1847B39B348F5275C95D29_13</vt:lpwstr>
  </property>
  <property fmtid="{D5CDD505-2E9C-101B-9397-08002B2CF9AE}" pid="3" name="KSOProductBuildVer">
    <vt:lpwstr>2052-12.1.0.22529</vt:lpwstr>
  </property>
  <property fmtid="{D5CDD505-2E9C-101B-9397-08002B2CF9AE}" pid="4" name="KSOReadingLayout">
    <vt:bool>true</vt:bool>
  </property>
</Properties>
</file>